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67-亦庄龙湖天街2024年\"/>
    </mc:Choice>
  </mc:AlternateContent>
  <xr:revisionPtr revIDLastSave="0" documentId="13_ncr:1_{115E1CFB-16C0-4F82-B63B-52AFC669E997}"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B21" i="1"/>
  <c r="E117" i="39"/>
  <c r="F117" i="39" s="1"/>
  <c r="G117" i="39" s="1"/>
  <c r="D117" i="39"/>
  <c r="H11" i="81"/>
  <c r="C29" i="81"/>
  <c r="D33" i="81"/>
  <c r="E33" i="81" s="1"/>
  <c r="E29" i="81"/>
  <c r="I46" i="39" l="1"/>
  <c r="G46" i="39"/>
  <c r="E46" i="39"/>
  <c r="I38" i="39"/>
  <c r="G38" i="39"/>
  <c r="E38" i="39"/>
  <c r="C38" i="39"/>
  <c r="D79" i="39"/>
  <c r="E79" i="39" s="1"/>
  <c r="F79" i="39" s="1"/>
  <c r="G79" i="39" s="1"/>
  <c r="H79" i="39" s="1"/>
  <c r="I79" i="39" s="1"/>
  <c r="J79" i="39" s="1"/>
  <c r="C11" i="39"/>
  <c r="L70" i="39"/>
  <c r="M70" i="39"/>
  <c r="N70" i="39" s="1"/>
  <c r="O70" i="39" s="1"/>
  <c r="I5" i="39"/>
  <c r="E7" i="39"/>
  <c r="G5" i="39"/>
  <c r="E5" i="39"/>
  <c r="D70" i="39"/>
  <c r="E70" i="39" s="1"/>
  <c r="F70" i="39" s="1"/>
  <c r="G70" i="39" s="1"/>
  <c r="H70" i="39" s="1"/>
  <c r="I70" i="39" s="1"/>
  <c r="J70" i="39" s="1"/>
  <c r="K70" i="39" s="1"/>
  <c r="Y6" i="1"/>
  <c r="B35" i="1"/>
  <c r="N14" i="1"/>
  <c r="L14" i="1"/>
  <c r="N6" i="1"/>
  <c r="G19" i="6"/>
  <c r="C30" i="81" s="1"/>
  <c r="F19" i="6"/>
  <c r="AL13" i="3"/>
  <c r="I13" i="3"/>
  <c r="M13" i="3"/>
  <c r="K13" i="3"/>
  <c r="E57" i="39" s="1"/>
  <c r="E30" i="81" l="1"/>
  <c r="E28" i="81" s="1"/>
  <c r="C28" i="81"/>
  <c r="A3" i="3"/>
  <c r="F76" i="81"/>
  <c r="F77" i="81" s="1"/>
  <c r="F78" i="81" s="1"/>
  <c r="E76" i="81"/>
  <c r="E77" i="81" s="1"/>
  <c r="E78" i="81" s="1"/>
  <c r="D76" i="81"/>
  <c r="D77" i="81" s="1"/>
  <c r="D78" i="81" s="1"/>
  <c r="C76" i="81"/>
  <c r="C79" i="81" s="1"/>
  <c r="G75" i="81"/>
  <c r="F73" i="81"/>
  <c r="E73" i="81"/>
  <c r="D73" i="81"/>
  <c r="C73" i="81"/>
  <c r="G72" i="81"/>
  <c r="F58" i="81"/>
  <c r="N64" i="81" s="1"/>
  <c r="E58" i="81"/>
  <c r="E59" i="81" s="1"/>
  <c r="D58" i="81"/>
  <c r="D59" i="81" s="1"/>
  <c r="C58" i="81"/>
  <c r="J64" i="81" s="1"/>
  <c r="G56" i="81"/>
  <c r="G57" i="81" s="1"/>
  <c r="F21" i="81"/>
  <c r="D21" i="81"/>
  <c r="C21" i="81"/>
  <c r="E20" i="81"/>
  <c r="J19" i="81"/>
  <c r="E19" i="81"/>
  <c r="E18" i="81"/>
  <c r="E17" i="81"/>
  <c r="H17" i="81" s="1"/>
  <c r="L16" i="81"/>
  <c r="J16" i="81"/>
  <c r="E16" i="81"/>
  <c r="L15" i="81"/>
  <c r="J15" i="81"/>
  <c r="E15" i="81"/>
  <c r="H15" i="81" s="1"/>
  <c r="L14" i="81"/>
  <c r="J14" i="81"/>
  <c r="E14" i="81"/>
  <c r="L13" i="81"/>
  <c r="J13" i="81"/>
  <c r="E13" i="81"/>
  <c r="H13" i="81" s="1"/>
  <c r="L12" i="81"/>
  <c r="J12" i="81"/>
  <c r="E12" i="81"/>
  <c r="H12" i="81" s="1"/>
  <c r="L11" i="81"/>
  <c r="J11" i="81"/>
  <c r="E11" i="81"/>
  <c r="J10" i="81"/>
  <c r="M10" i="81" s="1"/>
  <c r="E10" i="81"/>
  <c r="E9" i="81"/>
  <c r="I7" i="39"/>
  <c r="G7" i="39"/>
  <c r="C32" i="81" l="1"/>
  <c r="E32" i="81" s="1"/>
  <c r="C31" i="81"/>
  <c r="E31" i="81" s="1"/>
  <c r="E34" i="81" s="1"/>
  <c r="D34" i="81" s="1"/>
  <c r="C34" i="81"/>
  <c r="D28" i="81"/>
  <c r="R14" i="81"/>
  <c r="R13" i="81"/>
  <c r="G73" i="81"/>
  <c r="O11" i="81"/>
  <c r="O15" i="81"/>
  <c r="O12" i="81"/>
  <c r="J17" i="81"/>
  <c r="R11" i="81"/>
  <c r="O14" i="81"/>
  <c r="L64" i="81"/>
  <c r="E21" i="81"/>
  <c r="J18" i="81" s="1"/>
  <c r="M11" i="81"/>
  <c r="R12" i="81"/>
  <c r="M13" i="81"/>
  <c r="G76" i="81"/>
  <c r="G77" i="81" s="1"/>
  <c r="G78" i="81" s="1"/>
  <c r="M14" i="81"/>
  <c r="K64" i="81"/>
  <c r="C77" i="81"/>
  <c r="C78" i="81" s="1"/>
  <c r="E22" i="81"/>
  <c r="G79" i="81"/>
  <c r="L17" i="81"/>
  <c r="L18" i="81" s="1"/>
  <c r="N17" i="81"/>
  <c r="O10" i="81"/>
  <c r="G58" i="81"/>
  <c r="O64" i="81" s="1"/>
  <c r="F59" i="81"/>
  <c r="R15" i="81"/>
  <c r="R10" i="81"/>
  <c r="M12" i="81"/>
  <c r="O13" i="81"/>
  <c r="M15" i="81"/>
  <c r="C59" i="81"/>
  <c r="G34" i="81" l="1"/>
  <c r="G59" i="81"/>
  <c r="R17" i="81"/>
  <c r="L19" i="81"/>
  <c r="O17" i="8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C35" i="71"/>
  <c r="C36"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D35"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H30" i="34" s="1"/>
  <c r="B93" i="34"/>
  <c r="B75" i="34"/>
  <c r="B73" i="34"/>
  <c r="B71" i="34"/>
  <c r="B130" i="33"/>
  <c r="B128" i="33"/>
  <c r="B126" i="33"/>
  <c r="B98" i="33"/>
  <c r="F31" i="33" s="1"/>
  <c r="B96" i="33"/>
  <c r="B94" i="33"/>
  <c r="B74" i="33"/>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s="1"/>
  <c r="S27" i="35"/>
  <c r="F11" i="40"/>
  <c r="AA11" i="40"/>
  <c r="H11" i="40"/>
  <c r="AB11" i="40"/>
  <c r="W8" i="40"/>
  <c r="AA9" i="40"/>
  <c r="U9" i="40"/>
  <c r="S34" i="40"/>
  <c r="U38" i="40"/>
  <c r="W31" i="40"/>
  <c r="U34" i="40"/>
  <c r="S38" i="40"/>
  <c r="F42" i="39"/>
  <c r="AA42" i="39" s="1"/>
  <c r="H40" i="39"/>
  <c r="AB40" i="39" s="1"/>
  <c r="H39" i="39"/>
  <c r="U39" i="39" s="1"/>
  <c r="S34" i="39"/>
  <c r="H34" i="39"/>
  <c r="U34" i="39" s="1"/>
  <c r="E108" i="39"/>
  <c r="E100" i="39"/>
  <c r="H19" i="39"/>
  <c r="AB19" i="39" s="1"/>
  <c r="F19" i="39"/>
  <c r="AA19"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F100" i="39"/>
  <c r="G100" i="39" s="1"/>
  <c r="H27" i="39"/>
  <c r="U27" i="39" s="1"/>
  <c r="J19" i="39"/>
  <c r="AC19" i="39" s="1"/>
  <c r="J27" i="39"/>
  <c r="AC27" i="39" s="1"/>
  <c r="F27" i="39"/>
  <c r="AA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s="1"/>
  <c r="J29" i="33"/>
  <c r="H29" i="33"/>
  <c r="U29" i="33"/>
  <c r="F29" i="33"/>
  <c r="S29" i="33" s="1"/>
  <c r="J31" i="33"/>
  <c r="H31" i="33"/>
  <c r="H45" i="33"/>
  <c r="J45" i="33"/>
  <c r="W45" i="33" s="1"/>
  <c r="F45" i="33"/>
  <c r="AA45" i="33"/>
  <c r="J14" i="34"/>
  <c r="W14" i="34" s="1"/>
  <c r="F14" i="34"/>
  <c r="H14" i="34"/>
  <c r="F30" i="34"/>
  <c r="S30" i="34" s="1"/>
  <c r="J30" i="34"/>
  <c r="H32" i="34"/>
  <c r="F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55" i="3"/>
  <c r="AZ67"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2" i="3"/>
  <c r="AZ194" i="3"/>
  <c r="AZ198" i="3"/>
  <c r="AZ500" i="3"/>
  <c r="BA16" i="3"/>
  <c r="AZ16" i="3" s="1"/>
  <c r="BL303" i="3"/>
  <c r="G304" i="3"/>
  <c r="BA306" i="3"/>
  <c r="BL307" i="3"/>
  <c r="G308" i="3"/>
  <c r="BA310" i="3"/>
  <c r="AZ310" i="3"/>
  <c r="BL311" i="3"/>
  <c r="AZ311" i="3" s="1"/>
  <c r="G312" i="3"/>
  <c r="BA314" i="3"/>
  <c r="BL315" i="3"/>
  <c r="AZ315" i="3"/>
  <c r="G316" i="3"/>
  <c r="BA318" i="3"/>
  <c r="AZ318" i="3" s="1"/>
  <c r="BL319" i="3"/>
  <c r="G320" i="3"/>
  <c r="BA322" i="3"/>
  <c r="AZ322" i="3" s="1"/>
  <c r="BL323" i="3"/>
  <c r="G324" i="3"/>
  <c r="BA326" i="3"/>
  <c r="AZ326" i="3"/>
  <c r="BL327" i="3"/>
  <c r="G328" i="3"/>
  <c r="BA330" i="3"/>
  <c r="BL331" i="3"/>
  <c r="AZ331" i="3" s="1"/>
  <c r="G332" i="3"/>
  <c r="BA334" i="3"/>
  <c r="AZ334" i="3" s="1"/>
  <c r="BL335" i="3"/>
  <c r="G336" i="3"/>
  <c r="BA338" i="3"/>
  <c r="BL339" i="3"/>
  <c r="AZ339" i="3" s="1"/>
  <c r="G340" i="3"/>
  <c r="BL343" i="3"/>
  <c r="G344" i="3"/>
  <c r="G348" i="3"/>
  <c r="G355" i="3"/>
  <c r="AZ214" i="3"/>
  <c r="AZ335" i="3"/>
  <c r="G342" i="3"/>
  <c r="BL345" i="3"/>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37" i="3"/>
  <c r="AZ245" i="3"/>
  <c r="AZ265" i="3"/>
  <c r="BA379" i="3"/>
  <c r="AZ379" i="3" s="1"/>
  <c r="BL380" i="3"/>
  <c r="G381" i="3"/>
  <c r="BA383" i="3"/>
  <c r="AZ383" i="3" s="1"/>
  <c r="BL384" i="3"/>
  <c r="G385" i="3"/>
  <c r="BA387" i="3"/>
  <c r="BL388" i="3"/>
  <c r="G389" i="3"/>
  <c r="BA391" i="3"/>
  <c r="AZ391" i="3" s="1"/>
  <c r="BL392" i="3"/>
  <c r="AZ392" i="3" s="1"/>
  <c r="G393" i="3"/>
  <c r="AZ283" i="3"/>
  <c r="BO5" i="3"/>
  <c r="BM5" i="3"/>
  <c r="BJ5" i="3"/>
  <c r="BH5" i="3"/>
  <c r="BF5" i="3"/>
  <c r="AZ341" i="3"/>
  <c r="AC5" i="3"/>
  <c r="AZ506" i="3"/>
  <c r="AZ496" i="3"/>
  <c r="G548" i="3"/>
  <c r="G538" i="3"/>
  <c r="G520" i="3"/>
  <c r="G502" i="3"/>
  <c r="BS5" i="3"/>
  <c r="BP5" i="3"/>
  <c r="BN5" i="3"/>
  <c r="BK5" i="3"/>
  <c r="BI5" i="3"/>
  <c r="BG5" i="3"/>
  <c r="BE5" i="3"/>
  <c r="BC5" i="3"/>
  <c r="G17" i="3"/>
  <c r="BA17" i="3"/>
  <c r="BT5" i="3"/>
  <c r="AZ350" i="3"/>
  <c r="AZ356" i="3"/>
  <c r="BA15" i="3"/>
  <c r="BB5" i="3"/>
  <c r="BR5" i="3"/>
  <c r="AZ380" i="3"/>
  <c r="AZ499" i="3"/>
  <c r="AZ509" i="3"/>
  <c r="G509" i="3"/>
  <c r="BL493"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80" i="3"/>
  <c r="AZ133"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Z433" i="3"/>
  <c r="W12" i="33"/>
  <c r="AC12" i="33"/>
  <c r="AA32" i="36"/>
  <c r="S32" i="36"/>
  <c r="AZ437" i="3"/>
  <c r="BL14" i="3"/>
  <c r="U30" i="33"/>
  <c r="AC13" i="34"/>
  <c r="AA47" i="34"/>
  <c r="W28" i="37"/>
  <c r="S19" i="39"/>
  <c r="F12" i="33"/>
  <c r="H12" i="39"/>
  <c r="AB12" i="39" s="1"/>
  <c r="F39" i="40"/>
  <c r="BA14" i="3"/>
  <c r="AZ224" i="3"/>
  <c r="AZ173"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J21" i="39"/>
  <c r="W21" i="39" s="1"/>
  <c r="F21" i="39"/>
  <c r="S21" i="39" s="1"/>
  <c r="G94" i="39"/>
  <c r="H21" i="39"/>
  <c r="AB21" i="39" s="1"/>
  <c r="W19" i="39"/>
  <c r="U19" i="39"/>
  <c r="S15"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L17" i="3"/>
  <c r="AZ17" i="3"/>
  <c r="BL13" i="3"/>
  <c r="J56" i="9"/>
  <c r="J57" i="9" s="1"/>
  <c r="J59" i="9" s="1"/>
  <c r="J61" i="9" s="1"/>
  <c r="A24" i="51"/>
  <c r="B18" i="72" s="1"/>
  <c r="U29" i="34"/>
  <c r="E5" i="6"/>
  <c r="E32" i="6"/>
  <c r="G1" i="68"/>
  <c r="K1" i="12"/>
  <c r="E19"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25" i="39"/>
  <c r="U13" i="39"/>
  <c r="AB13" i="39"/>
  <c r="AA13" i="39"/>
  <c r="S13" i="39"/>
  <c r="S14" i="39"/>
  <c r="AA14" i="39"/>
  <c r="U43" i="39"/>
  <c r="AB43" i="39"/>
  <c r="AB11" i="39"/>
  <c r="U11" i="39"/>
  <c r="AA45"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AA25" i="33"/>
  <c r="G87" i="33"/>
  <c r="H87" i="33" s="1"/>
  <c r="I87" i="33" s="1"/>
  <c r="J87" i="33" s="1"/>
  <c r="K87" i="33" s="1"/>
  <c r="L87" i="33" s="1"/>
  <c r="M87" i="33" s="1"/>
  <c r="J25" i="33"/>
  <c r="AB23" i="33"/>
  <c r="F23" i="33"/>
  <c r="G85" i="33"/>
  <c r="AA19" i="33"/>
  <c r="H19" i="33"/>
  <c r="H17" i="33"/>
  <c r="U17" i="33" s="1"/>
  <c r="F17" i="33"/>
  <c r="S17" i="33" s="1"/>
  <c r="AC17" i="33"/>
  <c r="S37" i="21"/>
  <c r="AB15" i="21"/>
  <c r="J23" i="21"/>
  <c r="F85" i="21"/>
  <c r="G85" i="21" s="1"/>
  <c r="H23" i="21"/>
  <c r="AB23" i="21" s="1"/>
  <c r="AP7" i="1"/>
  <c r="AB45" i="21"/>
  <c r="AA32" i="21"/>
  <c r="S32" i="21"/>
  <c r="AB32" i="21"/>
  <c r="U32" i="21"/>
  <c r="W32" i="39"/>
  <c r="J63" i="37"/>
  <c r="K63" i="37" s="1"/>
  <c r="L63" i="37" s="1"/>
  <c r="M63" i="37" s="1"/>
  <c r="J11" i="37"/>
  <c r="AC11" i="37" s="1"/>
  <c r="J11" i="34"/>
  <c r="W11" i="34" s="1"/>
  <c r="AB36" i="33"/>
  <c r="W25" i="33"/>
  <c r="AC25" i="33"/>
  <c r="AB19" i="33"/>
  <c r="U19" i="33"/>
  <c r="AC23" i="21"/>
  <c r="W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4" i="68"/>
  <c r="F8" i="15"/>
  <c r="F5" i="73"/>
  <c r="F8" i="67"/>
  <c r="M6" i="67"/>
  <c r="F20" i="31"/>
  <c r="J15" i="67"/>
  <c r="M29" i="15"/>
  <c r="M24" i="15"/>
  <c r="B8" i="76"/>
  <c r="M22" i="67"/>
  <c r="M24" i="67"/>
  <c r="F38" i="67"/>
  <c r="F40" i="67"/>
  <c r="E11" i="76"/>
  <c r="F9" i="67"/>
  <c r="F26" i="67"/>
  <c r="B9" i="76"/>
  <c r="F37" i="67"/>
  <c r="M26" i="67"/>
  <c r="M9" i="67"/>
  <c r="F4" i="73"/>
  <c r="E8" i="76"/>
  <c r="E7" i="76"/>
  <c r="L47" i="67"/>
  <c r="F36" i="67"/>
  <c r="M23" i="67"/>
  <c r="B12" i="76"/>
  <c r="B11" i="76"/>
  <c r="M28" i="67"/>
  <c r="M6" i="15"/>
  <c r="E13" i="76"/>
  <c r="L48" i="15"/>
  <c r="F6" i="67"/>
  <c r="F38" i="15"/>
  <c r="F3" i="73"/>
  <c r="B13" i="76"/>
  <c r="F7" i="67"/>
  <c r="F43" i="15"/>
  <c r="C76" i="67"/>
  <c r="L48" i="67"/>
  <c r="F16" i="67"/>
  <c r="AO13" i="1"/>
  <c r="F16" i="15"/>
  <c r="F7" i="73"/>
  <c r="E12" i="76"/>
  <c r="L47" i="15"/>
  <c r="E9" i="76"/>
  <c r="M8" i="67"/>
  <c r="M9" i="15"/>
  <c r="F6" i="15"/>
  <c r="F42" i="67"/>
  <c r="B10" i="76"/>
  <c r="F13" i="67"/>
  <c r="E2" i="68"/>
  <c r="B7" i="76"/>
  <c r="E10" i="76"/>
  <c r="E2" i="69"/>
  <c r="F43" i="67"/>
  <c r="F6" i="73"/>
  <c r="M23" i="15"/>
  <c r="M29" i="67"/>
  <c r="G22" i="69" l="1"/>
  <c r="G22" i="11"/>
  <c r="E1" i="73"/>
  <c r="G26" i="12"/>
  <c r="G22" i="68"/>
  <c r="H41" i="39"/>
  <c r="AB41" i="39" s="1"/>
  <c r="F41" i="39"/>
  <c r="S41" i="39" s="1"/>
  <c r="J41" i="39"/>
  <c r="W41" i="39" s="1"/>
  <c r="C40" i="68"/>
  <c r="C21" i="68"/>
  <c r="BA13" i="3"/>
  <c r="H31" i="39"/>
  <c r="F31" i="39"/>
  <c r="AA31" i="39" s="1"/>
  <c r="S38" i="39"/>
  <c r="AA21" i="39"/>
  <c r="S9" i="39"/>
  <c r="W12" i="39"/>
  <c r="AC38" i="39"/>
  <c r="F90" i="39"/>
  <c r="G90" i="39" s="1"/>
  <c r="H17" i="39"/>
  <c r="AB17" i="39" s="1"/>
  <c r="J17" i="39"/>
  <c r="W17" i="39" s="1"/>
  <c r="F17" i="39"/>
  <c r="AA17" i="39" s="1"/>
  <c r="U42" i="39"/>
  <c r="S32" i="39"/>
  <c r="AB27" i="39"/>
  <c r="U17" i="39"/>
  <c r="W31" i="39"/>
  <c r="S31" i="39"/>
  <c r="S27" i="39"/>
  <c r="W27" i="39"/>
  <c r="U25" i="39"/>
  <c r="S23" i="39"/>
  <c r="W23" i="39"/>
  <c r="B75" i="43"/>
  <c r="B57" i="43"/>
  <c r="C29" i="39"/>
  <c r="B68" i="43"/>
  <c r="U41" i="39"/>
  <c r="AA41" i="39"/>
  <c r="AB39" i="39"/>
  <c r="AA39" i="39"/>
  <c r="U32" i="39"/>
  <c r="U12" i="39"/>
  <c r="AA12" i="39"/>
  <c r="W11" i="39"/>
  <c r="AA11" i="39"/>
  <c r="W9" i="39"/>
  <c r="AB8" i="39"/>
  <c r="F34" i="67"/>
  <c r="F62" i="67" s="1"/>
  <c r="F34" i="15"/>
  <c r="F62" i="15" s="1"/>
  <c r="M20" i="67"/>
  <c r="B41" i="1"/>
  <c r="C40" i="69"/>
  <c r="E19" i="69"/>
  <c r="H69" i="43"/>
  <c r="J1" i="73"/>
  <c r="S20" i="35"/>
  <c r="AZ345" i="3"/>
  <c r="AZ306" i="3"/>
  <c r="S25" i="21"/>
  <c r="AA25" i="21"/>
  <c r="S14" i="34"/>
  <c r="AA14" i="34"/>
  <c r="AA28" i="34"/>
  <c r="S28" i="34"/>
  <c r="AZ503" i="3"/>
  <c r="AZ513" i="3"/>
  <c r="AZ575" i="3"/>
  <c r="AA14" i="40"/>
  <c r="S14" i="40"/>
  <c r="AA14" i="37"/>
  <c r="S14" i="37"/>
  <c r="U45" i="33"/>
  <c r="AB45" i="33"/>
  <c r="U23" i="21"/>
  <c r="AC27" i="33"/>
  <c r="AC23" i="37"/>
  <c r="AC9" i="21"/>
  <c r="U9" i="21"/>
  <c r="D6" i="52"/>
  <c r="AZ387" i="3"/>
  <c r="AZ337" i="3"/>
  <c r="AZ376" i="3"/>
  <c r="AZ327" i="3"/>
  <c r="AZ309" i="3"/>
  <c r="AZ523" i="3"/>
  <c r="AZ547" i="3"/>
  <c r="AZ587" i="3"/>
  <c r="AZ540" i="3"/>
  <c r="AA23" i="21"/>
  <c r="AA17" i="33"/>
  <c r="S17" i="37"/>
  <c r="U21" i="39"/>
  <c r="S13" i="21"/>
  <c r="AA19" i="37"/>
  <c r="AC17" i="37"/>
  <c r="AB35" i="37"/>
  <c r="S43" i="34"/>
  <c r="AZ14" i="3"/>
  <c r="F29" i="6"/>
  <c r="AZ357" i="3"/>
  <c r="AZ303" i="3"/>
  <c r="AZ389" i="3"/>
  <c r="AZ372" i="3"/>
  <c r="AZ320" i="3"/>
  <c r="AZ304" i="3"/>
  <c r="AZ527" i="3"/>
  <c r="AZ571" i="3"/>
  <c r="AZ579" i="3"/>
  <c r="AZ510" i="3"/>
  <c r="AZ552" i="3"/>
  <c r="AZ584" i="3"/>
  <c r="U33" i="40"/>
  <c r="AB33" i="40"/>
  <c r="W31" i="33"/>
  <c r="AC31" i="33"/>
  <c r="W28" i="34"/>
  <c r="AC28" i="34"/>
  <c r="F9" i="34"/>
  <c r="AA9" i="34" s="1"/>
  <c r="J9" i="34"/>
  <c r="J12" i="34"/>
  <c r="H12" i="34"/>
  <c r="J24" i="36"/>
  <c r="H24" i="36"/>
  <c r="AZ362" i="3"/>
  <c r="AZ338" i="3"/>
  <c r="AZ390" i="3"/>
  <c r="AZ371" i="3"/>
  <c r="AZ351" i="3"/>
  <c r="AZ336" i="3"/>
  <c r="AZ305" i="3"/>
  <c r="AZ155" i="3"/>
  <c r="AZ360" i="3"/>
  <c r="S42" i="39"/>
  <c r="AZ539" i="3"/>
  <c r="AZ529" i="3"/>
  <c r="AZ537" i="3"/>
  <c r="AZ518" i="3"/>
  <c r="AZ526" i="3"/>
  <c r="AZ546" i="3"/>
  <c r="AZ564" i="3"/>
  <c r="AZ580" i="3"/>
  <c r="J11" i="35"/>
  <c r="AA44" i="34"/>
  <c r="AA29" i="35"/>
  <c r="AB17" i="34"/>
  <c r="W36" i="34"/>
  <c r="W8" i="34"/>
  <c r="H9" i="34"/>
  <c r="H12" i="36"/>
  <c r="G566" i="3"/>
  <c r="W33" i="33"/>
  <c r="U9" i="39"/>
  <c r="BL585" i="3"/>
  <c r="AZ585" i="3" s="1"/>
  <c r="W41" i="33"/>
  <c r="J39" i="40"/>
  <c r="H39" i="40"/>
  <c r="BA551" i="3"/>
  <c r="AZ551" i="3" s="1"/>
  <c r="BA550" i="3"/>
  <c r="BL548" i="3"/>
  <c r="AZ548" i="3" s="1"/>
  <c r="AZ419" i="3"/>
  <c r="AZ531" i="3"/>
  <c r="AZ583" i="3"/>
  <c r="AZ568" i="3"/>
  <c r="AZ576" i="3"/>
  <c r="U36" i="39"/>
  <c r="F24" i="36"/>
  <c r="F12" i="34"/>
  <c r="S12" i="34" s="1"/>
  <c r="AC31" i="35"/>
  <c r="AZ443" i="3"/>
  <c r="AZ469" i="3"/>
  <c r="G585" i="3"/>
  <c r="BL587" i="3"/>
  <c r="BL586" i="3"/>
  <c r="AZ586" i="3" s="1"/>
  <c r="G574"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AZ435" i="3"/>
  <c r="AZ454" i="3"/>
  <c r="AZ483" i="3"/>
  <c r="BA401" i="3"/>
  <c r="AZ401" i="3" s="1"/>
  <c r="BA403" i="3"/>
  <c r="BA404" i="3"/>
  <c r="AZ404" i="3" s="1"/>
  <c r="BA405" i="3"/>
  <c r="AZ405" i="3" s="1"/>
  <c r="BL410" i="3"/>
  <c r="G412" i="3"/>
  <c r="G418" i="3"/>
  <c r="AZ422" i="3"/>
  <c r="BL434" i="3"/>
  <c r="G437" i="3"/>
  <c r="BL438" i="3"/>
  <c r="BL439" i="3"/>
  <c r="BA441" i="3"/>
  <c r="AZ441" i="3" s="1"/>
  <c r="BL445" i="3"/>
  <c r="BL446" i="3"/>
  <c r="BL449" i="3"/>
  <c r="BL450" i="3"/>
  <c r="BL452" i="3"/>
  <c r="G455" i="3"/>
  <c r="BL456" i="3"/>
  <c r="AZ456" i="3" s="1"/>
  <c r="BA464" i="3"/>
  <c r="AZ464" i="3" s="1"/>
  <c r="BL467" i="3"/>
  <c r="BL468" i="3"/>
  <c r="BL470" i="3"/>
  <c r="AZ470" i="3" s="1"/>
  <c r="G472" i="3"/>
  <c r="G473" i="3"/>
  <c r="BL473" i="3"/>
  <c r="AZ473" i="3" s="1"/>
  <c r="BL474" i="3"/>
  <c r="G475" i="3"/>
  <c r="BA482" i="3"/>
  <c r="BA484" i="3"/>
  <c r="AZ484" i="3" s="1"/>
  <c r="G491" i="3"/>
  <c r="BA303" i="3"/>
  <c r="G558" i="3"/>
  <c r="G423" i="3"/>
  <c r="BL424" i="3"/>
  <c r="G427" i="3"/>
  <c r="BL428" i="3"/>
  <c r="BL429" i="3"/>
  <c r="BL432" i="3"/>
  <c r="BL435" i="3"/>
  <c r="BL436" i="3"/>
  <c r="BA439" i="3"/>
  <c r="AZ439" i="3" s="1"/>
  <c r="BA440" i="3"/>
  <c r="AZ440" i="3" s="1"/>
  <c r="BA442" i="3"/>
  <c r="BA445" i="3"/>
  <c r="BA447" i="3"/>
  <c r="AZ447" i="3" s="1"/>
  <c r="BA449" i="3"/>
  <c r="BL453" i="3"/>
  <c r="BL454" i="3"/>
  <c r="G458" i="3"/>
  <c r="BL459" i="3"/>
  <c r="AZ459" i="3" s="1"/>
  <c r="G462" i="3"/>
  <c r="BA465" i="3"/>
  <c r="AZ465" i="3" s="1"/>
  <c r="BA467" i="3"/>
  <c r="AZ467" i="3" s="1"/>
  <c r="BA468" i="3"/>
  <c r="BL471" i="3"/>
  <c r="BL475" i="3"/>
  <c r="BA477" i="3"/>
  <c r="AZ477" i="3" s="1"/>
  <c r="BA478" i="3"/>
  <c r="BA481" i="3"/>
  <c r="BA488" i="3"/>
  <c r="AZ488" i="3" s="1"/>
  <c r="BA491" i="3"/>
  <c r="AZ491" i="3" s="1"/>
  <c r="BA319" i="3"/>
  <c r="AZ319" i="3" s="1"/>
  <c r="AZ125" i="3"/>
  <c r="BL550" i="3"/>
  <c r="BL398" i="3"/>
  <c r="G402" i="3"/>
  <c r="BL403" i="3"/>
  <c r="G405" i="3"/>
  <c r="G406" i="3"/>
  <c r="BA408" i="3"/>
  <c r="AZ408" i="3" s="1"/>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6" i="3"/>
  <c r="BL225" i="3"/>
  <c r="BL226" i="3"/>
  <c r="BA239" i="3"/>
  <c r="AZ239" i="3" s="1"/>
  <c r="BL239" i="3"/>
  <c r="BA241" i="3"/>
  <c r="BL241" i="3"/>
  <c r="BA244" i="3"/>
  <c r="AZ244" i="3" s="1"/>
  <c r="BL244" i="3"/>
  <c r="BA246" i="3"/>
  <c r="BA252" i="3"/>
  <c r="AZ252" i="3" s="1"/>
  <c r="BA254" i="3"/>
  <c r="AZ254" i="3" s="1"/>
  <c r="BA256" i="3"/>
  <c r="BL256" i="3"/>
  <c r="BA258" i="3"/>
  <c r="AZ258" i="3" s="1"/>
  <c r="BL264" i="3"/>
  <c r="BL266" i="3"/>
  <c r="BA268" i="3"/>
  <c r="BL273" i="3"/>
  <c r="AZ273" i="3" s="1"/>
  <c r="G274" i="3"/>
  <c r="BA277" i="3"/>
  <c r="BL277" i="3"/>
  <c r="BA282" i="3"/>
  <c r="AZ282" i="3" s="1"/>
  <c r="BL282" i="3"/>
  <c r="BA284" i="3"/>
  <c r="AZ284" i="3" s="1"/>
  <c r="BL290" i="3"/>
  <c r="BL291" i="3"/>
  <c r="AZ291" i="3" s="1"/>
  <c r="BL293" i="3"/>
  <c r="BL294" i="3"/>
  <c r="BA297" i="3"/>
  <c r="BL297"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G299" i="3"/>
  <c r="BL300" i="3"/>
  <c r="BL122" i="3"/>
  <c r="BA126" i="3"/>
  <c r="BA333" i="3"/>
  <c r="BL346" i="3"/>
  <c r="AZ346" i="3" s="1"/>
  <c r="BA384" i="3"/>
  <c r="AZ384" i="3" s="1"/>
  <c r="BA395" i="3"/>
  <c r="AZ395" i="3" s="1"/>
  <c r="BA208" i="3"/>
  <c r="AZ208" i="3" s="1"/>
  <c r="BA211" i="3"/>
  <c r="AZ211" i="3" s="1"/>
  <c r="BL213" i="3"/>
  <c r="BL215" i="3"/>
  <c r="BA222" i="3"/>
  <c r="AZ222" i="3" s="1"/>
  <c r="BL255" i="3"/>
  <c r="AZ255" i="3" s="1"/>
  <c r="BL257" i="3"/>
  <c r="AZ257" i="3" s="1"/>
  <c r="AZ294" i="3"/>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A227" i="3"/>
  <c r="AZ227" i="3" s="1"/>
  <c r="BL231"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A116" i="3"/>
  <c r="AZ116" i="3" s="1"/>
  <c r="BA121" i="3"/>
  <c r="BL121" i="3"/>
  <c r="G127" i="3"/>
  <c r="BA298" i="3"/>
  <c r="AZ298" i="3" s="1"/>
  <c r="BL301" i="3"/>
  <c r="AZ301" i="3" s="1"/>
  <c r="BL302" i="3"/>
  <c r="AZ302" i="3" s="1"/>
  <c r="BA114" i="3"/>
  <c r="BL123" i="3"/>
  <c r="AZ123" i="3" s="1"/>
  <c r="BA128" i="3"/>
  <c r="AZ128" i="3" s="1"/>
  <c r="BL134" i="3"/>
  <c r="AZ134" i="3" s="1"/>
  <c r="BL137" i="3"/>
  <c r="BA146" i="3"/>
  <c r="AZ146" i="3" s="1"/>
  <c r="BA150"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BA41" i="3"/>
  <c r="AZ41" i="3" s="1"/>
  <c r="BA42" i="3"/>
  <c r="BL45" i="3"/>
  <c r="BA48" i="3"/>
  <c r="AZ48" i="3" s="1"/>
  <c r="BA49" i="3"/>
  <c r="D31" i="71"/>
  <c r="C32" i="71"/>
  <c r="BL285" i="3"/>
  <c r="BL287" i="3"/>
  <c r="BA290" i="3"/>
  <c r="G297" i="3"/>
  <c r="BL299" i="3"/>
  <c r="G300" i="3"/>
  <c r="BL113" i="3"/>
  <c r="BL115" i="3"/>
  <c r="AZ115" i="3" s="1"/>
  <c r="BA118" i="3"/>
  <c r="AZ118" i="3" s="1"/>
  <c r="BL118" i="3"/>
  <c r="BA122" i="3"/>
  <c r="BL125" i="3"/>
  <c r="BL126" i="3"/>
  <c r="G130" i="3"/>
  <c r="BA144" i="3"/>
  <c r="AZ144" i="3" s="1"/>
  <c r="G152" i="3"/>
  <c r="BA153" i="3"/>
  <c r="AZ153" i="3" s="1"/>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L40" i="3"/>
  <c r="BL41" i="3"/>
  <c r="G51" i="3"/>
  <c r="BA52" i="3"/>
  <c r="AZ52" i="3" s="1"/>
  <c r="BA53" i="3"/>
  <c r="BA54" i="3"/>
  <c r="BL57" i="3"/>
  <c r="G62" i="3"/>
  <c r="BL62" i="3"/>
  <c r="AZ62" i="3" s="1"/>
  <c r="BA72" i="3"/>
  <c r="AZ72" i="3" s="1"/>
  <c r="BA130" i="3"/>
  <c r="BL130" i="3"/>
  <c r="BA137" i="3"/>
  <c r="AZ137" i="3" s="1"/>
  <c r="BL138" i="3"/>
  <c r="BA140" i="3"/>
  <c r="AZ140" i="3" s="1"/>
  <c r="BA142" i="3"/>
  <c r="BL149" i="3"/>
  <c r="AZ149" i="3" s="1"/>
  <c r="BL150" i="3"/>
  <c r="G151" i="3"/>
  <c r="BA152" i="3"/>
  <c r="AZ152" i="3" s="1"/>
  <c r="BA154" i="3"/>
  <c r="AZ154" i="3" s="1"/>
  <c r="BA27" i="3"/>
  <c r="G64" i="3"/>
  <c r="BA70" i="3"/>
  <c r="AZ70" i="3" s="1"/>
  <c r="C44" i="71"/>
  <c r="D43"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G47" i="3"/>
  <c r="BL48" i="3"/>
  <c r="BA51" i="3"/>
  <c r="G55" i="3"/>
  <c r="BL56" i="3"/>
  <c r="BA58" i="3"/>
  <c r="BL59" i="3"/>
  <c r="AZ59" i="3" s="1"/>
  <c r="BL60" i="3"/>
  <c r="C47" i="71"/>
  <c r="D47" i="71" s="1"/>
  <c r="D46" i="71"/>
  <c r="C52" i="71"/>
  <c r="D51" i="71"/>
  <c r="C55" i="71"/>
  <c r="D54" i="71"/>
  <c r="C60" i="71"/>
  <c r="D59" i="71"/>
  <c r="N67" i="71"/>
  <c r="B66" i="71"/>
  <c r="F66" i="71"/>
  <c r="Q67" i="71"/>
  <c r="V24" i="71"/>
  <c r="E23" i="71"/>
  <c r="E22" i="71" s="1"/>
  <c r="E21" i="71" s="1"/>
  <c r="E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1" i="3"/>
  <c r="AZ61" i="3" s="1"/>
  <c r="BA68" i="3"/>
  <c r="BA73" i="3"/>
  <c r="BA80" i="3"/>
  <c r="BL84"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BA90" i="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8"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D9" i="69"/>
  <c r="C36" i="69"/>
  <c r="M28" i="15"/>
  <c r="C16" i="67"/>
  <c r="J15" i="15"/>
  <c r="D9" i="68"/>
  <c r="F7" i="15"/>
  <c r="F9" i="15"/>
  <c r="M22" i="15"/>
  <c r="F36" i="15"/>
  <c r="F37" i="15"/>
  <c r="C16" i="15"/>
  <c r="F26" i="15"/>
  <c r="C36" i="68"/>
  <c r="C76" i="15"/>
  <c r="F13" i="15"/>
  <c r="D3" i="73"/>
  <c r="D4" i="73"/>
  <c r="F42" i="15"/>
  <c r="D5" i="73"/>
  <c r="F40" i="15"/>
  <c r="D7" i="73"/>
  <c r="D6" i="73"/>
  <c r="M8" i="15"/>
  <c r="M26" i="15"/>
  <c r="AC41" i="39" l="1"/>
  <c r="AB31" i="39"/>
  <c r="U31" i="39"/>
  <c r="AC17" i="39"/>
  <c r="S17" i="39"/>
  <c r="F48" i="9"/>
  <c r="O52" i="9" s="1"/>
  <c r="F30" i="11"/>
  <c r="M18" i="67"/>
  <c r="M18" i="15"/>
  <c r="F28" i="67"/>
  <c r="C28" i="67" s="1"/>
  <c r="F32" i="67"/>
  <c r="F60" i="67" s="1"/>
  <c r="F28" i="15"/>
  <c r="C28" i="15" s="1"/>
  <c r="F31" i="12"/>
  <c r="C31" i="12" s="1"/>
  <c r="F30" i="69"/>
  <c r="D68" i="9"/>
  <c r="F30" i="68"/>
  <c r="F52" i="9"/>
  <c r="F32" i="15"/>
  <c r="F60" i="15" s="1"/>
  <c r="F54" i="9"/>
  <c r="N94" i="46"/>
  <c r="J26" i="43"/>
  <c r="E26" i="43"/>
  <c r="H26" i="43"/>
  <c r="G26" i="43"/>
  <c r="D26" i="43" s="1"/>
  <c r="C25" i="43" s="1"/>
  <c r="N370" i="46"/>
  <c r="P6" i="1"/>
  <c r="C13" i="12" s="1"/>
  <c r="F68" i="15"/>
  <c r="F65" i="15"/>
  <c r="F64" i="15"/>
  <c r="C27" i="15"/>
  <c r="M7" i="15"/>
  <c r="J6" i="15" s="1"/>
  <c r="C6" i="15"/>
  <c r="C32" i="15" s="1"/>
  <c r="F50" i="15"/>
  <c r="C49" i="15" s="1"/>
  <c r="F31" i="15"/>
  <c r="Q71" i="15"/>
  <c r="C56" i="71"/>
  <c r="D55" i="71"/>
  <c r="AZ39" i="3"/>
  <c r="U12" i="36"/>
  <c r="AB12" i="36"/>
  <c r="AC24" i="36"/>
  <c r="W24" i="36"/>
  <c r="E28" i="6"/>
  <c r="K14" i="1" s="1"/>
  <c r="K16" i="1" s="1"/>
  <c r="B29" i="1" s="1"/>
  <c r="AZ85" i="3"/>
  <c r="AZ299" i="3"/>
  <c r="AZ209" i="3"/>
  <c r="AZ234" i="3"/>
  <c r="AZ84" i="3"/>
  <c r="D83" i="71"/>
  <c r="C82" i="71"/>
  <c r="D82" i="71" s="1"/>
  <c r="O65" i="71"/>
  <c r="D66" i="71"/>
  <c r="O66" i="71"/>
  <c r="AZ108" i="3"/>
  <c r="AZ130" i="3"/>
  <c r="T32" i="71"/>
  <c r="D32" i="71"/>
  <c r="AZ38" i="3"/>
  <c r="AZ150" i="3"/>
  <c r="AZ251" i="3"/>
  <c r="AZ247" i="3"/>
  <c r="AZ332" i="3"/>
  <c r="AZ263" i="3"/>
  <c r="AZ243" i="3"/>
  <c r="AZ368" i="3"/>
  <c r="AZ297" i="3"/>
  <c r="AZ241" i="3"/>
  <c r="AZ415" i="3"/>
  <c r="U39" i="40"/>
  <c r="AB39" i="40"/>
  <c r="AB9" i="34"/>
  <c r="U9" i="34"/>
  <c r="U12" i="34"/>
  <c r="AB12" i="34"/>
  <c r="D79" i="71"/>
  <c r="C78" i="71"/>
  <c r="D78" i="71" s="1"/>
  <c r="D20" i="53"/>
  <c r="B40" i="72" s="1"/>
  <c r="J7" i="36"/>
  <c r="W7" i="36" s="1"/>
  <c r="S9" i="34"/>
  <c r="AZ285" i="3"/>
  <c r="AZ474" i="3"/>
  <c r="C40" i="71"/>
  <c r="D39" i="71"/>
  <c r="D60" i="71"/>
  <c r="T60" i="71"/>
  <c r="T52" i="71"/>
  <c r="D52" i="71"/>
  <c r="AZ51" i="3"/>
  <c r="D44" i="71"/>
  <c r="T44" i="71"/>
  <c r="AZ122" i="3"/>
  <c r="AZ121" i="3"/>
  <c r="AZ271" i="3"/>
  <c r="AZ238" i="3"/>
  <c r="AZ277" i="3"/>
  <c r="AZ256" i="3"/>
  <c r="AZ429" i="3"/>
  <c r="AZ403" i="3"/>
  <c r="AZ421" i="3"/>
  <c r="AZ414" i="3"/>
  <c r="AC39" i="40"/>
  <c r="W39" i="40"/>
  <c r="W12" i="34"/>
  <c r="AC12" i="34"/>
  <c r="T28" i="71"/>
  <c r="D28" i="71"/>
  <c r="U28" i="71" s="1"/>
  <c r="C27" i="71"/>
  <c r="J7" i="37"/>
  <c r="AZ112" i="3"/>
  <c r="G5" i="3"/>
  <c r="B3" i="3" s="1"/>
  <c r="AZ142" i="3"/>
  <c r="AZ281" i="3"/>
  <c r="C70" i="71"/>
  <c r="D70" i="71" s="1"/>
  <c r="D71" i="71"/>
  <c r="N65" i="71"/>
  <c r="N66" i="71"/>
  <c r="AZ58" i="3"/>
  <c r="AZ53" i="3"/>
  <c r="AZ28" i="3"/>
  <c r="AZ49" i="3"/>
  <c r="AZ29" i="3"/>
  <c r="AZ25" i="3"/>
  <c r="AZ126" i="3"/>
  <c r="AA24" i="36"/>
  <c r="S24" i="36"/>
  <c r="AZ550" i="3"/>
  <c r="W11" i="35"/>
  <c r="AC11" i="35"/>
  <c r="AB24" i="36"/>
  <c r="U24" i="36"/>
  <c r="AC9" i="34"/>
  <c r="W9" i="34"/>
  <c r="K1" i="73"/>
  <c r="E510" i="3"/>
  <c r="E300" i="3"/>
  <c r="E83" i="3"/>
  <c r="E440" i="3"/>
  <c r="E372" i="3"/>
  <c r="E137" i="3"/>
  <c r="E36" i="3"/>
  <c r="E398" i="3"/>
  <c r="E521" i="3"/>
  <c r="E222" i="3"/>
  <c r="E19" i="3"/>
  <c r="E375" i="3"/>
  <c r="E39" i="3"/>
  <c r="E179" i="3"/>
  <c r="E167" i="3"/>
  <c r="E122" i="3"/>
  <c r="E313" i="3"/>
  <c r="W6" i="3"/>
  <c r="E257" i="3"/>
  <c r="E196" i="3"/>
  <c r="E411" i="3"/>
  <c r="E546" i="3"/>
  <c r="E291" i="3"/>
  <c r="E319" i="3"/>
  <c r="E574" i="3"/>
  <c r="S6" i="3"/>
  <c r="E321" i="3"/>
  <c r="E213" i="3"/>
  <c r="E159" i="3"/>
  <c r="E280" i="3"/>
  <c r="E262" i="3"/>
  <c r="E437" i="3"/>
  <c r="E429"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557" i="3"/>
  <c r="E531" i="3"/>
  <c r="E70" i="3"/>
  <c r="E182" i="3"/>
  <c r="E377" i="3"/>
  <c r="E572"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F7" i="33"/>
  <c r="E58" i="21"/>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27" i="68"/>
  <c r="F41" i="67"/>
  <c r="AE6" i="1"/>
  <c r="G1" i="73"/>
  <c r="F48" i="68" l="1"/>
  <c r="C48" i="68"/>
  <c r="C30" i="68"/>
  <c r="J18" i="15"/>
  <c r="C48" i="11"/>
  <c r="C30" i="11"/>
  <c r="F48" i="69"/>
  <c r="C30" i="69"/>
  <c r="C48" i="69"/>
  <c r="K26" i="6"/>
  <c r="M26" i="6" s="1"/>
  <c r="I26" i="6" s="1"/>
  <c r="S26" i="6" s="1"/>
  <c r="E539" i="3"/>
  <c r="E192" i="3"/>
  <c r="E129" i="3"/>
  <c r="E360" i="3"/>
  <c r="E232" i="3"/>
  <c r="E493" i="3"/>
  <c r="E498" i="3"/>
  <c r="E346" i="3"/>
  <c r="E15" i="3"/>
  <c r="E339" i="3"/>
  <c r="E364" i="3"/>
  <c r="E101" i="3"/>
  <c r="E90" i="3"/>
  <c r="E250" i="3"/>
  <c r="E416" i="3"/>
  <c r="E209" i="3"/>
  <c r="E582" i="3"/>
  <c r="E341" i="3"/>
  <c r="E462" i="3"/>
  <c r="E195" i="3"/>
  <c r="E98" i="3"/>
  <c r="E352" i="3"/>
  <c r="E438" i="3"/>
  <c r="E54" i="3"/>
  <c r="E14" i="3"/>
  <c r="E379" i="3"/>
  <c r="E367" i="3"/>
  <c r="E92" i="3"/>
  <c r="E29" i="3"/>
  <c r="E426" i="3"/>
  <c r="E285" i="3"/>
  <c r="E418" i="3"/>
  <c r="E237" i="3"/>
  <c r="E302" i="3"/>
  <c r="AN6" i="3"/>
  <c r="E238" i="3"/>
  <c r="E177" i="3"/>
  <c r="E344"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76" i="3"/>
  <c r="E522" i="3"/>
  <c r="E225" i="3"/>
  <c r="E326" i="3"/>
  <c r="E543" i="3"/>
  <c r="E463" i="3"/>
  <c r="E333" i="3"/>
  <c r="E79" i="3"/>
  <c r="E52" i="3"/>
  <c r="E50" i="3"/>
  <c r="E165" i="3"/>
  <c r="E348" i="3"/>
  <c r="E51" i="3"/>
  <c r="E520" i="3"/>
  <c r="E284" i="3"/>
  <c r="E436" i="3"/>
  <c r="E373" i="3"/>
  <c r="Y6" i="3"/>
  <c r="E154" i="3"/>
  <c r="E307" i="3"/>
  <c r="E157" i="3"/>
  <c r="E288" i="3"/>
  <c r="E168" i="3"/>
  <c r="E397" i="3"/>
  <c r="U6" i="3"/>
  <c r="E547" i="3"/>
  <c r="E272" i="3"/>
  <c r="E53" i="3"/>
  <c r="E328" i="3"/>
  <c r="E390" i="3"/>
  <c r="E338" i="3"/>
  <c r="E304" i="3"/>
  <c r="E254" i="3"/>
  <c r="E353" i="3"/>
  <c r="E434" i="3"/>
  <c r="Q6" i="3"/>
  <c r="AE6"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E199" i="3"/>
  <c r="E264" i="3"/>
  <c r="E456" i="3"/>
  <c r="E324" i="3"/>
  <c r="E105" i="3"/>
  <c r="E490" i="3"/>
  <c r="E178" i="3"/>
  <c r="E540" i="3"/>
  <c r="E299" i="3"/>
  <c r="E123" i="3"/>
  <c r="E265" i="3"/>
  <c r="E566" i="3"/>
  <c r="E65" i="3"/>
  <c r="E421" i="3"/>
  <c r="E138" i="3"/>
  <c r="E323" i="3"/>
  <c r="E266" i="3"/>
  <c r="E259" i="3"/>
  <c r="E459" i="3"/>
  <c r="E504" i="3"/>
  <c r="E461" i="3"/>
  <c r="E532" i="3"/>
  <c r="E475" i="3"/>
  <c r="E357" i="3"/>
  <c r="E207" i="3"/>
  <c r="E432" i="3"/>
  <c r="E71" i="3"/>
  <c r="E317" i="3"/>
  <c r="E153" i="3"/>
  <c r="E359" i="3"/>
  <c r="E523" i="3"/>
  <c r="E169" i="3"/>
  <c r="E17" i="3"/>
  <c r="E303" i="3"/>
  <c r="E156" i="3"/>
  <c r="E120" i="3"/>
  <c r="E481" i="3"/>
  <c r="E3" i="6"/>
  <c r="E243" i="3"/>
  <c r="E110" i="3"/>
  <c r="E176" i="3"/>
  <c r="E25" i="3"/>
  <c r="E534" i="3"/>
  <c r="E496" i="3"/>
  <c r="E424" i="3"/>
  <c r="E330" i="3"/>
  <c r="E128" i="3"/>
  <c r="AA6" i="3"/>
  <c r="E402" i="3"/>
  <c r="E221" i="3"/>
  <c r="E565" i="3"/>
  <c r="E298" i="3"/>
  <c r="E506" i="3"/>
  <c r="E97" i="3"/>
  <c r="O6" i="3"/>
  <c r="E501" i="3"/>
  <c r="AM6" i="3"/>
  <c r="E126" i="3"/>
  <c r="E403" i="3"/>
  <c r="E548" i="3"/>
  <c r="E145" i="3"/>
  <c r="E93" i="3"/>
  <c r="E208" i="3"/>
  <c r="E471" i="3"/>
  <c r="E529" i="3"/>
  <c r="E306" i="3"/>
  <c r="E82" i="3"/>
  <c r="E413" i="3"/>
  <c r="E488" i="3"/>
  <c r="E66" i="3"/>
  <c r="E542" i="3"/>
  <c r="E47" i="3"/>
  <c r="E464" i="3"/>
  <c r="E354" i="3"/>
  <c r="E57" i="3"/>
  <c r="E312" i="3"/>
  <c r="E386" i="3"/>
  <c r="E155" i="3"/>
  <c r="E552" i="3"/>
  <c r="E218" i="3"/>
  <c r="E289" i="3"/>
  <c r="E325" i="3"/>
  <c r="E170" i="3"/>
  <c r="E43" i="3"/>
  <c r="E202" i="3"/>
  <c r="E419" i="3"/>
  <c r="E422" i="3"/>
  <c r="E188" i="3"/>
  <c r="E49" i="3"/>
  <c r="E452" i="3"/>
  <c r="E287" i="3"/>
  <c r="E381" i="3"/>
  <c r="E435" i="3"/>
  <c r="E524" i="3"/>
  <c r="E20" i="3"/>
  <c r="E147" i="3"/>
  <c r="AQ6" i="3"/>
  <c r="E194" i="3"/>
  <c r="E455" i="3"/>
  <c r="E60" i="3"/>
  <c r="E226" i="3"/>
  <c r="E40" i="3"/>
  <c r="J6" i="3"/>
  <c r="E427" i="3"/>
  <c r="E223" i="3"/>
  <c r="E158" i="3"/>
  <c r="E78" i="3"/>
  <c r="E13" i="3"/>
  <c r="E140" i="3"/>
  <c r="E21" i="3"/>
  <c r="E103" i="3"/>
  <c r="I3" i="6"/>
  <c r="M14" i="1"/>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86" i="3"/>
  <c r="E393" i="3"/>
  <c r="E16" i="3"/>
  <c r="E370" i="3"/>
  <c r="E220" i="3"/>
  <c r="E104" i="3"/>
  <c r="E469" i="3"/>
  <c r="E205" i="3"/>
  <c r="E75" i="3"/>
  <c r="E23" i="3"/>
  <c r="E363" i="3"/>
  <c r="E541" i="3"/>
  <c r="E342" i="3"/>
  <c r="E412" i="3"/>
  <c r="E26" i="3"/>
  <c r="E451" i="3"/>
  <c r="E525" i="3"/>
  <c r="E251" i="3"/>
  <c r="E332" i="3"/>
  <c r="E144" i="3"/>
  <c r="E425" i="3"/>
  <c r="E56" i="3"/>
  <c r="R6" i="3"/>
  <c r="J5" i="15"/>
  <c r="J24" i="15" s="1"/>
  <c r="F59" i="15"/>
  <c r="AC7" i="36"/>
  <c r="V36" i="36" s="1"/>
  <c r="I36" i="36" s="1"/>
  <c r="AB7" i="36"/>
  <c r="T36" i="36" s="1"/>
  <c r="G36" i="36" s="1"/>
  <c r="T40" i="71"/>
  <c r="D40" i="71"/>
  <c r="E113" i="3"/>
  <c r="E206" i="3"/>
  <c r="E383" i="3"/>
  <c r="E96" i="3"/>
  <c r="E42" i="3"/>
  <c r="E281" i="3"/>
  <c r="E513" i="3"/>
  <c r="E81" i="3"/>
  <c r="E355" i="3"/>
  <c r="E33" i="3"/>
  <c r="E492" i="3"/>
  <c r="E249" i="3"/>
  <c r="E46" i="3"/>
  <c r="E484" i="3"/>
  <c r="E544" i="3"/>
  <c r="E292" i="3"/>
  <c r="E152" i="3"/>
  <c r="E479" i="3"/>
  <c r="E517" i="3"/>
  <c r="E255" i="3"/>
  <c r="E466" i="3"/>
  <c r="E499" i="3"/>
  <c r="E212"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4" i="67" l="1"/>
  <c r="C24" i="67" s="1"/>
  <c r="H6" i="3"/>
  <c r="AC6" i="3"/>
  <c r="E6" i="3" s="1"/>
  <c r="F22" i="11"/>
  <c r="C23" i="11" s="1"/>
  <c r="E49" i="34"/>
  <c r="F22" i="69"/>
  <c r="F41" i="69" s="1"/>
  <c r="F24" i="15"/>
  <c r="C24" i="15" s="1"/>
  <c r="F22" i="68"/>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26" i="69" l="1"/>
  <c r="D22" i="69" s="1"/>
  <c r="C44" i="69"/>
  <c r="D41" i="69" s="1"/>
  <c r="C44" i="68"/>
  <c r="D41" i="68" s="1"/>
  <c r="F41" i="68"/>
  <c r="H24" i="6"/>
  <c r="D30" i="6"/>
  <c r="H22" i="6"/>
  <c r="H25" i="6"/>
  <c r="C26" i="11"/>
  <c r="D22" i="11" s="1"/>
  <c r="C25" i="11"/>
  <c r="C44" i="11"/>
  <c r="D41" i="11" s="1"/>
  <c r="C24" i="11"/>
  <c r="C26" i="68"/>
  <c r="D22" i="68"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10" i="1"/>
  <c r="AO8" i="1"/>
  <c r="AO9" i="1"/>
  <c r="AO11"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B3" i="68"/>
  <c r="C57" i="68" l="1"/>
  <c r="C102" i="9"/>
  <c r="C21" i="9"/>
  <c r="G19" i="9"/>
  <c r="G21" i="9" s="1"/>
  <c r="D22" i="9"/>
  <c r="D35" i="9"/>
  <c r="C20" i="9"/>
  <c r="C56" i="68" l="1"/>
  <c r="C103" i="9"/>
  <c r="G20" i="9"/>
  <c r="C32" i="9" s="1"/>
  <c r="C35" i="9" s="1"/>
  <c r="C34" i="9" s="1"/>
  <c r="D118" i="9" s="1"/>
  <c r="D34" i="9"/>
  <c r="F118" i="9" l="1"/>
  <c r="F119" i="9" s="1"/>
  <c r="F5" i="52" s="1"/>
  <c r="B53" i="72" s="1"/>
  <c r="D119" i="9"/>
  <c r="D5" i="52" s="1"/>
  <c r="B49" i="72" s="1"/>
  <c r="D4" i="52"/>
  <c r="B47" i="72" s="1"/>
  <c r="H118" i="9"/>
  <c r="D14" i="74" s="1"/>
  <c r="G14" i="74" s="1"/>
  <c r="B6" i="74" s="1"/>
  <c r="D6" i="74" s="1"/>
  <c r="F4" i="52"/>
  <c r="B51" i="72" s="1"/>
  <c r="G118" i="9"/>
  <c r="G4" i="52" s="1"/>
  <c r="B52" i="72" s="1"/>
  <c r="E14" i="74" l="1"/>
  <c r="B5" i="74"/>
  <c r="D5" i="74" s="1"/>
  <c r="F14" i="74"/>
  <c r="H4" i="52"/>
  <c r="I118" i="9"/>
  <c r="H101" i="9"/>
  <c r="H119" i="9"/>
  <c r="H5" i="52" s="1"/>
  <c r="C104" i="9"/>
  <c r="C105" i="9" l="1"/>
  <c r="I4" i="52"/>
  <c r="H102" i="9"/>
  <c r="E118" i="9"/>
  <c r="E4" i="52" s="1"/>
  <c r="B48" i="72" s="1"/>
  <c r="D5" i="53"/>
  <c r="D45" i="9"/>
  <c r="H107" i="9"/>
  <c r="M48" i="9"/>
  <c r="D7" i="53" l="1"/>
  <c r="B21" i="72" s="1"/>
  <c r="C5" i="74"/>
  <c r="D122" i="9"/>
  <c r="H108" i="9"/>
  <c r="D13" i="53"/>
  <c r="M49" i="9"/>
  <c r="C93" i="9"/>
  <c r="C86" i="9" s="1"/>
  <c r="C72" i="9"/>
  <c r="C85" i="9"/>
  <c r="C64" i="9"/>
  <c r="C63" i="9" s="1"/>
  <c r="C67" i="9" s="1"/>
  <c r="D55" i="9"/>
  <c r="M53" i="9" s="1"/>
  <c r="C78" i="9"/>
  <c r="C73" i="9" s="1"/>
  <c r="D52" i="9"/>
  <c r="D53" i="9"/>
  <c r="B20" i="72"/>
  <c r="D6" i="53"/>
  <c r="B22" i="72" s="1"/>
  <c r="D8" i="52" l="1"/>
  <c r="D123" i="9"/>
  <c r="D9" i="52" s="1"/>
  <c r="C79" i="9"/>
  <c r="D15" i="53"/>
  <c r="B31" i="72" s="1"/>
  <c r="C6" i="74"/>
  <c r="L63" i="9"/>
  <c r="M63" i="9" s="1"/>
  <c r="L68" i="9"/>
  <c r="M68" i="9" s="1"/>
  <c r="L64" i="9"/>
  <c r="M64" i="9" s="1"/>
  <c r="L65" i="9"/>
  <c r="M65" i="9" s="1"/>
  <c r="L66" i="9"/>
  <c r="M66" i="9" s="1"/>
  <c r="L67" i="9"/>
  <c r="M67" i="9" s="1"/>
  <c r="C68" i="9"/>
  <c r="D54" i="9" s="1"/>
  <c r="D59" i="9"/>
  <c r="M55" i="9" s="1"/>
  <c r="C95" i="9"/>
  <c r="D14" i="53"/>
  <c r="B32" i="72" s="1"/>
  <c r="B30" i="72"/>
  <c r="M69" i="9" l="1"/>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<sst xmlns="http://schemas.openxmlformats.org/spreadsheetml/2006/main" count="8312" uniqueCount="3675">
  <si>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</si>
  <si>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</si>
  <si>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</si>
  <si>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</si>
  <si>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</si>
  <si>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</si>
  <si>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</si>
  <si>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</si>
  <si>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</si>
  <si>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</si>
  <si>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</si>
  <si>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</si>
  <si>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</si>
  <si>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</si>
  <si>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</si>
  <si>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</si>
  <si>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</si>
  <si>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</si>
  <si>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</si>
  <si>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</si>
  <si>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</si>
  <si>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</si>
  <si>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</si>
  <si>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</si>
  <si>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</si>
  <si>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</si>
  <si>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</si>
  <si>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</si>
  <si>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</si>
  <si>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</si>
  <si>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</si>
  <si>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</si>
  <si>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</si>
  <si>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</si>
  <si>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</si>
  <si>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</si>
  <si>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</si>
  <si>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</si>
  <si>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</si>
  <si>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</si>
  <si>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</si>
  <si>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</si>
  <si>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</si>
  <si>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</si>
  <si>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</si>
  <si>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</si>
  <si>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</si>
  <si>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</si>
  <si>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</si>
  <si>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</si>
  <si>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</si>
  <si>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</si>
  <si>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</si>
  <si>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</si>
  <si>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</si>
  <si>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</si>
  <si>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</si>
  <si>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</si>
  <si>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</si>
  <si>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</si>
  <si>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</si>
  <si>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</si>
  <si>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</si>
  <si>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</si>
  <si>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</si>
  <si>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</si>
  <si>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</si>
  <si>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</si>
  <si>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</si>
  <si>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</si>
  <si>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</si>
  <si>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</si>
  <si>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</si>
  <si>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</si>
  <si>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</si>
  <si>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</si>
  <si>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</si>
  <si>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</si>
  <si>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</si>
  <si>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</si>
  <si>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</si>
  <si>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</si>
  <si>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</si>
  <si>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</si>
  <si>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</si>
  <si>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</si>
  <si>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</si>
  <si>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</si>
  <si>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</si>
  <si>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</si>
  <si>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</si>
  <si>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</si>
  <si>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</si>
  <si>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</si>
  <si>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</si>
  <si>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</si>
  <si>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</si>
  <si>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</si>
  <si>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</si>
  <si>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</si>
  <si>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</si>
  <si>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</si>
  <si>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</si>
  <si>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</si>
  <si>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</si>
  <si>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</si>
  <si>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</si>
  <si>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</si>
  <si>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</si>
  <si>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</si>
  <si>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</si>
  <si>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</si>
  <si>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</si>
  <si>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</si>
  <si>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</si>
  <si>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</si>
  <si>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</si>
  <si>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</si>
  <si>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</si>
  <si>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</si>
  <si>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</si>
  <si>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</si>
  <si>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</si>
  <si>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</si>
  <si>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</si>
  <si>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</si>
  <si>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</si>
  <si>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</si>
  <si>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</si>
  <si>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</si>
  <si>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</si>
  <si>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</si>
  <si>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</si>
  <si>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</si>
  <si>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</si>
  <si>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</si>
  <si>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</si>
  <si>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</si>
  <si>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</si>
  <si>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</si>
  <si>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</si>
  <si>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</si>
  <si>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</si>
  <si>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</si>
  <si>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</si>
  <si>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</si>
  <si>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</si>
  <si>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</si>
  <si>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</si>
  <si>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</si>
  <si>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</si>
  <si>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</si>
  <si>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</si>
  <si>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</si>
  <si>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</si>
  <si>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</si>
  <si>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</si>
  <si>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</si>
  <si>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</si>
  <si>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</si>
  <si>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</si>
  <si>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</si>
  <si>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</si>
  <si>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</si>
  <si>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</si>
  <si>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</si>
  <si>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</si>
  <si>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</si>
  <si>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</si>
  <si>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</si>
  <si>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</si>
  <si>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</si>
  <si>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</si>
  <si>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</si>
  <si>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</si>
  <si>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</si>
  <si>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</si>
  <si>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</si>
  <si>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</si>
  <si>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</si>
  <si>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</si>
  <si>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</si>
  <si>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</si>
  <si>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</si>
  <si>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</si>
  <si>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</si>
  <si>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</si>
  <si>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</si>
  <si>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</si>
  <si>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</si>
  <si>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</si>
  <si>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</si>
  <si>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</si>
  <si>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</si>
  <si>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</si>
  <si>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</si>
  <si>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</si>
  <si>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</si>
  <si>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</si>
  <si>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</si>
  <si>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</si>
  <si>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</si>
  <si>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</si>
  <si>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</si>
  <si>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</si>
  <si>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</si>
  <si>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</si>
  <si>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</si>
  <si>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</si>
  <si>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</si>
  <si>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</si>
  <si>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</si>
  <si>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</si>
  <si>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</si>
  <si>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</si>
  <si>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</si>
  <si>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</si>
  <si>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</si>
  <si>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</si>
  <si>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</si>
  <si>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</si>
  <si>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</si>
  <si>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</si>
  <si>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</si>
  <si>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</si>
  <si>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</si>
  <si>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</si>
  <si>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</si>
  <si>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</si>
  <si>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</si>
  <si>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</si>
  <si>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</si>
  <si>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</si>
  <si>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</si>
  <si>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</si>
  <si>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</si>
  <si>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</si>
  <si>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</si>
  <si>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</si>
  <si>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</si>
  <si>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</si>
  <si>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</si>
  <si>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</si>
  <si>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</si>
  <si>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</si>
  <si>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</si>
  <si>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</si>
  <si>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</si>
  <si>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</si>
  <si>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</si>
  <si>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</si>
  <si>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</si>
  <si>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</si>
  <si>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</si>
  <si>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</si>
  <si>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</si>
  <si>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</si>
  <si>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</si>
  <si>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</si>
  <si>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</si>
  <si>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</si>
  <si>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</si>
  <si>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</si>
  <si>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</si>
  <si>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</si>
  <si>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</si>
  <si>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</si>
  <si>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</si>
  <si>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</si>
  <si>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</si>
  <si>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</si>
  <si>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</si>
  <si>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</si>
  <si>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</si>
  <si>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</si>
  <si>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</si>
  <si>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</si>
  <si>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</si>
  <si>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</si>
  <si>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</si>
  <si>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</si>
  <si>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</si>
  <si>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</si>
  <si>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</si>
  <si>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</si>
  <si>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</si>
  <si>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</si>
  <si>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</si>
  <si>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</si>
  <si>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</si>
  <si>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</si>
  <si>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</si>
  <si>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</si>
  <si>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</si>
  <si>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</si>
  <si>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</si>
  <si>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</si>
  <si>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</si>
  <si>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</si>
  <si>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</si>
  <si>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</si>
  <si>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</si>
  <si>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</si>
  <si>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</si>
  <si>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</si>
  <si>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</si>
  <si>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</si>
  <si>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</si>
  <si>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</si>
  <si>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</si>
  <si>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</si>
  <si>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</si>
  <si>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</si>
  <si>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</si>
  <si>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</si>
  <si>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</si>
  <si>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</si>
  <si>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</si>
  <si>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</si>
  <si>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</si>
  <si>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</si>
  <si>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</si>
  <si>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</si>
  <si>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</si>
  <si>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</si>
  <si>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</si>
  <si>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</si>
  <si>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</si>
  <si>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</si>
  <si>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</si>
  <si>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</si>
  <si>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</si>
  <si>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</si>
  <si>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</si>
  <si>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</si>
  <si>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</si>
  <si>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</si>
  <si>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</si>
  <si>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</si>
  <si>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</si>
  <si>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</si>
  <si>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</si>
  <si>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</si>
  <si>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</si>
  <si>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</si>
  <si>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</si>
  <si>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</si>
  <si>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</si>
  <si>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</si>
  <si>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</si>
  <si>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</si>
  <si>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</si>
  <si>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</si>
  <si>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</si>
  <si>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</si>
  <si>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</si>
  <si>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</si>
  <si>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</si>
  <si>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</si>
  <si>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</si>
  <si>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</si>
  <si>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</si>
  <si>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</si>
  <si>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</si>
  <si>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</si>
  <si>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</si>
  <si>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</si>
  <si>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</si>
  <si>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</si>
  <si>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</si>
  <si>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</si>
  <si>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</si>
  <si>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</si>
  <si>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</si>
  <si>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</si>
  <si>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</si>
  <si>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</si>
  <si>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</si>
  <si>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</si>
  <si>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</si>
  <si>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</si>
  <si>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</si>
  <si>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</si>
  <si>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</si>
  <si>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</si>
  <si>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</si>
  <si>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</si>
  <si>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</si>
  <si>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</si>
  <si>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</si>
  <si>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</si>
  <si>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</si>
  <si>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</si>
  <si>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</si>
  <si>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</si>
  <si>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</si>
  <si>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</si>
  <si>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</si>
  <si>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</si>
  <si>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</si>
  <si>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</si>
  <si>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</si>
  <si>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</si>
  <si>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</si>
  <si>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</si>
  <si>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</si>
  <si>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</si>
  <si>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</si>
  <si>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</si>
  <si>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</si>
  <si>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</si>
  <si>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</si>
  <si>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</si>
  <si>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</si>
  <si>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</si>
  <si>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</si>
  <si>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</si>
  <si>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</si>
  <si>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</si>
  <si>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</si>
  <si>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</si>
  <si>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</si>
  <si>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</si>
  <si>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</si>
  <si>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</si>
  <si>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</si>
  <si>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</si>
  <si>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</si>
  <si>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</si>
  <si>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</si>
  <si>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</si>
  <si>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</si>
  <si>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</si>
  <si>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</si>
  <si>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</si>
  <si>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</si>
  <si>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</si>
  <si>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</si>
  <si>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</si>
  <si>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</si>
  <si>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</si>
  <si>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</si>
  <si>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</si>
  <si>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</si>
  <si>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</si>
  <si>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</si>
  <si>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</si>
  <si>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</si>
  <si>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</si>
  <si>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</si>
  <si>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</si>
  <si>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</si>
  <si>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</si>
  <si>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</si>
  <si>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</si>
  <si>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</si>
  <si>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</si>
  <si>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</si>
  <si>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</si>
  <si>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</si>
  <si>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</si>
  <si>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</si>
  <si>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</si>
  <si>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</si>
  <si>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</si>
  <si>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</si>
  <si>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</si>
  <si>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</si>
  <si>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</si>
  <si>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</si>
  <si>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</si>
  <si>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</si>
  <si>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</si>
  <si>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</si>
  <si>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</si>
  <si>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</si>
  <si>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</si>
  <si>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</si>
  <si>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</si>
  <si>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</si>
  <si>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</si>
  <si>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</si>
  <si>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</si>
  <si>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</si>
  <si>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</si>
  <si>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</si>
  <si>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</si>
  <si>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</si>
  <si>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</si>
  <si>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</si>
  <si>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</si>
  <si>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</si>
  <si>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</si>
  <si>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</si>
  <si>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</si>
  <si>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</si>
  <si>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</si>
  <si>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</si>
  <si>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</si>
  <si>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</si>
  <si>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</si>
  <si>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</si>
  <si>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</si>
  <si>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</si>
  <si>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</si>
  <si>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</si>
  <si>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</si>
  <si>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</si>
  <si>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</si>
  <si>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</si>
  <si>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</si>
  <si>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</si>
  <si>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</si>
  <si>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</si>
  <si>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</si>
  <si>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</si>
  <si>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</si>
  <si>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</si>
  <si>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</si>
  <si>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</si>
  <si>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</si>
  <si>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</si>
  <si>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</si>
  <si>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</si>
  <si>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</si>
  <si>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</si>
  <si>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</si>
  <si>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</si>
  <si>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</si>
  <si>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</si>
  <si>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</si>
  <si>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</si>
  <si>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</si>
  <si>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</si>
  <si>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</si>
  <si>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</si>
  <si>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</si>
  <si>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</si>
  <si>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</si>
  <si>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</si>
  <si>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</si>
  <si>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</si>
  <si>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</si>
  <si>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</si>
  <si>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</si>
  <si>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</si>
  <si>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</si>
  <si>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</si>
  <si>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</si>
  <si>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</si>
  <si>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</si>
  <si>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</si>
  <si>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</si>
  <si>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</si>
  <si>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</si>
  <si>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</si>
  <si>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</si>
  <si>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</si>
  <si>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</si>
  <si>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</si>
  <si>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</si>
  <si>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</si>
  <si>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</si>
  <si>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</si>
  <si>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</si>
  <si>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</si>
  <si>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</si>
  <si>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</si>
  <si>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</si>
  <si>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</si>
  <si>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</si>
  <si>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</si>
  <si>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</si>
  <si>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</si>
  <si>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</si>
  <si>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</si>
  <si>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</si>
  <si>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</si>
  <si>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</si>
  <si>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</si>
  <si>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</si>
  <si>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</si>
  <si>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</si>
  <si>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</si>
  <si>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</si>
  <si>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</si>
  <si>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</si>
  <si>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</si>
  <si>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</si>
  <si>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</si>
  <si>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</si>
  <si>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</si>
  <si>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</si>
  <si>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</si>
  <si>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</si>
  <si>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</si>
  <si>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</si>
  <si>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</si>
  <si>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</si>
  <si>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</si>
  <si>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</si>
  <si>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</si>
  <si>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</si>
  <si>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</si>
  <si>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</si>
  <si>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</si>
  <si>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</si>
  <si>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</si>
  <si>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</si>
  <si>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</si>
  <si>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</si>
  <si>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</si>
  <si>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</si>
  <si>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</si>
  <si>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</si>
  <si>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</si>
  <si>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</si>
  <si>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</si>
  <si>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</si>
  <si>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</si>
  <si>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</si>
  <si>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</si>
  <si>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</si>
  <si>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</si>
  <si>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</si>
  <si>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</si>
  <si>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</si>
  <si>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</si>
  <si>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</si>
  <si>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</si>
  <si>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</si>
  <si>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</si>
  <si>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</si>
  <si>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</si>
  <si>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</si>
  <si>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</si>
  <si>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</si>
  <si>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</si>
  <si>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</si>
  <si>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</si>
  <si>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</si>
  <si>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</si>
  <si>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</si>
  <si>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</si>
  <si>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</si>
  <si>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</si>
  <si>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</si>
  <si>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</si>
  <si>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</si>
  <si>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</si>
  <si>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</si>
  <si>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</si>
  <si>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</si>
  <si>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</si>
  <si>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</si>
  <si>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</si>
  <si>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</si>
  <si>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</si>
  <si>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</si>
  <si>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</si>
  <si>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</si>
  <si>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</si>
  <si>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</si>
  <si>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</si>
  <si>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</si>
  <si>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</si>
  <si>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</si>
  <si>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</si>
  <si>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</si>
  <si>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</si>
  <si>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</si>
  <si>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</si>
  <si>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</si>
  <si>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</si>
  <si>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</si>
  <si>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</si>
  <si>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</si>
  <si>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</si>
  <si>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</si>
  <si>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</si>
  <si>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</si>
  <si>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</si>
  <si>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</si>
  <si>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</si>
  <si>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</si>
  <si>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</si>
  <si>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</si>
  <si>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</si>
  <si>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</si>
  <si>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</si>
  <si>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</si>
  <si>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</si>
  <si>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</si>
  <si>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</si>
  <si>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</si>
  <si>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</si>
  <si>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</si>
  <si>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</si>
  <si>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</si>
  <si>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</si>
  <si>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</si>
  <si>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</si>
  <si>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</si>
  <si>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</si>
  <si>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</si>
  <si>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</si>
  <si>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</si>
  <si>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</si>
  <si>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</si>
  <si>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</si>
  <si>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</si>
  <si>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</si>
  <si>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</si>
  <si>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</si>
  <si>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</si>
  <si>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</si>
  <si>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</si>
  <si>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</si>
  <si>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</si>
  <si>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</si>
  <si>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</si>
  <si>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</si>
  <si>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</si>
  <si>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</si>
  <si>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</si>
  <si>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</si>
  <si>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</si>
  <si>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</si>
  <si>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</si>
  <si>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</si>
  <si>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</si>
  <si>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</si>
  <si>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</si>
  <si>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</si>
  <si>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</si>
  <si>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</si>
  <si>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</si>
  <si>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</si>
  <si>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</si>
  <si>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</si>
  <si>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</si>
  <si>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</si>
  <si>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</si>
  <si>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</si>
  <si>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</si>
  <si>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</si>
  <si>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</si>
  <si>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</si>
  <si>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</si>
  <si>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</si>
  <si>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</si>
  <si>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</si>
  <si>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</si>
  <si>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</si>
  <si>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</si>
  <si>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</si>
  <si>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</si>
  <si>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</si>
  <si>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</si>
  <si>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</si>
  <si>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</si>
  <si>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</si>
  <si>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</si>
  <si>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</si>
  <si>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</si>
  <si>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</si>
  <si>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</si>
  <si>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</si>
  <si>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</si>
  <si>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</si>
  <si>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</si>
  <si>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</si>
  <si>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</si>
  <si>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</si>
  <si>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</si>
  <si>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</si>
  <si>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</si>
  <si>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</si>
  <si>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</si>
  <si>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</si>
  <si>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</si>
  <si>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</si>
  <si>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</si>
  <si>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</si>
  <si>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</si>
  <si>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</si>
  <si>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</si>
  <si>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</si>
  <si>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</si>
  <si>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</si>
  <si>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</si>
  <si>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</si>
  <si>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</si>
  <si>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</si>
  <si>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</si>
  <si>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</si>
  <si>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</si>
  <si>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</si>
  <si>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</si>
  <si>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</si>
  <si>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</si>
  <si>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</si>
  <si>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</si>
  <si>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</si>
  <si>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</si>
  <si>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</si>
  <si>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</si>
  <si>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</si>
  <si>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</si>
  <si>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</si>
  <si>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</si>
  <si>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</si>
  <si>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</si>
  <si>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</si>
  <si>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</si>
  <si>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</si>
  <si>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</si>
  <si>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</si>
  <si>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</si>
  <si>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</si>
  <si>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</si>
  <si>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</si>
  <si>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</si>
  <si>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</si>
  <si>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</si>
  <si>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</si>
  <si>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</si>
  <si>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</si>
  <si>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</si>
  <si>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</si>
  <si>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</si>
  <si>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</si>
  <si>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</si>
  <si>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</si>
  <si>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</si>
  <si>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</si>
  <si>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</si>
  <si>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</si>
  <si>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</si>
  <si>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</si>
  <si>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</si>
  <si>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</si>
  <si>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</si>
  <si>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</si>
  <si>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</si>
  <si>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</si>
  <si>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</si>
  <si>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</si>
  <si>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</si>
  <si>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</si>
  <si>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</si>
  <si>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</si>
  <si>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</si>
  <si>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</si>
  <si>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</si>
  <si>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</si>
  <si>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</si>
  <si>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</si>
  <si>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</si>
  <si>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</si>
  <si>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</si>
  <si>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</si>
  <si>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</si>
  <si>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</si>
  <si>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</si>
  <si>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</si>
  <si>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</si>
  <si>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</si>
  <si>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</si>
  <si>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</si>
  <si>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</si>
  <si>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</si>
  <si>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</si>
  <si>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</si>
  <si>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</si>
  <si>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</si>
  <si>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</si>
  <si>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</si>
  <si>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</si>
  <si>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</si>
  <si>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</si>
  <si>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</si>
  <si>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</si>
  <si>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</si>
  <si>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</si>
  <si>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</si>
  <si>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</si>
  <si>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</si>
  <si>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</si>
  <si>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</si>
  <si>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</si>
  <si>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</si>
  <si>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</si>
  <si>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</si>
  <si>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</si>
  <si>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</si>
  <si>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</si>
  <si>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</si>
  <si>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</si>
  <si>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</si>
  <si>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</si>
  <si>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</si>
  <si>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</si>
  <si>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</si>
  <si>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</si>
  <si>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</si>
  <si>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</si>
  <si>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</si>
  <si>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</si>
  <si>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</si>
  <si>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</si>
  <si>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</si>
  <si>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</si>
  <si>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</si>
  <si>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</si>
  <si>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</si>
  <si>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</si>
  <si>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</si>
  <si>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</si>
  <si>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</si>
  <si>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</si>
  <si>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</si>
  <si>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</si>
  <si>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</si>
  <si>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</si>
  <si>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</si>
  <si>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</si>
  <si>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</si>
  <si>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</si>
  <si>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</si>
  <si>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</si>
  <si>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</si>
  <si>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</si>
  <si>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</si>
  <si>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</si>
  <si>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</si>
  <si>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</si>
  <si>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</si>
  <si>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</si>
  <si>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</si>
  <si>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</si>
  <si>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</si>
  <si>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</si>
  <si>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</si>
  <si>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</si>
  <si>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</si>
  <si>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</si>
  <si>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</si>
  <si>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</si>
  <si>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</si>
  <si>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</si>
  <si>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</si>
  <si>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</si>
  <si>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</si>
  <si>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</si>
  <si>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</si>
  <si>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</si>
  <si>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</si>
  <si>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</si>
  <si>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</si>
  <si>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</si>
  <si>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</si>
  <si>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</si>
  <si>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</si>
  <si>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</si>
  <si>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</si>
  <si>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</si>
  <si>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</si>
  <si>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</si>
  <si>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</si>
  <si>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</si>
  <si>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</si>
  <si>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</si>
  <si>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</si>
  <si>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</si>
  <si>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</si>
  <si>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</si>
  <si>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</si>
  <si>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</si>
  <si>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</si>
  <si>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</si>
  <si>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</si>
  <si>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</si>
  <si>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</si>
  <si>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</si>
  <si>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</si>
  <si>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</si>
  <si>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</si>
  <si>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</si>
  <si>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</si>
  <si>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</si>
  <si>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</si>
  <si>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</si>
  <si>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</si>
  <si>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</si>
  <si>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</si>
  <si>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</si>
  <si>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</si>
  <si>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</si>
  <si>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</si>
  <si>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</si>
  <si>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</si>
  <si>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</si>
  <si>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</si>
  <si>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</si>
  <si>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</si>
  <si>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</si>
  <si>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</si>
  <si>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</si>
  <si>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</si>
  <si>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</si>
  <si>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</si>
  <si>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</si>
  <si>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</si>
  <si>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</si>
  <si>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</si>
  <si>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</si>
  <si>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</si>
  <si>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</si>
  <si>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</si>
  <si>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</si>
  <si>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</si>
  <si>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</si>
  <si>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</si>
  <si>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</si>
  <si>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</si>
  <si>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</si>
  <si>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</si>
  <si>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</si>
  <si>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</si>
  <si>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</si>
  <si>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</si>
  <si>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</si>
  <si>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</si>
  <si>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</si>
  <si>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</si>
  <si>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</si>
  <si>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</si>
  <si>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</si>
  <si>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</si>
  <si>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</si>
  <si>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</si>
  <si>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</si>
  <si>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</si>
  <si>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</si>
  <si>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</si>
  <si>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</si>
  <si>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</si>
  <si>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</si>
  <si>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</si>
  <si>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</si>
  <si>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</si>
  <si>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</si>
  <si>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</si>
  <si>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</si>
  <si>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</si>
  <si>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</si>
  <si>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</si>
  <si>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</si>
  <si>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</si>
  <si>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</si>
  <si>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</si>
  <si>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</si>
  <si>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</si>
  <si>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</si>
  <si>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</si>
  <si>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</si>
  <si>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</si>
  <si>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</si>
  <si>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</si>
  <si>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</si>
  <si>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</si>
  <si>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</si>
  <si>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</si>
  <si>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</si>
  <si>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</si>
  <si>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</si>
  <si>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</si>
  <si>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</si>
  <si>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</si>
  <si>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</si>
  <si>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</si>
  <si>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</si>
  <si>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</si>
  <si>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</si>
  <si>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</si>
  <si>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</si>
  <si>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</si>
  <si>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</si>
  <si>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</si>
  <si>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</si>
  <si>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</si>
  <si>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</si>
  <si>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</si>
  <si>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</si>
  <si>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</si>
  <si>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</si>
  <si>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</si>
  <si>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</si>
  <si>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</si>
  <si>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</si>
  <si>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</si>
  <si>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</si>
  <si>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</si>
  <si>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</si>
  <si>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</si>
  <si>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</si>
  <si>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</si>
  <si>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</si>
  <si>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</si>
  <si>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</si>
  <si>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</si>
  <si>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</si>
  <si>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</si>
  <si>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</si>
  <si>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</si>
  <si>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</si>
  <si>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</si>
  <si>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</si>
  <si>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</si>
  <si>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</si>
  <si>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</si>
  <si>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</si>
  <si>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</si>
  <si>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</si>
  <si>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</si>
  <si>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</si>
  <si>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</si>
  <si>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</si>
  <si>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</si>
  <si>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</si>
  <si>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</si>
  <si>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</si>
  <si>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</si>
  <si>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</si>
  <si>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</si>
  <si>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</si>
  <si>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</si>
  <si>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</si>
  <si>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</si>
  <si>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</si>
  <si>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</si>
  <si>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</si>
  <si>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</si>
  <si>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</si>
  <si>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</si>
  <si>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</si>
  <si>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</si>
  <si>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</si>
  <si>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</si>
  <si>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</si>
  <si>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</si>
  <si>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</si>
  <si>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</si>
  <si>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</si>
  <si>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</si>
  <si>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</si>
  <si>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</si>
  <si>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</si>
  <si>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</si>
  <si>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</si>
  <si>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</si>
  <si>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</si>
  <si>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</si>
  <si>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</si>
  <si>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</si>
  <si>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</si>
  <si>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</si>
  <si>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</si>
  <si>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</si>
  <si>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</si>
  <si>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</si>
  <si>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</si>
  <si>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</si>
  <si>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</si>
  <si>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</si>
  <si>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</si>
  <si>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</si>
  <si>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</si>
  <si>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</si>
  <si>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</si>
  <si>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</si>
  <si>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</si>
  <si>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</si>
  <si>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</si>
  <si>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</si>
  <si>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</si>
  <si>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</si>
  <si>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</si>
  <si>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</si>
  <si>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</si>
  <si>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</si>
  <si>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</si>
  <si>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</si>
  <si>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</si>
  <si>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</si>
  <si>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</si>
  <si>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</si>
  <si>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</si>
  <si>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</si>
  <si>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</si>
  <si>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</si>
  <si>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</si>
  <si>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</si>
  <si>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</si>
  <si>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</si>
  <si>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</si>
  <si>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</si>
  <si>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</si>
  <si>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</si>
  <si>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</si>
  <si>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</si>
  <si>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</si>
  <si>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</si>
  <si>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</si>
  <si>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</si>
  <si>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</si>
  <si>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</si>
  <si>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</si>
  <si>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</si>
  <si>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</si>
  <si>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</si>
  <si>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</si>
  <si>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</si>
  <si>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</si>
  <si>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</si>
  <si>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</si>
  <si>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</si>
  <si>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</si>
  <si>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</si>
  <si>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</si>
  <si>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</si>
  <si>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</si>
  <si>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</si>
  <si>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</si>
  <si>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</si>
  <si>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</si>
  <si>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</si>
  <si>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</si>
  <si>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</si>
  <si>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</si>
  <si>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</si>
  <si>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</si>
  <si>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</si>
  <si>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</si>
  <si>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</si>
  <si>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</si>
  <si>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</si>
  <si>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</si>
  <si>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</si>
  <si>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</si>
  <si>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</si>
  <si>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</si>
  <si>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</si>
  <si>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</si>
  <si>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</si>
  <si>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</si>
  <si>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</si>
  <si>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</si>
  <si>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</si>
  <si>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</si>
  <si>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</si>
  <si>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</si>
  <si>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</si>
  <si>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</si>
  <si>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</si>
  <si>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</si>
  <si>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</si>
  <si>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</si>
  <si>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</si>
  <si>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</si>
  <si>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</si>
  <si>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</si>
  <si>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</si>
  <si>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</si>
  <si>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</si>
  <si>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</si>
  <si>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</si>
  <si>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</si>
  <si>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</si>
  <si>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</si>
  <si>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</si>
  <si>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</si>
  <si>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</si>
  <si>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</si>
  <si>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</si>
  <si>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</si>
  <si>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</si>
  <si>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</si>
  <si>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</si>
  <si>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</si>
  <si>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</si>
  <si>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</si>
  <si>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</si>
  <si>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</si>
  <si>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</si>
  <si>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</si>
  <si>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</si>
  <si>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</si>
  <si>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</si>
  <si>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</si>
  <si>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</si>
  <si>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</si>
  <si>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</si>
  <si>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</si>
  <si>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</si>
  <si>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</si>
  <si>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</si>
  <si>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</si>
  <si>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</si>
  <si>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</si>
  <si>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</si>
  <si>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</si>
  <si>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</si>
  <si>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</si>
  <si>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</si>
  <si>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</si>
  <si>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</si>
  <si>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</si>
  <si>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</si>
  <si>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</si>
  <si>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</si>
  <si>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</si>
  <si>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</si>
  <si>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</si>
  <si>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</si>
  <si>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</si>
  <si>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</si>
  <si>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</si>
  <si>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</si>
  <si>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</si>
  <si>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</si>
  <si>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</si>
  <si>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</si>
  <si>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</si>
  <si>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</si>
  <si>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</si>
  <si>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</si>
  <si>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</si>
  <si>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</si>
  <si>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</si>
  <si>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</si>
  <si>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</si>
  <si>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</si>
  <si>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</si>
  <si>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</si>
  <si>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</si>
  <si>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</si>
  <si>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</si>
  <si>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</si>
  <si>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</si>
  <si>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</si>
  <si>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</si>
  <si>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</si>
  <si>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</si>
  <si>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</si>
  <si>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</si>
  <si>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</si>
  <si>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</si>
  <si>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</si>
  <si>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</si>
  <si>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</si>
  <si>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</si>
  <si>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</si>
  <si>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</si>
  <si>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</si>
  <si>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</si>
  <si>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</si>
  <si>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</si>
  <si>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</si>
  <si>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</si>
  <si>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</si>
  <si>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</si>
  <si>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</si>
  <si>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</si>
  <si>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</si>
  <si>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</si>
  <si>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</si>
  <si>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</si>
  <si>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</si>
  <si>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</si>
  <si>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</si>
  <si>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</si>
  <si>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</si>
  <si>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</si>
  <si>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</si>
  <si>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</si>
  <si>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</si>
  <si>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</si>
  <si>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</si>
  <si>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</si>
  <si>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</si>
  <si>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</si>
  <si>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</si>
  <si>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</si>
  <si>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</si>
  <si>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</si>
  <si>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</si>
  <si>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</si>
  <si>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</si>
  <si>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</si>
  <si>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</si>
  <si>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</si>
  <si>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</si>
  <si>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</si>
  <si>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</si>
  <si>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</si>
  <si>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</si>
  <si>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</si>
  <si>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</si>
  <si>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</si>
  <si>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</si>
  <si>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</si>
  <si>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</si>
  <si>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</si>
  <si>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</si>
  <si>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</si>
  <si>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</si>
  <si>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</si>
  <si>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</si>
  <si>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</si>
  <si>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</si>
  <si>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</si>
  <si>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</si>
  <si>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</si>
  <si>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</si>
  <si>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</si>
  <si>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</si>
  <si>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</si>
  <si>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</si>
  <si>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</si>
  <si>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</si>
  <si>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</si>
  <si>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</si>
  <si>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</si>
  <si>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</si>
  <si>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</si>
  <si>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</si>
  <si>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</si>
  <si>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</si>
  <si>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</si>
  <si>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</si>
  <si>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</si>
  <si>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</si>
  <si>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</si>
  <si>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</si>
  <si>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</si>
  <si>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</si>
  <si>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</si>
  <si>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</si>
  <si>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</si>
  <si>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</si>
  <si>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</si>
  <si>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</si>
  <si>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</si>
  <si>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</si>
  <si>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</si>
  <si>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</si>
  <si>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</si>
  <si>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</si>
  <si>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</si>
  <si>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</si>
  <si>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</si>
  <si>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</si>
  <si>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</si>
  <si>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</si>
  <si>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</si>
  <si>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</si>
  <si>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</si>
  <si>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</si>
  <si>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</si>
  <si>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</si>
  <si>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</si>
  <si>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</si>
  <si>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</si>
  <si>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</si>
  <si>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</si>
  <si>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</si>
  <si>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</si>
  <si>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</si>
  <si>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</si>
  <si>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</si>
  <si>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</si>
  <si>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</si>
  <si>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</si>
  <si>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</si>
  <si>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</si>
  <si>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</si>
  <si>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</si>
  <si>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</si>
  <si>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</si>
  <si>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</si>
  <si>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</si>
  <si>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</si>
  <si>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</si>
  <si>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</si>
  <si>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</si>
  <si>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</si>
  <si>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</si>
  <si>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</si>
  <si>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</si>
  <si>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</si>
  <si>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</si>
  <si>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</si>
  <si>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</si>
  <si>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</si>
  <si>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</si>
  <si>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</si>
  <si>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</si>
  <si>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</si>
  <si>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</si>
  <si>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</si>
  <si>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</si>
  <si>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</si>
  <si>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</si>
  <si>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</si>
  <si>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</si>
  <si>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</si>
  <si>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</si>
  <si>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</si>
  <si>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</si>
  <si>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</si>
  <si>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</si>
  <si>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</si>
  <si>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</si>
  <si>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</si>
  <si>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</si>
  <si>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</si>
  <si>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</si>
  <si>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</si>
  <si>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</si>
  <si>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</si>
  <si>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</si>
  <si>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</si>
  <si>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</si>
  <si>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</si>
  <si>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</si>
  <si>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</si>
  <si>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</si>
  <si>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</si>
  <si>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</si>
  <si>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</si>
  <si>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</si>
  <si>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</si>
  <si>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</si>
  <si>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</si>
  <si>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</si>
  <si>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</si>
  <si>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</si>
  <si>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</si>
  <si>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</si>
  <si>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</si>
  <si>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</si>
  <si>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</si>
  <si>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</si>
  <si>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</si>
  <si>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</si>
  <si>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</si>
  <si>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</si>
  <si>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</si>
  <si>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</si>
  <si>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</si>
  <si>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</si>
  <si>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</si>
  <si>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</si>
  <si>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</si>
  <si>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</si>
  <si>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</si>
  <si>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</si>
  <si>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</si>
  <si>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</si>
  <si>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</si>
  <si>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</si>
  <si>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</si>
  <si>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</si>
  <si>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</si>
  <si>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</si>
  <si>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</si>
  <si>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</si>
  <si>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</si>
  <si>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</si>
  <si>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</si>
  <si>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</si>
  <si>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</si>
  <si>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</si>
  <si>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</si>
  <si>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</si>
  <si>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</si>
  <si>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</si>
  <si>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</si>
  <si>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</si>
  <si>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</si>
  <si>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</si>
  <si>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</si>
  <si>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</si>
  <si>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</si>
  <si>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</si>
  <si>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</si>
  <si>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</si>
  <si>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</si>
  <si>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</si>
  <si>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</si>
  <si>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</si>
  <si>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</si>
  <si>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</si>
  <si>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</si>
  <si>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</si>
  <si>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</si>
  <si>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</si>
  <si>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</si>
  <si>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</si>
  <si>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</si>
  <si>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</si>
  <si>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</si>
  <si>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</si>
  <si>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</si>
  <si>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</si>
  <si>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</si>
  <si>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</si>
  <si>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</si>
  <si>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</si>
  <si>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</si>
  <si>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</si>
  <si>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</si>
  <si>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</si>
  <si>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</si>
  <si>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</si>
  <si>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</si>
  <si>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</si>
  <si>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</si>
  <si>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</si>
  <si>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</si>
  <si>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</si>
  <si>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</si>
  <si>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</si>
  <si>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</si>
  <si>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</si>
  <si>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</si>
  <si>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</si>
  <si>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</si>
  <si>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</si>
  <si>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</si>
  <si>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</si>
  <si>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</si>
  <si>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</si>
  <si>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</si>
  <si>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</si>
  <si>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</si>
  <si>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</si>
  <si>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</si>
  <si>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</si>
  <si>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</si>
  <si>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</si>
  <si>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</si>
  <si>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</si>
  <si>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</si>
  <si>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</si>
  <si>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</si>
  <si>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</si>
  <si>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</si>
  <si>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</si>
  <si>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</si>
  <si>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</si>
  <si>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</si>
  <si>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</si>
  <si>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</si>
  <si>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</si>
  <si>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</si>
  <si>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</si>
  <si>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</si>
  <si>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</si>
  <si>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</si>
  <si>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</si>
  <si>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</si>
  <si>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</si>
  <si>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</si>
  <si>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</si>
  <si>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</si>
  <si>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</si>
  <si>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</si>
  <si>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</si>
  <si>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</si>
  <si>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</si>
  <si>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</si>
  <si>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</si>
  <si>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</si>
  <si>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</si>
  <si>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</si>
  <si>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</si>
  <si>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</si>
  <si>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</si>
  <si>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</si>
  <si>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</si>
  <si>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</si>
  <si>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</si>
  <si>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</si>
  <si>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</si>
  <si>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</si>
  <si>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</si>
  <si>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</si>
  <si>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</si>
  <si>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</si>
  <si>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</si>
  <si>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</si>
  <si>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</si>
  <si>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</si>
  <si>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</si>
  <si>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</si>
  <si>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</si>
  <si>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</si>
  <si>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</si>
  <si>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</si>
  <si>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</si>
  <si>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</si>
  <si>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</si>
  <si>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</si>
  <si>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</si>
  <si>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</si>
  <si>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</si>
  <si>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</si>
  <si>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</si>
  <si>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</si>
  <si>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</si>
  <si>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</si>
  <si>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</si>
  <si>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</si>
  <si>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</si>
  <si>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</si>
  <si>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</si>
  <si>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</si>
  <si>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</si>
  <si>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</si>
  <si>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</si>
  <si>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</si>
  <si>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</si>
  <si>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</si>
  <si>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</si>
  <si>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</si>
  <si>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</si>
  <si>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</si>
  <si>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</si>
  <si>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</si>
  <si>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</si>
  <si>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</si>
  <si>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</si>
  <si>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</si>
  <si>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</si>
  <si>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</si>
  <si>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</si>
  <si>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</si>
  <si>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</si>
  <si>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</si>
  <si>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</si>
  <si>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</si>
  <si>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</si>
  <si>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</si>
  <si>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</si>
  <si>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</si>
  <si>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</si>
  <si>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</si>
  <si>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</si>
  <si>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</si>
  <si>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</si>
  <si>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</si>
  <si>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</si>
  <si>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</si>
  <si>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</si>
  <si>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</si>
  <si>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</si>
  <si>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</si>
  <si>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</si>
  <si>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</si>
  <si>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</si>
  <si>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</si>
  <si>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</si>
  <si>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</si>
  <si>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</si>
  <si>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</si>
  <si>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</si>
  <si>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</si>
  <si>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</si>
  <si>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</si>
  <si>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</si>
  <si>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</si>
  <si>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</si>
  <si>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</si>
  <si>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</si>
  <si>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</si>
  <si>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</si>
  <si>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</si>
  <si>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</si>
  <si>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</si>
  <si>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</si>
  <si>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</si>
  <si>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</si>
  <si>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</si>
  <si>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</si>
  <si>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</si>
  <si>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</si>
  <si>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</si>
  <si>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</si>
  <si>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</si>
  <si>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</si>
  <si>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</si>
  <si>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</si>
  <si>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</si>
  <si>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</si>
  <si>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</si>
  <si>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</si>
  <si>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</si>
  <si>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</si>
  <si>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</si>
  <si>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</si>
  <si>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</si>
  <si>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</si>
  <si>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</si>
  <si>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</si>
  <si>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</si>
  <si>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</si>
  <si>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</si>
  <si>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</si>
  <si>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</si>
  <si>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</si>
  <si>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</si>
  <si>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</si>
  <si>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</si>
  <si>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</si>
  <si>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</si>
  <si>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</si>
  <si>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</si>
  <si>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</si>
  <si>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</si>
  <si>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</si>
  <si>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</si>
  <si>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</si>
  <si>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</si>
  <si>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</si>
  <si>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</si>
  <si>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</si>
  <si>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</si>
  <si>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</si>
  <si>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</si>
  <si>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</si>
  <si>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</si>
  <si>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</si>
  <si>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</si>
  <si>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</si>
  <si>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</si>
  <si>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</si>
  <si>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</si>
  <si>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</si>
  <si>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</si>
  <si>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</si>
  <si>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</si>
  <si>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</si>
  <si>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</si>
  <si>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</si>
  <si>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</si>
  <si>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</si>
  <si>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</si>
  <si>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</si>
  <si>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</si>
  <si>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</si>
  <si>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</si>
  <si>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</si>
  <si>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</si>
  <si>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</si>
  <si>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</si>
  <si>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</si>
  <si>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</si>
  <si>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</si>
  <si>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</si>
  <si>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</si>
  <si>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</si>
  <si>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</si>
  <si>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</si>
  <si>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</si>
  <si>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</si>
  <si>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</si>
  <si>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</si>
  <si>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</si>
  <si>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</si>
  <si>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</si>
  <si>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</si>
  <si>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</si>
  <si>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</si>
  <si>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</si>
  <si>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</si>
  <si>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</si>
  <si>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</si>
  <si>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</si>
  <si>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</si>
  <si>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</si>
  <si>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</si>
  <si>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</si>
  <si>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</si>
  <si>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</si>
  <si>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</si>
  <si>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</si>
  <si>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</si>
  <si>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</si>
  <si>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</si>
  <si>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</si>
  <si>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</si>
  <si>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</si>
  <si>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</si>
  <si>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</si>
  <si>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</si>
  <si>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</si>
  <si>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</si>
  <si>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</si>
  <si>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</si>
  <si>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</si>
  <si>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</si>
  <si>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</si>
  <si>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</si>
  <si>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</si>
  <si>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</si>
  <si>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</si>
  <si>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</si>
  <si>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</si>
  <si>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</si>
  <si>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</si>
  <si>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</si>
  <si>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</si>
  <si>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</si>
  <si>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</si>
  <si>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</si>
  <si>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</si>
  <si>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</si>
  <si>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</si>
  <si>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</si>
  <si>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</si>
  <si>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</si>
  <si>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</si>
  <si>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</si>
  <si>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</si>
  <si>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</si>
  <si>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</si>
  <si>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</si>
  <si>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</si>
  <si>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</si>
  <si>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</si>
  <si>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</si>
  <si>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</si>
  <si>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</si>
  <si>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</si>
  <si>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</si>
  <si>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</si>
  <si>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</si>
  <si>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</si>
  <si>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</si>
  <si>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</si>
  <si>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</si>
  <si>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</si>
  <si>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</si>
  <si>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</si>
  <si>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</si>
  <si>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</si>
  <si>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</si>
  <si>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</si>
  <si>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</si>
  <si>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</si>
  <si>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</si>
  <si>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</si>
  <si>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</si>
  <si>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</si>
  <si>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</si>
  <si>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</si>
  <si>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</si>
  <si>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</si>
  <si>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</si>
  <si>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</si>
  <si>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</si>
  <si>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</si>
  <si>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</si>
  <si>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</si>
  <si>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</si>
  <si>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</si>
  <si>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</si>
  <si>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</si>
  <si>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</si>
  <si>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</si>
  <si>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</si>
  <si>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</si>
  <si>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</si>
  <si>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</si>
  <si>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</si>
  <si>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</si>
  <si>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</si>
  <si>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</si>
  <si>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</si>
  <si>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</si>
  <si>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</si>
  <si>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</si>
  <si>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</si>
  <si>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</si>
  <si>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</si>
  <si>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</si>
  <si>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</si>
  <si>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</si>
  <si>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</si>
  <si>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</si>
  <si>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</si>
  <si>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</si>
  <si>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</si>
  <si>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</si>
  <si>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</si>
  <si>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</si>
  <si>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</si>
  <si>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</si>
  <si>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</si>
  <si>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</si>
  <si>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</si>
  <si>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</si>
  <si>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</si>
  <si>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</si>
  <si>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</si>
  <si>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</si>
  <si>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</si>
  <si>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</si>
  <si>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</si>
  <si>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</si>
  <si>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</si>
  <si>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</si>
  <si>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</si>
  <si>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</si>
  <si>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</si>
  <si>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</si>
  <si>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</si>
  <si>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</si>
  <si>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</si>
  <si>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</si>
  <si>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</si>
  <si>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</si>
  <si>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</si>
  <si>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</si>
  <si>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</si>
  <si>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</si>
  <si>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</si>
  <si>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</si>
  <si>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</si>
  <si>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</si>
  <si>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</si>
  <si>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</si>
  <si>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</si>
  <si>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</si>
  <si>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</si>
  <si>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</si>
  <si>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</si>
  <si>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</si>
  <si>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</si>
  <si>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</si>
  <si>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</si>
  <si>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</si>
  <si>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</si>
  <si>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</si>
  <si>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</si>
  <si>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</si>
  <si>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</si>
  <si>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</si>
  <si>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</si>
  <si>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</si>
  <si>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</si>
  <si>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</si>
  <si>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</si>
  <si>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</si>
  <si>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</si>
  <si>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</si>
  <si>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</si>
  <si>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</si>
  <si>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</si>
  <si>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</si>
  <si>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</si>
  <si>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</si>
  <si>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</si>
  <si>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</si>
  <si>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</si>
  <si>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</si>
  <si>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</si>
  <si>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</si>
  <si>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</si>
  <si>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</si>
  <si>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</si>
  <si>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</si>
  <si>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</si>
  <si>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</si>
  <si>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</si>
  <si>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</si>
  <si>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</si>
  <si>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</si>
  <si>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</si>
  <si>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</si>
  <si>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</si>
  <si>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</si>
  <si>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</si>
  <si>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</si>
  <si>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</si>
  <si>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</si>
  <si>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</si>
  <si>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</si>
  <si>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</si>
  <si>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</si>
  <si>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</si>
  <si>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</si>
  <si>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</si>
  <si>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</si>
  <si>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</si>
  <si>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</si>
  <si>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</si>
  <si>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</si>
  <si>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</si>
  <si>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</si>
  <si>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</si>
  <si>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</si>
  <si>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</si>
  <si>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</si>
  <si>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</si>
  <si>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</si>
  <si>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</si>
  <si>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</si>
  <si>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</si>
  <si>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</si>
  <si>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</si>
  <si>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</si>
  <si>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</si>
  <si>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</si>
  <si>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</si>
  <si>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</si>
  <si>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</si>
  <si>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</si>
  <si>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</si>
  <si>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</si>
  <si>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</si>
  <si>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</si>
  <si>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</si>
  <si>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</si>
  <si>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</si>
  <si>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</si>
  <si>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</si>
  <si>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</si>
  <si>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</si>
  <si>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</si>
  <si>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</si>
  <si>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</si>
  <si>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</si>
  <si>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</si>
  <si>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</si>
  <si>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</si>
  <si>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</si>
  <si>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</si>
  <si>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</si>
  <si>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</si>
  <si>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</si>
  <si>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</si>
  <si>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</si>
  <si>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</si>
  <si>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</si>
  <si>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</si>
  <si>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</si>
  <si>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</si>
  <si>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</si>
  <si>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</si>
  <si>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</si>
  <si>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</si>
  <si>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</si>
  <si>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</si>
  <si>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</si>
  <si>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</si>
  <si>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</si>
  <si>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</si>
  <si>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</si>
  <si>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</si>
  <si>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</si>
  <si>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</si>
  <si>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</si>
  <si>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</si>
  <si>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</si>
  <si>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</si>
  <si>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</si>
  <si>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</si>
  <si>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</si>
  <si>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</si>
  <si>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</si>
  <si>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</si>
  <si>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</si>
  <si>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</si>
  <si>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</si>
  <si>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</si>
  <si>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</si>
  <si>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</si>
  <si>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</si>
  <si>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</si>
  <si>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</si>
  <si>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</si>
  <si>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</si>
  <si>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</si>
  <si>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</si>
  <si>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</si>
  <si>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</si>
  <si>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</si>
  <si>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</si>
  <si>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</si>
  <si>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</si>
  <si>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</si>
  <si>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</si>
  <si>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</si>
  <si>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</si>
  <si>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</si>
  <si>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</si>
  <si>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</si>
  <si>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</si>
  <si>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</si>
  <si>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</si>
  <si>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</si>
  <si>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</si>
  <si>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</si>
  <si>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</si>
  <si>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</si>
  <si>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</si>
  <si>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</si>
  <si>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</si>
  <si>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</si>
  <si>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</si>
  <si>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</si>
  <si>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</si>
  <si>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</si>
  <si>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</si>
  <si>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</si>
  <si>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</si>
  <si>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</si>
  <si>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</si>
  <si>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</si>
  <si>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</si>
  <si>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</si>
  <si>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</si>
  <si>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</si>
  <si>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</si>
  <si>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</si>
  <si>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</si>
  <si>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</si>
  <si>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</si>
  <si>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</si>
  <si>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</si>
  <si>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</si>
  <si>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</si>
  <si>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</si>
  <si>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</si>
  <si>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</si>
  <si>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</si>
  <si>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</si>
  <si>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</si>
  <si>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</si>
  <si>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</si>
  <si>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</si>
  <si>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</si>
  <si>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</si>
  <si>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</si>
  <si>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</si>
  <si>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</si>
  <si>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</si>
  <si>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</si>
  <si>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</si>
  <si>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</si>
  <si>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</si>
  <si>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</si>
  <si>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</si>
  <si>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</si>
  <si>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</si>
  <si>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</si>
  <si>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</si>
  <si>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</si>
  <si>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</si>
  <si>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</si>
  <si>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</si>
  <si>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</si>
  <si>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</si>
  <si>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</si>
  <si>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</si>
  <si>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</si>
  <si>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</si>
  <si>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</si>
  <si>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</si>
  <si>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</si>
  <si>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</si>
  <si>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</si>
  <si>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</si>
  <si>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</si>
  <si>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</si>
  <si>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</si>
  <si>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</si>
  <si>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</si>
  <si>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</si>
  <si>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</si>
  <si>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</si>
  <si>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</si>
  <si>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</si>
  <si>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</si>
  <si>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</si>
  <si>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</si>
  <si>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</si>
  <si>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</si>
  <si>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</si>
  <si>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</si>
  <si>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</si>
  <si>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</si>
  <si>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</si>
  <si>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</si>
  <si>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</si>
  <si>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</si>
  <si>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</si>
  <si>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</si>
  <si>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</si>
  <si>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</si>
  <si>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</si>
  <si>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</si>
  <si>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</si>
  <si>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</si>
  <si>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</si>
  <si>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</si>
  <si>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</si>
  <si>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</si>
  <si>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</si>
  <si>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</si>
  <si>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</si>
  <si>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</si>
  <si>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</si>
  <si>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</si>
  <si>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</si>
  <si>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</si>
  <si>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</si>
  <si>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</si>
  <si>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</si>
  <si>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</si>
  <si>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</si>
  <si>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</si>
  <si>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</si>
  <si>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</si>
  <si>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</si>
  <si>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</si>
  <si>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</si>
  <si>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</si>
  <si>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</si>
  <si>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</si>
  <si>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</si>
  <si>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</si>
  <si>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</si>
  <si>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</si>
  <si>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</si>
  <si>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</si>
  <si>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</si>
  <si>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</si>
  <si>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</si>
  <si>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</si>
  <si>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</si>
  <si>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</si>
  <si>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</si>
  <si>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</si>
  <si>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</si>
  <si>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</si>
  <si>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</si>
  <si>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</si>
  <si>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</si>
  <si>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</si>
  <si>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</si>
  <si>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</si>
  <si>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</si>
  <si>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</si>
  <si>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</si>
  <si>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</si>
  <si>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</si>
  <si>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</si>
  <si>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</si>
  <si>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</si>
  <si>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</si>
  <si>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</si>
  <si>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</si>
  <si>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</si>
  <si>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</si>
  <si>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</si>
  <si>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</si>
  <si>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</si>
  <si>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</si>
  <si>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</si>
  <si>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</si>
  <si>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</si>
  <si>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</si>
  <si>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</si>
  <si>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</si>
  <si>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</si>
  <si>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</si>
  <si>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</si>
  <si>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</si>
  <si>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</si>
  <si>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</si>
  <si>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</si>
  <si>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</si>
  <si>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</si>
  <si>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</si>
  <si>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</si>
  <si>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</si>
  <si>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</si>
  <si>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</si>
  <si>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</si>
  <si>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</si>
  <si>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</si>
  <si>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</si>
  <si>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</si>
  <si>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</si>
  <si>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</si>
  <si>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</si>
  <si>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</si>
  <si>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</si>
  <si>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</si>
  <si>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</si>
  <si>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</si>
  <si>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</si>
  <si>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</si>
  <si>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</si>
  <si>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</si>
  <si>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</si>
  <si>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</si>
  <si>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</si>
  <si>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</si>
  <si>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</si>
  <si>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</si>
  <si>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</si>
  <si>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</si>
  <si>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</si>
  <si>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</si>
  <si>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</si>
  <si>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</si>
  <si>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</si>
  <si>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</si>
  <si>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</si>
  <si>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</si>
  <si>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</si>
  <si>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</si>
  <si>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</si>
  <si>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</si>
  <si>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</si>
  <si>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</si>
  <si>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</si>
  <si>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</si>
  <si>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</si>
  <si>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</si>
  <si>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</si>
  <si>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</si>
  <si>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</si>
  <si>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</si>
  <si>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</si>
  <si>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</si>
  <si>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</si>
  <si>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</si>
  <si>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</si>
  <si>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</si>
  <si>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</si>
  <si>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</si>
  <si>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</si>
  <si>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</si>
  <si>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</si>
  <si>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</si>
  <si>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</si>
  <si>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</si>
  <si>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</si>
  <si>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</si>
  <si>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</si>
  <si>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</si>
  <si>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</si>
  <si>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</si>
  <si>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</si>
  <si>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</si>
  <si>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</si>
  <si>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</si>
  <si>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</si>
  <si>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</si>
  <si>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</si>
  <si>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</si>
  <si>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</si>
  <si>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</si>
  <si>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</si>
  <si>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</si>
  <si>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</si>
  <si>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</si>
  <si>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</si>
  <si>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</si>
  <si>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</si>
  <si>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</si>
  <si>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</si>
  <si>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</si>
  <si>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</si>
  <si>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</si>
  <si>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</si>
  <si>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</si>
  <si>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</si>
  <si>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</si>
  <si>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</si>
  <si>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</si>
  <si>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</si>
  <si>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</si>
  <si>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</si>
  <si>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</si>
  <si>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</si>
  <si>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</si>
  <si>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</si>
  <si>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</si>
  <si>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</si>
  <si>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</si>
  <si>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</si>
  <si>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</si>
  <si>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</si>
  <si>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</si>
  <si>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</si>
  <si>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</si>
  <si>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</si>
  <si>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</si>
  <si>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</si>
  <si>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</si>
  <si>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</si>
  <si>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</si>
  <si>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</si>
  <si>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</si>
  <si>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</si>
  <si>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</si>
  <si>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</si>
  <si>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</si>
  <si>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</si>
  <si>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</si>
  <si>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</si>
  <si>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</si>
  <si>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</si>
  <si>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</si>
  <si>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</si>
  <si>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</si>
  <si>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</si>
  <si>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</si>
  <si>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</si>
  <si>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</si>
  <si>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</si>
  <si>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</si>
  <si>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</si>
  <si>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</si>
  <si>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</si>
  <si>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</si>
  <si>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</si>
  <si>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</si>
  <si>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</si>
  <si>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</si>
  <si>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</si>
  <si>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</si>
  <si>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</si>
  <si>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</si>
  <si>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</si>
  <si>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</si>
  <si>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</si>
  <si>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</si>
  <si>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</si>
  <si>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</si>
  <si>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</si>
  <si>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</si>
  <si>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</si>
  <si>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</si>
  <si>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</si>
  <si>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</si>
  <si>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</si>
  <si>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</si>
  <si>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</si>
  <si>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</si>
  <si>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</si>
  <si>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</si>
  <si>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</si>
  <si>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</si>
  <si>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</si>
  <si>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</si>
  <si>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</si>
  <si>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</si>
  <si>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</si>
  <si>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</si>
  <si>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</si>
  <si>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</si>
  <si>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</si>
  <si>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</si>
  <si>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</si>
  <si>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</si>
  <si>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</si>
  <si>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</si>
  <si>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</si>
  <si>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</si>
  <si>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</si>
  <si>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</si>
  <si>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</si>
  <si>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</si>
  <si>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</si>
  <si>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</si>
  <si>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</si>
  <si>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</si>
  <si>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</si>
  <si>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</si>
  <si>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</si>
  <si>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</si>
  <si>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</si>
  <si>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</si>
  <si>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</si>
  <si>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</si>
  <si>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</si>
  <si>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</si>
  <si>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</si>
  <si>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</si>
  <si>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</si>
  <si>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</si>
  <si>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</si>
  <si>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</si>
  <si>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</si>
  <si>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</si>
  <si>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</si>
  <si>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</si>
  <si>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</si>
  <si>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</si>
  <si>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</si>
  <si>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</si>
  <si>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</si>
  <si>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</si>
  <si>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</si>
  <si>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</si>
  <si>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</si>
  <si>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</si>
  <si>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</si>
  <si>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</si>
  <si>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</si>
  <si>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</si>
  <si>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</si>
  <si>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</si>
  <si>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</si>
  <si>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</si>
  <si>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</si>
  <si>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</si>
  <si>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</si>
  <si>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</si>
  <si>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</si>
  <si>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</si>
  <si>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</si>
  <si>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</si>
  <si>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</si>
  <si>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</si>
  <si>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</si>
  <si>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</si>
  <si>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</si>
  <si>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</si>
  <si>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</si>
  <si>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</si>
  <si>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</si>
  <si>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</si>
  <si>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</si>
  <si>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</si>
  <si>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</si>
  <si>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</si>
  <si>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</si>
  <si>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</si>
  <si>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</si>
  <si>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</si>
  <si>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</si>
  <si>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</si>
  <si>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</si>
  <si>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</si>
  <si>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</si>
  <si>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</si>
  <si>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</si>
  <si>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</si>
  <si>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</si>
  <si>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</si>
  <si>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</si>
  <si>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</si>
  <si>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</si>
  <si>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</si>
  <si>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</si>
  <si>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</si>
  <si>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</si>
  <si>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</si>
  <si>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</si>
  <si>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</si>
  <si>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</si>
  <si>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</si>
  <si>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</si>
  <si>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</si>
  <si>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</si>
  <si>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</si>
  <si>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</si>
  <si>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</si>
  <si>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</si>
  <si>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</si>
  <si>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</si>
  <si>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</si>
  <si>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</si>
  <si>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</si>
  <si>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</si>
  <si>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</si>
  <si>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</si>
  <si>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</si>
  <si>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</si>
  <si>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</si>
  <si>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</si>
  <si>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</si>
  <si>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</si>
  <si>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</si>
  <si>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</si>
  <si>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</si>
  <si>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</si>
  <si>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</si>
  <si>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</si>
  <si>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</si>
  <si>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</si>
  <si>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</si>
  <si>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</si>
  <si>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</si>
  <si>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</si>
  <si>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</si>
  <si>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</si>
  <si>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</si>
  <si>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</si>
  <si>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</si>
  <si>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</si>
  <si>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</si>
  <si>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</si>
  <si>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</si>
  <si>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</si>
  <si>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</si>
  <si>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</si>
  <si>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</si>
  <si>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</si>
  <si>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</si>
  <si>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</si>
  <si>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</si>
  <si>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</si>
  <si>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</si>
  <si>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</si>
  <si>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</si>
  <si>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</si>
  <si>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</si>
  <si>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</si>
  <si>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</si>
  <si>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</si>
  <si>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</si>
  <si>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</si>
  <si>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</si>
  <si>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</si>
  <si>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</si>
  <si>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</si>
  <si>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</si>
  <si>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</si>
  <si>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</si>
  <si>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</si>
  <si>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</si>
  <si>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</si>
  <si>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</si>
  <si>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</si>
  <si>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</si>
  <si>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</si>
  <si>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</si>
  <si>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</si>
  <si>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</si>
  <si>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</si>
  <si>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</si>
  <si>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</si>
  <si>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</si>
  <si>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</si>
  <si>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</si>
  <si>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</si>
  <si>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</si>
  <si>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</si>
  <si>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</si>
  <si>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</si>
  <si>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</si>
  <si>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</si>
  <si>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</si>
  <si>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</si>
  <si>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</si>
  <si>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</si>
  <si>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</si>
  <si>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</si>
  <si>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</si>
  <si>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</si>
  <si>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</si>
  <si>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</si>
  <si>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</si>
  <si>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</si>
  <si>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</si>
  <si>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</si>
  <si>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</si>
  <si>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</si>
  <si>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</si>
  <si>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</si>
  <si>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</si>
  <si>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</si>
  <si>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</si>
  <si>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</si>
  <si>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</si>
  <si>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</si>
  <si>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</si>
  <si>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</si>
  <si>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</si>
  <si>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</si>
  <si>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</si>
  <si>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</si>
  <si>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</si>
  <si>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</si>
  <si>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</si>
  <si>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</si>
  <si>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</si>
  <si>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</si>
  <si>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</si>
  <si>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</si>
  <si>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</si>
  <si>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</si>
  <si>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</si>
  <si>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</si>
  <si>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</si>
  <si>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</si>
  <si>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</si>
  <si>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</si>
  <si>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</si>
  <si>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</si>
  <si>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</si>
  <si>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</si>
  <si>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</si>
  <si>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</si>
  <si>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</si>
  <si>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</si>
  <si>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</si>
  <si>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</si>
  <si>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</si>
  <si>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</si>
  <si>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</si>
  <si>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</si>
  <si>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</si>
  <si>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</si>
  <si>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</si>
  <si>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</si>
  <si>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</si>
  <si>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</si>
  <si>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</si>
  <si>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</si>
  <si>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</si>
  <si>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</si>
  <si>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</si>
  <si>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</si>
  <si>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</si>
  <si>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</si>
  <si>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</si>
  <si>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</si>
  <si>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</si>
  <si>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</si>
  <si>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</si>
  <si>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</si>
  <si>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</si>
  <si>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</si>
  <si>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</si>
  <si>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</si>
  <si>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</si>
  <si>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</si>
  <si>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</si>
  <si>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</si>
  <si>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</si>
  <si>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</si>
  <si>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</si>
  <si>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</si>
  <si>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</si>
  <si>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</si>
  <si>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</si>
  <si>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</si>
  <si>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</si>
  <si>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</si>
  <si>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</si>
  <si>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</si>
  <si>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</si>
  <si>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</si>
  <si>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</si>
  <si>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</si>
  <si>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</si>
  <si>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</si>
  <si>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</si>
  <si>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</si>
  <si>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</si>
  <si>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</si>
  <si>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</si>
  <si>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</si>
  <si>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</si>
  <si>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</si>
  <si>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</si>
  <si>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</si>
  <si>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</si>
  <si>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</si>
  <si>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</si>
  <si>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</si>
  <si>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</si>
  <si>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</si>
  <si>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</si>
  <si>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</si>
  <si>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</si>
  <si>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</si>
  <si>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</si>
  <si>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</si>
  <si>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</si>
  <si>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</si>
  <si>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</si>
  <si>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</si>
  <si>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</si>
  <si>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</si>
  <si>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</si>
  <si>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</si>
  <si>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</si>
  <si>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</si>
  <si>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</si>
  <si>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</si>
  <si>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</si>
  <si>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</si>
  <si>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</si>
  <si>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</si>
  <si>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</si>
  <si>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</si>
  <si>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</si>
  <si>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</si>
  <si>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</si>
  <si>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</si>
  <si>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</si>
  <si>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</si>
  <si>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</si>
  <si>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</si>
  <si>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</si>
  <si>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</si>
  <si>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</si>
  <si>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</si>
  <si>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</si>
  <si>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</si>
  <si>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</si>
  <si>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</si>
  <si>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</si>
  <si>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</si>
  <si>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</si>
  <si>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</si>
  <si>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</si>
  <si>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</si>
  <si>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</si>
  <si>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</si>
  <si>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</si>
  <si>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</si>
  <si>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</si>
  <si>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</si>
  <si>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</si>
  <si>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</si>
  <si>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</si>
  <si>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</si>
  <si>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</si>
  <si>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</si>
  <si>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</si>
  <si>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</si>
  <si>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</si>
  <si>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</si>
  <si>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</si>
  <si>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</si>
  <si>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</si>
  <si>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</si>
  <si>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</si>
  <si>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</si>
  <si>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</si>
  <si>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</si>
  <si>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</si>
  <si>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</si>
  <si>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</si>
  <si>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</si>
  <si>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</si>
  <si>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</si>
  <si>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</si>
  <si>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</si>
  <si>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</si>
  <si>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</si>
  <si>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</si>
  <si>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</si>
  <si>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</si>
  <si>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</si>
  <si>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</si>
  <si>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</si>
  <si>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</si>
  <si>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</si>
  <si>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</si>
  <si>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</si>
  <si>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</si>
  <si>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</si>
  <si>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</si>
  <si>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</si>
  <si>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</si>
  <si>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</si>
  <si>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</si>
  <si>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</si>
  <si>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</si>
  <si>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</si>
  <si>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</si>
  <si>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</si>
  <si>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</si>
  <si>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</si>
  <si>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</si>
  <si>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</si>
  <si>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</si>
  <si>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</si>
  <si>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</si>
  <si>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</si>
  <si>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</si>
  <si>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</si>
  <si>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</si>
  <si>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</si>
  <si>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</si>
  <si>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</si>
  <si>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</si>
  <si>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</si>
  <si>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</si>
  <si>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</si>
  <si>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</si>
  <si>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</si>
  <si>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</si>
  <si>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</si>
  <si>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</si>
  <si>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</si>
  <si>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</si>
  <si>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</si>
  <si>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</si>
  <si>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</si>
  <si>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</si>
  <si>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</si>
  <si>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</si>
  <si>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</si>
  <si>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</si>
  <si>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</si>
  <si>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</si>
  <si>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</si>
  <si>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</si>
  <si>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</si>
  <si>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</si>
  <si>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</si>
  <si>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</si>
  <si>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</si>
  <si>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</si>
  <si>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</si>
  <si>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</si>
  <si>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</si>
  <si>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</si>
  <si>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</si>
  <si>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</si>
  <si>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</si>
  <si>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</si>
  <si>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</si>
  <si>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</si>
  <si>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</si>
  <si>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</si>
  <si>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</si>
  <si>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</si>
  <si>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</si>
  <si>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</si>
  <si>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</si>
  <si>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</si>
  <si>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</si>
  <si>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</si>
  <si>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</si>
  <si>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</si>
  <si>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</si>
  <si>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</si>
  <si>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</si>
  <si>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</si>
  <si>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</si>
  <si>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</si>
  <si>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</si>
  <si>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</si>
  <si>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</si>
  <si>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</si>
  <si>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</si>
  <si>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</si>
  <si>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</si>
  <si>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</si>
  <si>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</si>
  <si>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</si>
  <si>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</si>
  <si>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</si>
  <si>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</si>
  <si>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</si>
  <si>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</si>
  <si>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</si>
  <si>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</si>
  <si>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</si>
  <si>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</si>
  <si>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</si>
  <si>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</si>
  <si>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</si>
  <si>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</si>
  <si>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</si>
  <si>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</si>
  <si>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</si>
  <si>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</si>
  <si>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</si>
  <si>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</si>
  <si>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</si>
  <si>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</si>
  <si>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</si>
  <si>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</si>
  <si>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</si>
  <si>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</si>
  <si>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</si>
  <si>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</si>
  <si>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</si>
  <si>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</si>
  <si>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</si>
  <si>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</si>
  <si>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</si>
  <si>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</si>
  <si>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</si>
  <si>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</si>
  <si>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</si>
  <si>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</si>
  <si>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</si>
  <si>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</si>
  <si>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</si>
  <si>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</si>
  <si>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</si>
  <si>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</si>
  <si>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</si>
  <si>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</si>
  <si>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</si>
  <si>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</si>
  <si>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</si>
  <si>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</si>
  <si>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</si>
  <si>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</si>
  <si>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</si>
  <si>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</si>
  <si>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</si>
  <si>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</si>
  <si>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</si>
  <si>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</si>
  <si>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</si>
  <si>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</si>
  <si>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</si>
  <si>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</si>
  <si>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</si>
  <si>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</si>
  <si>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</si>
  <si>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</si>
  <si>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</si>
  <si>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</si>
  <si>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</si>
  <si>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</si>
  <si>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</si>
  <si>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</si>
  <si>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</si>
  <si>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</si>
  <si>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</si>
  <si>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</si>
  <si>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</si>
  <si>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</si>
  <si>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</si>
  <si>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</si>
  <si>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</si>
  <si>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</si>
  <si>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</si>
  <si>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</si>
  <si>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</si>
  <si>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</si>
  <si>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</si>
  <si>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</si>
  <si>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</si>
  <si>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</si>
  <si>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</si>
  <si>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</si>
  <si>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</si>
  <si>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</si>
  <si>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</si>
  <si>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</si>
  <si>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</si>
  <si>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</si>
  <si>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</si>
  <si>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</si>
  <si>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</si>
  <si>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</si>
  <si>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</si>
  <si>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</si>
  <si>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</si>
  <si>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</si>
  <si>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</si>
  <si>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</si>
  <si>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</si>
  <si>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</si>
  <si>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</si>
  <si>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</si>
  <si>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</si>
  <si>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</si>
  <si>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</si>
  <si>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</si>
  <si>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</si>
  <si>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</si>
  <si>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</si>
  <si>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</si>
  <si>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</si>
  <si>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</si>
  <si>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</si>
  <si>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</si>
  <si>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</si>
  <si>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</si>
  <si>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</si>
  <si>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</si>
  <si>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</si>
  <si>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</si>
  <si>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</si>
  <si>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</si>
  <si>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</si>
  <si>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</si>
  <si>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</si>
  <si>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</si>
  <si>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</si>
  <si>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</si>
  <si>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</si>
  <si>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</si>
  <si>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</si>
  <si>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</si>
  <si>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</si>
  <si>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</si>
  <si>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</si>
  <si>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</si>
  <si>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</si>
  <si>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</si>
  <si>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</si>
  <si>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</si>
  <si>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</si>
  <si>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</si>
  <si>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</si>
  <si>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</si>
  <si>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</si>
  <si>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</si>
  <si>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</si>
  <si>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</si>
  <si>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</si>
  <si>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</si>
  <si>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</si>
  <si>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</si>
  <si>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</si>
  <si>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</si>
  <si>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</si>
  <si>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</si>
  <si>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</si>
  <si>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</si>
  <si>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</si>
  <si>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</si>
  <si>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</si>
  <si>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</si>
  <si>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</si>
  <si>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</si>
  <si>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</si>
  <si>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</si>
  <si>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</si>
  <si>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</si>
  <si>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</si>
  <si>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</si>
  <si>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</si>
  <si>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</si>
  <si>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</si>
  <si>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</si>
  <si>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</si>
  <si>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</si>
  <si>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</si>
  <si>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</si>
  <si>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</si>
  <si>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</si>
  <si>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</si>
  <si>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</si>
  <si>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</si>
  <si>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</si>
  <si>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</si>
  <si>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</si>
  <si>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</si>
  <si>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</si>
  <si>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</si>
  <si>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</si>
  <si>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</si>
  <si>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</si>
  <si>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</si>
  <si>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</si>
  <si>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</si>
  <si>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</si>
  <si>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</si>
  <si>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</si>
  <si>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</si>
  <si>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</si>
  <si>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</si>
  <si>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</si>
  <si>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</si>
  <si>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</si>
  <si>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</si>
  <si>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</si>
  <si>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</si>
  <si>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</si>
  <si>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</si>
  <si>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</si>
  <si>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</si>
  <si>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</si>
  <si>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</si>
  <si>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</si>
  <si>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</si>
  <si>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</si>
  <si>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</si>
  <si>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</si>
  <si>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</si>
  <si>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</si>
  <si>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</si>
  <si>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</si>
  <si>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</si>
  <si>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</si>
  <si>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</si>
  <si>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</si>
  <si>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</si>
  <si>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</si>
  <si>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</si>
  <si>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</si>
  <si>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</si>
  <si>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</si>
  <si>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</si>
  <si>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</si>
  <si>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</si>
  <si>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</si>
  <si>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</si>
  <si>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</si>
  <si>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</si>
  <si>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</si>
  <si>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</si>
  <si>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</si>
  <si>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</si>
  <si>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</si>
  <si>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</si>
  <si>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</si>
  <si>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</si>
  <si>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</si>
  <si>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</si>
  <si>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</si>
  <si>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</si>
  <si>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</si>
  <si>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</si>
  <si>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</si>
  <si>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</si>
  <si>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</si>
  <si>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</si>
  <si>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</si>
  <si>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</si>
  <si>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</si>
  <si>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</si>
  <si>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</si>
  <si>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</si>
  <si>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</si>
  <si>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</si>
  <si>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</si>
  <si>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</si>
  <si>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</si>
  <si>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</si>
  <si>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</si>
  <si>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</si>
  <si>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</si>
  <si>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</si>
  <si>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</si>
  <si>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</si>
  <si>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</si>
  <si>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</si>
  <si>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</si>
  <si>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</si>
  <si>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</si>
  <si>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</si>
  <si>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</si>
  <si>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</si>
  <si>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</si>
  <si>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</si>
  <si>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</si>
  <si>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</si>
  <si>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</si>
  <si>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</si>
  <si>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</si>
  <si>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</si>
  <si>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</si>
  <si>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</si>
  <si>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</si>
  <si>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</si>
  <si>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</si>
  <si>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</si>
  <si>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</si>
  <si>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</si>
  <si>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</si>
  <si>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</si>
  <si>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</si>
  <si>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</si>
  <si>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</si>
  <si>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</si>
  <si>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</si>
  <si>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</si>
  <si>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</si>
  <si>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</si>
  <si>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</si>
  <si>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</si>
  <si>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</si>
  <si>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</si>
  <si>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保证金(万元)</t>
  </si>
  <si>
    <t>成交价(万元)</t>
  </si>
  <si>
    <t>成交土地单价(元/㎡)</t>
  </si>
  <si>
    <t>成交每亩价(万元/亩)</t>
  </si>
  <si>
    <t>成交楼面价(元/㎡)</t>
  </si>
  <si>
    <t>溢价率(%)</t>
  </si>
  <si>
    <t>北京城市副中心1202街区FZX-1202-0074地块 F3其他类多功能用地国有建设用地使用权挂牌出让</t>
  </si>
  <si>
    <t>北京市</t>
  </si>
  <si>
    <t>京土储挂(通)〔2024〕031号</t>
  </si>
  <si>
    <t>商业/办公用地</t>
  </si>
  <si>
    <t>F3其他类多功能用地</t>
  </si>
  <si>
    <t>2.20</t>
  </si>
  <si>
    <t/>
  </si>
  <si>
    <t>挂牌</t>
  </si>
  <si>
    <t>2024-09-11</t>
  </si>
  <si>
    <t>已成交</t>
  </si>
  <si>
    <t>北京通州鲸航置业发展有限公司</t>
  </si>
  <si>
    <t>北京大兴国际机场临空经济区 DX16-0104-0013地块F3其他类多功能用地</t>
  </si>
  <si>
    <t>京土储挂(兴临空)〔2024〕030号</t>
  </si>
  <si>
    <t>1.30</t>
  </si>
  <si>
    <t>2024-09-04</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</si>
  <si>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</si>
  <si>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</si>
  <si>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</si>
  <si>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</si>
  <si>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</si>
  <si>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</si>
  <si>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</si>
  <si>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</si>
  <si>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</si>
  <si>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</si>
  <si>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</si>
  <si>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</si>
  <si>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</si>
  <si>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北京市通州区永顺镇临空新村土地一级开发项目FZX-0601-6020、6022地块F3其他类多功能用地国有建设用地使用权出让</t>
  </si>
  <si>
    <t>京土储挂(通)〔2024〕012号</t>
  </si>
  <si>
    <t>1.80</t>
  </si>
  <si>
    <t>流拍</t>
  </si>
  <si>
    <t>北京城市副中心0201街区玉桥家园中心FZX-0201-0096、0102地块F3其他类多功能用地国有建设用地使用权出让公告</t>
  </si>
  <si>
    <t>京土储挂(通)[2023]042号</t>
  </si>
  <si>
    <t>1.56</t>
  </si>
  <si>
    <t>2023-09-20</t>
  </si>
  <si>
    <t>北京通州投资发展有限公司</t>
  </si>
  <si>
    <t>北京城市副中心0403街区FZX-0403-0146、0148地块F3 其他类多功能用地</t>
  </si>
  <si>
    <t>京土储挂(通)〔2023〕032号</t>
  </si>
  <si>
    <t>0146容积率3.82、0148容积率2.75</t>
  </si>
  <si>
    <t>2023-07-07</t>
  </si>
  <si>
    <t>北京市通州区永顺镇0401街区 46号地块(西马庄收储) B4综合性商业金融服务业用地</t>
  </si>
  <si>
    <t>京土储挂(通)〔2023〕004号</t>
  </si>
  <si>
    <t>B4综合性商业金融服务业用地</t>
  </si>
  <si>
    <t>≤2.8</t>
  </si>
  <si>
    <t>2023-04-14</t>
  </si>
  <si>
    <t>北京易创通景信息科技有限公司</t>
  </si>
  <si>
    <t>大兴区西红门镇集体经营性建设用地2号地2-002A地块</t>
  </si>
  <si>
    <t>京规自集使挂(兴)[2023]002号</t>
  </si>
  <si>
    <t>F81集体产业用地</t>
  </si>
  <si>
    <t>2</t>
  </si>
  <si>
    <t>2023-03-27</t>
  </si>
  <si>
    <t>电建智汇(北京)运营管理有限公司</t>
  </si>
  <si>
    <t>大兴区西红门镇集体经营性建设用地2号地2-002B地块</t>
  </si>
  <si>
    <t>京规自集使挂(兴)[2023]003号</t>
  </si>
  <si>
    <t>中止交易</t>
  </si>
  <si>
    <t>北京大兴国际机场临空经济区DX12-0105-6103地块S5加油加气站(加氢站)用地</t>
  </si>
  <si>
    <t>京土储挂(兴临空)[2022]072号</t>
  </si>
  <si>
    <t>S5加油加气站(加氢站)用地</t>
  </si>
  <si>
    <t>≤0.4</t>
  </si>
  <si>
    <t>2023-01-19</t>
  </si>
  <si>
    <t>空气(北京)氢能科技有限公司</t>
  </si>
  <si>
    <t>北京市通州经济开发区西区南扩区 三、五、六期棚户区改造项目 FZX-1102-6002地块 F3其他类多功能用地</t>
  </si>
  <si>
    <t>京土储挂(通)〔2022〕041号</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</si>
  <si>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</si>
  <si>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</si>
  <si>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</si>
  <si>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</si>
  <si>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</si>
  <si>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</si>
  <si>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</si>
  <si>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</si>
  <si>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</si>
  <si>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2022-07-19</t>
  </si>
  <si>
    <t>北京首旅城市副中心投资有限公司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</si>
  <si>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</si>
  <si>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</si>
  <si>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</si>
  <si>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</si>
  <si>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</si>
  <si>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</si>
  <si>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</si>
  <si>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</si>
  <si>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</si>
  <si>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郑燚</t>
  </si>
  <si>
    <t>吴薇</t>
  </si>
  <si>
    <t>抵押</t>
  </si>
  <si>
    <t>房地产抵押价值</t>
  </si>
  <si>
    <t>企业</t>
  </si>
  <si>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phoneticPr fontId="7" type="noConversion"/>
  </si>
  <si>
    <t>Ⅶ-亦1</t>
  </si>
  <si>
    <t>通路</t>
  </si>
  <si>
    <t>通电</t>
  </si>
  <si>
    <t>通讯</t>
  </si>
  <si>
    <t>通上水</t>
  </si>
  <si>
    <t>通下水</t>
  </si>
  <si>
    <t>燃气</t>
  </si>
  <si>
    <t>地上</t>
  </si>
  <si>
    <t>用途：</t>
    <phoneticPr fontId="135" type="noConversion"/>
  </si>
  <si>
    <t>商业、办公</t>
    <phoneticPr fontId="135" type="noConversion"/>
  </si>
  <si>
    <t>终止日期</t>
    <phoneticPr fontId="135" type="noConversion"/>
  </si>
  <si>
    <t>土地面积</t>
    <phoneticPr fontId="135" type="noConversion"/>
  </si>
  <si>
    <t>附记：</t>
    <phoneticPr fontId="135" type="noConversion"/>
  </si>
  <si>
    <t>出让宗地全部出让年限内由受让人全部自持经营，不可转让或分割对外销售</t>
    <phoneticPr fontId="135" type="noConversion"/>
  </si>
  <si>
    <t>序号</t>
    <phoneticPr fontId="135" type="noConversion"/>
  </si>
  <si>
    <t>楼层</t>
    <phoneticPr fontId="135" type="noConversion"/>
  </si>
  <si>
    <t>建筑面积</t>
    <phoneticPr fontId="135" type="noConversion"/>
  </si>
  <si>
    <t>人防面积</t>
    <phoneticPr fontId="135" type="noConversion"/>
  </si>
  <si>
    <t>扣除人防面积</t>
    <phoneticPr fontId="135" type="noConversion"/>
  </si>
  <si>
    <t>各层可出租面积</t>
    <phoneticPr fontId="135" type="noConversion"/>
  </si>
  <si>
    <t>现状用途</t>
    <phoneticPr fontId="135" type="noConversion"/>
  </si>
  <si>
    <t>-3</t>
    <phoneticPr fontId="135" type="noConversion"/>
  </si>
  <si>
    <t>车库</t>
    <phoneticPr fontId="135" type="noConversion"/>
  </si>
  <si>
    <t>面积</t>
    <phoneticPr fontId="135" type="noConversion"/>
  </si>
  <si>
    <t>系数</t>
    <phoneticPr fontId="135" type="noConversion"/>
  </si>
  <si>
    <t>出租租金</t>
    <phoneticPr fontId="135" type="noConversion"/>
  </si>
  <si>
    <t>建筑租金</t>
    <phoneticPr fontId="135" type="noConversion"/>
  </si>
  <si>
    <t>-2</t>
    <phoneticPr fontId="135" type="noConversion"/>
  </si>
  <si>
    <t>-1</t>
    <phoneticPr fontId="135" type="noConversion"/>
  </si>
  <si>
    <t>部分车库、部分商业</t>
    <phoneticPr fontId="135" type="noConversion"/>
  </si>
  <si>
    <t>01</t>
    <phoneticPr fontId="135" type="noConversion"/>
  </si>
  <si>
    <t>商业</t>
    <phoneticPr fontId="135" type="noConversion"/>
  </si>
  <si>
    <t>02</t>
    <phoneticPr fontId="135" type="noConversion"/>
  </si>
  <si>
    <t>夹层1</t>
    <phoneticPr fontId="135" type="noConversion"/>
  </si>
  <si>
    <t>03</t>
    <phoneticPr fontId="135" type="noConversion"/>
  </si>
  <si>
    <t>夹层2</t>
    <phoneticPr fontId="135" type="noConversion"/>
  </si>
  <si>
    <t>04</t>
    <phoneticPr fontId="135" type="noConversion"/>
  </si>
  <si>
    <t>05</t>
    <phoneticPr fontId="135" type="noConversion"/>
  </si>
  <si>
    <t>06</t>
    <phoneticPr fontId="135" type="noConversion"/>
  </si>
  <si>
    <t>附属</t>
    <phoneticPr fontId="135" type="noConversion"/>
  </si>
  <si>
    <t>地下占比</t>
    <phoneticPr fontId="135" type="noConversion"/>
  </si>
  <si>
    <t>建成年代</t>
    <phoneticPr fontId="135" type="noConversion"/>
  </si>
  <si>
    <t>项目</t>
    <phoneticPr fontId="135" type="noConversion"/>
  </si>
  <si>
    <t>龙湖长楹天街</t>
    <phoneticPr fontId="135" type="noConversion"/>
  </si>
  <si>
    <t>龙湖长安天街</t>
    <phoneticPr fontId="135" type="noConversion"/>
  </si>
  <si>
    <t>房山龙湖天街</t>
    <phoneticPr fontId="135" type="noConversion"/>
  </si>
  <si>
    <t>大兴龙湖天街</t>
    <phoneticPr fontId="135" type="noConversion"/>
  </si>
  <si>
    <t>龙湖房山熙悦天街</t>
    <phoneticPr fontId="135" type="noConversion"/>
  </si>
  <si>
    <t>估值</t>
    <phoneticPr fontId="135" type="noConversion"/>
  </si>
  <si>
    <t>楼面单价</t>
    <phoneticPr fontId="135" type="noConversion"/>
  </si>
  <si>
    <t>正常增长率2.5%</t>
    <phoneticPr fontId="135" type="noConversion"/>
  </si>
  <si>
    <t>地上面积</t>
    <phoneticPr fontId="135" type="noConversion"/>
  </si>
  <si>
    <t>地下面积</t>
    <phoneticPr fontId="135" type="noConversion"/>
  </si>
  <si>
    <t>合计面积</t>
    <phoneticPr fontId="135" type="noConversion"/>
  </si>
  <si>
    <t>还原率</t>
    <phoneticPr fontId="135" type="noConversion"/>
  </si>
  <si>
    <t>建安</t>
    <phoneticPr fontId="135" type="noConversion"/>
  </si>
  <si>
    <t>利润</t>
    <phoneticPr fontId="135" type="noConversion"/>
  </si>
  <si>
    <t>租金增长率</t>
    <phoneticPr fontId="135" type="noConversion"/>
  </si>
  <si>
    <t>维修费</t>
    <phoneticPr fontId="135" type="noConversion"/>
  </si>
  <si>
    <t>保险费</t>
    <phoneticPr fontId="135" type="noConversion"/>
  </si>
  <si>
    <t>管理费</t>
    <phoneticPr fontId="135" type="noConversion"/>
  </si>
  <si>
    <t>金融机构</t>
    <phoneticPr fontId="135" type="noConversion"/>
  </si>
  <si>
    <t>建设银行</t>
    <phoneticPr fontId="135" type="noConversion"/>
  </si>
  <si>
    <t>交通银行，偏低了一点</t>
    <phoneticPr fontId="135" type="noConversion"/>
  </si>
  <si>
    <t>中国银行</t>
    <phoneticPr fontId="135" type="noConversion"/>
  </si>
  <si>
    <t>兴业银行</t>
    <phoneticPr fontId="135" type="noConversion"/>
  </si>
  <si>
    <t>年收入</t>
    <phoneticPr fontId="135" type="noConversion"/>
  </si>
  <si>
    <t>不动产权证</t>
    <phoneticPr fontId="135" type="noConversion"/>
  </si>
  <si>
    <t>建安取值</t>
  </si>
  <si>
    <t>建筑面积</t>
  </si>
  <si>
    <t>单方建安</t>
  </si>
  <si>
    <t>合计</t>
  </si>
  <si>
    <t>工程进度</t>
  </si>
  <si>
    <t>主体</t>
  </si>
  <si>
    <t>地下</t>
  </si>
  <si>
    <t>装修</t>
  </si>
  <si>
    <t>设备</t>
  </si>
  <si>
    <t>人防</t>
  </si>
  <si>
    <t>综合平均</t>
  </si>
  <si>
    <t>成新度</t>
  </si>
  <si>
    <t>建成年代</t>
  </si>
  <si>
    <t>砖混</t>
  </si>
  <si>
    <t>钢混</t>
  </si>
  <si>
    <t>残值率</t>
  </si>
  <si>
    <t>直线折旧</t>
  </si>
  <si>
    <t>观察成新</t>
  </si>
  <si>
    <t>是</t>
  </si>
  <si>
    <t>商场</t>
  </si>
  <si>
    <t>商场</t>
    <phoneticPr fontId="8" type="noConversion"/>
  </si>
  <si>
    <t>收益法</t>
  </si>
  <si>
    <t>正常</t>
  </si>
  <si>
    <t>B4</t>
    <phoneticPr fontId="4" type="noConversion"/>
  </si>
  <si>
    <t>F3</t>
    <phoneticPr fontId="4" type="noConversion"/>
  </si>
  <si>
    <t>北京大兴国际机场临空经济区(北京部分)0205街区DX09-0103-0205地块B4综合性商业金融服务业用地</t>
  </si>
  <si>
    <t>京土储挂(兴临空)[2022]019号</t>
  </si>
  <si>
    <t>1.50</t>
  </si>
  <si>
    <t>2022-03-01</t>
  </si>
  <si>
    <t>北京经济技术开发区亦庄新城0902街区JG01-07地块F3其他类多功能用地</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</si>
  <si>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</si>
  <si>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</si>
  <si>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</si>
  <si>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</si>
  <si>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</si>
  <si>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</si>
  <si>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</si>
  <si>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</si>
  <si>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</si>
  <si>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</si>
  <si>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京土整储挂(兴)[2021]089号</t>
  </si>
  <si>
    <t>B14旅馆用地</t>
  </si>
  <si>
    <t>2021年第3批次</t>
  </si>
  <si>
    <t>2021-12-24</t>
  </si>
  <si>
    <t>北京大兴宾馆有限责任公司</t>
  </si>
  <si>
    <t>北京市通州区张家湾车辆段综合利用供地项目FZX-1202-0079-02(上盖区)、FZX-1202-0079-03(落地区)、FZX-1202-0079-04(落地区)地块F3其他类多功能用地</t>
  </si>
  <si>
    <t>京土整储挂(通)[2021] 077号</t>
  </si>
  <si>
    <t>2021-10-26</t>
  </si>
  <si>
    <t>北京市基础设施投资有限公司 、北京首都旅游集团有限责任公司 、北京城建集团有限责任公司</t>
  </si>
  <si>
    <t>北京城市副中心FZX-0201-0001地块F3其他类多功能用地</t>
  </si>
  <si>
    <t>京土整储挂(通)[2021] 078号</t>
  </si>
  <si>
    <t>9.90</t>
  </si>
  <si>
    <t>北京城市副中心FZX-0902-0229、0230地块</t>
  </si>
  <si>
    <t>京土整储挂(通)[2021]032号</t>
  </si>
  <si>
    <t>B2商务用地</t>
  </si>
  <si>
    <t>≤3.1</t>
  </si>
  <si>
    <t>2021-05-19</t>
  </si>
  <si>
    <t>北京城市副中心12组团西北部</t>
  </si>
  <si>
    <t>京土整储挂(通)[2021]001号</t>
  </si>
  <si>
    <t>≤2.15</t>
  </si>
  <si>
    <t>2021-02-07</t>
  </si>
  <si>
    <t>北京公联鼎成交通枢纽建设发展有限公司</t>
  </si>
  <si>
    <t>B4</t>
  </si>
  <si>
    <t>F3</t>
  </si>
  <si>
    <t>无自持</t>
    <phoneticPr fontId="4"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</si>
  <si>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4" type="noConversion"/>
  </si>
  <si>
    <t>全面积全自持</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</si>
  <si>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</si>
  <si>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</si>
  <si>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</si>
  <si>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</si>
  <si>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</si>
  <si>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</si>
  <si>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</si>
  <si>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</si>
  <si>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</si>
  <si>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</si>
  <si>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</si>
  <si>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</si>
  <si>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</si>
  <si>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</si>
  <si>
    <t>较好</t>
  </si>
  <si>
    <t>一般</t>
  </si>
  <si>
    <t>较差</t>
  </si>
  <si>
    <t>差</t>
  </si>
  <si>
    <r>
      <rPr>
        <sz val="10"/>
        <color theme="9" tint="-0.249977111117893"/>
        <rFont val="宋体"/>
        <family val="3"/>
        <charset val="134"/>
      </rPr>
      <t>估价对象周边道路状况、公共交通通达情况、停车便捷程度，综合评价交通便捷度较好</t>
    </r>
    <phoneticPr fontId="4" type="noConversion"/>
  </si>
  <si>
    <r>
      <rPr>
        <sz val="10"/>
        <color theme="9" tint="-0.249977111117893"/>
        <rFont val="宋体"/>
        <family val="3"/>
        <charset val="134"/>
      </rPr>
      <t>估价对象所在区域公共配套设施齐备情况</t>
    </r>
    <phoneticPr fontId="4" type="noConversion"/>
  </si>
  <si>
    <r>
      <rPr>
        <sz val="10"/>
        <color theme="9" tint="-0.249977111117893"/>
        <rFont val="宋体"/>
        <family val="3"/>
        <charset val="134"/>
      </rPr>
      <t>估价对象所在区域基础设施水平</t>
    </r>
    <phoneticPr fontId="4" type="noConversion"/>
  </si>
  <si>
    <r>
      <rPr>
        <sz val="10"/>
        <color theme="9" tint="-0.249977111117893"/>
        <rFont val="宋体"/>
        <family val="3"/>
        <charset val="134"/>
      </rPr>
      <t>区域自然环境：；人文环境；综合评价环境状况一般</t>
    </r>
    <phoneticPr fontId="4" type="noConversion"/>
  </si>
  <si>
    <t>位于亦庄，周边商业氛围成熟度一般，人流量较大，商业繁华度一般</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</si>
  <si>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phoneticPr fontId="25" type="noConversion"/>
  </si>
  <si>
    <t>七通</t>
  </si>
  <si>
    <t>多面临街</t>
  </si>
  <si>
    <t>次干道</t>
  </si>
  <si>
    <t>规则</t>
  </si>
  <si>
    <t>六通</t>
  </si>
  <si>
    <t>较规则</t>
  </si>
  <si>
    <t>双面临街</t>
  </si>
  <si>
    <t>单面临街</t>
  </si>
  <si>
    <t>三通</t>
  </si>
  <si>
    <t>未包含在土地购买价格中</t>
  </si>
  <si>
    <t>全部缴纳</t>
  </si>
  <si>
    <t>已包含在土地取得成本中</t>
  </si>
  <si>
    <t>押一</t>
  </si>
  <si>
    <t>非生产用房</t>
  </si>
  <si>
    <t>现房</t>
  </si>
  <si>
    <t>项目全部</t>
  </si>
  <si>
    <t>成本法</t>
  </si>
  <si>
    <t>全场非车库部分10.7万平方米</t>
    <phoneticPr fontId="135"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</si>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</sst>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1" fillId="0" borderId="0"/>
  </cellStyleXfs>
  <cellXfs count="35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0" fillId="5" borderId="0" xfId="0" applyFill="1" applyAlignment="1"/>
    <xf numFmtId="49" fontId="271" fillId="12" borderId="4" xfId="0" applyNumberFormat="1" applyFont="1" applyFill="1" applyBorder="1" applyAlignment="1" applyProtection="1">
      <alignment horizontal="left" vertical="center"/>
      <protection locked="0"/>
    </xf>
    <xf numFmtId="0" fontId="272" fillId="0" borderId="0" xfId="10" applyFont="1">
      <alignment vertical="center"/>
    </xf>
    <xf numFmtId="0" fontId="96" fillId="0" borderId="0" xfId="10">
      <alignment vertical="center"/>
    </xf>
    <xf numFmtId="14" fontId="272" fillId="0" borderId="0" xfId="10" applyNumberFormat="1" applyFont="1" applyAlignment="1">
      <alignment horizontal="left" vertical="center"/>
    </xf>
    <xf numFmtId="0" fontId="272" fillId="0" borderId="0" xfId="10" applyFont="1" applyAlignment="1">
      <alignment horizontal="left" vertical="center"/>
    </xf>
    <xf numFmtId="0" fontId="273" fillId="0" borderId="0" xfId="10" applyFont="1">
      <alignment vertical="center"/>
    </xf>
    <xf numFmtId="0" fontId="273" fillId="0" borderId="0" xfId="10" applyFont="1" applyAlignment="1">
      <alignment horizontal="left" vertical="center"/>
    </xf>
    <xf numFmtId="0" fontId="274" fillId="0" borderId="1" xfId="10" applyFont="1" applyBorder="1">
      <alignment vertical="center"/>
    </xf>
    <xf numFmtId="0" fontId="274" fillId="22" borderId="1" xfId="10" applyFont="1" applyFill="1" applyBorder="1" applyAlignment="1">
      <alignment horizontal="left" vertical="center"/>
    </xf>
    <xf numFmtId="49" fontId="274" fillId="22" borderId="1" xfId="10" applyNumberFormat="1" applyFont="1" applyFill="1" applyBorder="1" applyAlignment="1">
      <alignment horizontal="left" vertical="center"/>
    </xf>
    <xf numFmtId="0" fontId="274" fillId="0" borderId="1" xfId="10" applyFont="1" applyBorder="1" applyAlignment="1">
      <alignment horizontal="left" vertical="center"/>
    </xf>
    <xf numFmtId="10" fontId="0" fillId="0" borderId="0" xfId="19" applyNumberFormat="1" applyFont="1">
      <alignment vertical="center"/>
    </xf>
    <xf numFmtId="49" fontId="274" fillId="0" borderId="1" xfId="10" applyNumberFormat="1" applyFont="1" applyBorder="1" applyAlignment="1">
      <alignment horizontal="left" vertical="center"/>
    </xf>
    <xf numFmtId="10" fontId="0" fillId="0" borderId="0" xfId="19" applyNumberFormat="1" applyFont="1" applyFill="1">
      <alignment vertical="center"/>
    </xf>
    <xf numFmtId="2" fontId="274" fillId="0" borderId="1" xfId="10" applyNumberFormat="1" applyFont="1" applyBorder="1" applyAlignment="1">
      <alignment horizontal="left" vertical="center"/>
    </xf>
    <xf numFmtId="196" fontId="274" fillId="0" borderId="1" xfId="10" applyNumberFormat="1" applyFont="1" applyBorder="1" applyAlignment="1">
      <alignment horizontal="left" vertical="center"/>
    </xf>
    <xf numFmtId="0" fontId="275" fillId="0" borderId="1" xfId="10" applyFont="1" applyBorder="1" applyAlignment="1">
      <alignment horizontal="left" vertical="center"/>
    </xf>
    <xf numFmtId="49" fontId="275" fillId="0" borderId="1" xfId="10" applyNumberFormat="1" applyFont="1" applyBorder="1" applyAlignment="1">
      <alignment horizontal="left" vertical="center"/>
    </xf>
    <xf numFmtId="0" fontId="97" fillId="0" borderId="0" xfId="10" applyFont="1">
      <alignment vertical="center"/>
    </xf>
    <xf numFmtId="10" fontId="274" fillId="0" borderId="1" xfId="19" applyNumberFormat="1" applyFont="1" applyBorder="1" applyAlignment="1">
      <alignment horizontal="left" vertical="center"/>
    </xf>
    <xf numFmtId="0" fontId="96" fillId="0" borderId="0" xfId="10" applyAlignment="1">
      <alignment horizontal="left" vertical="center"/>
    </xf>
    <xf numFmtId="0" fontId="274" fillId="0" borderId="5" xfId="10" applyFont="1" applyBorder="1">
      <alignment vertical="center"/>
    </xf>
    <xf numFmtId="0" fontId="274" fillId="23" borderId="1" xfId="10" applyFont="1" applyFill="1" applyBorder="1" applyAlignment="1">
      <alignment horizontal="left" vertical="center"/>
    </xf>
    <xf numFmtId="181" fontId="274" fillId="0" borderId="1" xfId="19" applyNumberFormat="1" applyFont="1" applyBorder="1" applyAlignment="1">
      <alignment horizontal="left" vertical="center"/>
    </xf>
    <xf numFmtId="9" fontId="274" fillId="0" borderId="1" xfId="10" applyNumberFormat="1" applyFont="1" applyBorder="1" applyAlignment="1">
      <alignment horizontal="left" vertical="center"/>
    </xf>
    <xf numFmtId="196" fontId="96" fillId="0" borderId="0" xfId="10" applyNumberFormat="1">
      <alignment vertical="center"/>
    </xf>
    <xf numFmtId="10" fontId="274" fillId="0" borderId="1" xfId="10" applyNumberFormat="1" applyFont="1" applyBorder="1" applyAlignment="1">
      <alignment horizontal="left" vertical="center"/>
    </xf>
    <xf numFmtId="0" fontId="274" fillId="0" borderId="0" xfId="10" applyFont="1" applyAlignment="1">
      <alignment horizontal="left" vertical="center"/>
    </xf>
    <xf numFmtId="0" fontId="274" fillId="0" borderId="0" xfId="10" applyFont="1" applyAlignment="1">
      <alignment horizontal="left" vertical="center" wrapText="1"/>
    </xf>
    <xf numFmtId="1" fontId="96" fillId="0" borderId="0" xfId="10" applyNumberFormat="1">
      <alignment vertical="center"/>
    </xf>
    <xf numFmtId="0" fontId="96" fillId="23" borderId="0" xfId="10" applyFill="1">
      <alignment vertical="center"/>
    </xf>
    <xf numFmtId="49" fontId="223" fillId="0" borderId="24" xfId="0" applyNumberFormat="1" applyFont="1" applyBorder="1" applyAlignment="1" applyProtection="1">
      <alignment vertical="center" wrapText="1"/>
      <protection locked="0"/>
    </xf>
    <xf numFmtId="0" fontId="95"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81" fontId="45" fillId="18" borderId="1" xfId="0" applyNumberFormat="1" applyFont="1" applyFill="1" applyBorder="1" applyProtection="1">
      <alignment vertical="center"/>
      <protection locked="0"/>
    </xf>
    <xf numFmtId="0" fontId="78" fillId="2" borderId="5" xfId="0" applyFont="1" applyFill="1" applyBorder="1" applyAlignment="1" applyProtection="1">
      <alignment horizontal="left" vertical="center"/>
      <protection locked="0"/>
    </xf>
    <xf numFmtId="0" fontId="271" fillId="0" borderId="49" xfId="0" applyFont="1" applyBorder="1" applyProtection="1">
      <alignment vertical="center"/>
      <protection locked="0"/>
    </xf>
    <xf numFmtId="0" fontId="54" fillId="0" borderId="10" xfId="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0" fontId="78" fillId="0" borderId="0" xfId="10" applyFont="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9" fontId="48" fillId="12" borderId="0" xfId="19" applyFont="1" applyFill="1" applyBorder="1" applyAlignment="1" applyProtection="1">
      <alignment horizontal="left" vertical="center"/>
      <protection locked="0"/>
    </xf>
    <xf numFmtId="9" fontId="48" fillId="12" borderId="0" xfId="10" applyNumberFormat="1" applyFont="1" applyFill="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81" fontId="48" fillId="12" borderId="0" xfId="19"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19" xr:uid="{BD7A2DCD-8A05-490D-B5A3-AC5051996BBC}"/>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20" xr:uid="{26025B6C-2827-4851-8BB0-E41F355E702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3&#24180;\2023-1-0084&#20134;&#24196;&#40857;&#28246;&#39033;&#30446;\&#20134;&#24196;&#40857;&#28246;-&#21608;&#24420;-&#25442;&#27604;&#36739;&#27861;&#39640;&#35843;-&#24314;&#34892;20241010.xlsx" TargetMode="External"/><Relationship Id="rId1" Type="http://schemas.openxmlformats.org/officeDocument/2006/relationships/externalLinkPath" Target="/&#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row>
        <row r="21">
          <cell r="C21"/>
        </row>
        <row r="22">
          <cell r="C22"/>
        </row>
        <row r="23">
          <cell r="C23"/>
        </row>
        <row r="24">
          <cell r="C24"/>
        </row>
        <row r="25">
          <cell r="C25"/>
        </row>
        <row r="26">
          <cell r="C26"/>
        </row>
        <row r="31">
          <cell r="F31">
            <v>84427.88</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cell r="C72" t="str">
            <v>正常</v>
          </cell>
          <cell r="D72"/>
          <cell r="E72"/>
          <cell r="F72"/>
          <cell r="G72"/>
          <cell r="H72"/>
          <cell r="I72"/>
          <cell r="J72"/>
          <cell r="K72"/>
          <cell r="L72"/>
          <cell r="M72"/>
        </row>
        <row r="74">
          <cell r="B74" t="str">
            <v>用途</v>
          </cell>
          <cell r="C74" t="str">
            <v>B4</v>
          </cell>
          <cell r="D74" t="str">
            <v>F3</v>
          </cell>
          <cell r="E74" t="str">
            <v>B14旅馆</v>
          </cell>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北京市北京经济技术开发区兴海路1号院1号楼-3至6层商业、地下车库用房房地产抵押价值预评估</v>
      </c>
    </row>
    <row r="3" spans="1:2">
      <c r="A3" s="1114" t="s">
        <v>523</v>
      </c>
      <c r="B3" s="1115">
        <f>'预评函-封皮'!B40</f>
        <v>0</v>
      </c>
    </row>
    <row r="4" spans="1:2">
      <c r="A4" s="1114" t="s">
        <v>524</v>
      </c>
      <c r="B4" s="1115" t="str">
        <f ca="1">'预评函-封皮'!B46</f>
        <v>郑燚（注册号：1120070131)、吴薇（注册号：1419970001)</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受贵公司委托，我公司对北京市北京经济技术开发区兴海路1号院1号楼-3至6层商业、地下车库用房房地产抵押价值进行了预评估。</v>
      </c>
    </row>
    <row r="7" spans="1:2">
      <c r="A7" s="1114" t="s">
        <v>566</v>
      </c>
      <c r="B7" s="1115"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2024年11月18日（评估专业人员实地查勘之日）</v>
      </c>
    </row>
    <row r="13" spans="1:2">
      <c r="A13" s="1114" t="s">
        <v>529</v>
      </c>
      <c r="B13" s="1115"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5" thickBot="1">
      <c r="A18" s="1117" t="s">
        <v>534</v>
      </c>
      <c r="B18" s="1118" t="str">
        <f>'预评函-1'!A24</f>
        <v>本次评估采用的主估价方法为成本法和收益法。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318326</v>
      </c>
    </row>
    <row r="21" spans="1:2">
      <c r="A21" s="1114" t="s">
        <v>537</v>
      </c>
      <c r="B21" s="1115">
        <f ca="1">'预评函-2'!D7</f>
        <v>20698</v>
      </c>
    </row>
    <row r="22" spans="1:2">
      <c r="A22" s="1114" t="s">
        <v>538</v>
      </c>
      <c r="B22" s="1115" t="str">
        <f ca="1">'预评函-2'!D6</f>
        <v>叁拾壹亿捌仟叁佰贰拾陆万元整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318326</v>
      </c>
    </row>
    <row r="31" spans="1:2">
      <c r="A31" s="1114" t="s">
        <v>576</v>
      </c>
      <c r="B31" s="1115">
        <f ca="1">'预评函-2'!D15</f>
        <v>20698</v>
      </c>
    </row>
    <row r="32" spans="1:2">
      <c r="A32" s="1114" t="s">
        <v>543</v>
      </c>
      <c r="B32" s="1115" t="str">
        <f ca="1">'预评函-2'!D14</f>
        <v>叁拾壹亿捌仟叁佰贰拾陆万元整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北京市北京经济技术开发区兴海路1号院1号楼-3至6层商业、地下车库用房房地产</v>
      </c>
    </row>
    <row r="42" spans="1:2">
      <c r="A42" s="1114" t="s">
        <v>590</v>
      </c>
      <c r="B42" s="1115" t="str">
        <f>'预评函-3'!B2</f>
        <v>建筑面积</v>
      </c>
    </row>
    <row r="43" spans="1:2">
      <c r="A43" s="1114" t="s">
        <v>591</v>
      </c>
      <c r="B43" s="1115">
        <f>'预评函-3'!B4</f>
        <v>154306.03</v>
      </c>
    </row>
    <row r="44" spans="1:2">
      <c r="A44" s="1114" t="s">
        <v>575</v>
      </c>
      <c r="B44" s="1115" t="str">
        <f>'预评函-3'!C2</f>
        <v>(分摊)土地面积</v>
      </c>
    </row>
    <row r="45" spans="1:2">
      <c r="A45" s="1114" t="s">
        <v>547</v>
      </c>
      <c r="B45" s="1115">
        <f>'预评函-3'!C4</f>
        <v>42276.47</v>
      </c>
    </row>
    <row r="46" spans="1:2">
      <c r="A46" s="1114" t="s">
        <v>573</v>
      </c>
      <c r="B46" s="1115" t="str">
        <f>'预评函-3'!D2</f>
        <v>出让国有建设用地使用权价值</v>
      </c>
    </row>
    <row r="47" spans="1:2">
      <c r="A47" s="1114" t="s">
        <v>548</v>
      </c>
      <c r="B47" s="1115">
        <f ca="1">'预评函-3'!D4</f>
        <v>188767</v>
      </c>
    </row>
    <row r="48" spans="1:2">
      <c r="A48" s="1114" t="s">
        <v>549</v>
      </c>
      <c r="B48" s="1115">
        <f ca="1">'预评函-3'!E4</f>
        <v>12274</v>
      </c>
    </row>
    <row r="49" spans="1:2">
      <c r="A49" s="1114" t="s">
        <v>550</v>
      </c>
      <c r="B49" s="1115" t="str">
        <f ca="1">'预评函-3'!D5</f>
        <v>壹拾捌亿捌仟柒佰陆拾柒万元整</v>
      </c>
    </row>
    <row r="50" spans="1:2">
      <c r="A50" s="1114" t="s">
        <v>574</v>
      </c>
      <c r="B50" s="1115" t="str">
        <f>'预评函-3'!F2</f>
        <v>在建建筑物价值</v>
      </c>
    </row>
    <row r="51" spans="1:2">
      <c r="A51" s="1114" t="s">
        <v>551</v>
      </c>
      <c r="B51" s="1115">
        <f ca="1">'预评函-3'!F4</f>
        <v>129559</v>
      </c>
    </row>
    <row r="52" spans="1:2">
      <c r="A52" s="1114" t="s">
        <v>552</v>
      </c>
      <c r="B52" s="1115">
        <f ca="1">'预评函-3'!G4</f>
        <v>8424</v>
      </c>
    </row>
    <row r="53" spans="1:2">
      <c r="A53" s="1114" t="s">
        <v>580</v>
      </c>
      <c r="B53" s="1115" t="str">
        <f ca="1">'预评函-3'!F5</f>
        <v>壹拾贰亿玖仟伍佰伍拾玖万元整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t="str">
        <f>'预评函-4'!A4</f>
        <v>郑燚</v>
      </c>
    </row>
    <row r="71" spans="1:2">
      <c r="A71" s="1114" t="s">
        <v>563</v>
      </c>
      <c r="B71" s="1115">
        <f ca="1">'预评函-4'!B4</f>
        <v>1120070131</v>
      </c>
    </row>
    <row r="72" spans="1:2">
      <c r="A72" s="1114" t="s">
        <v>564</v>
      </c>
      <c r="B72" s="1122" t="str">
        <f>'预评函-4'!A5</f>
        <v>吴薇</v>
      </c>
    </row>
    <row r="73" spans="1:2" s="1110" customFormat="1" ht="15" thickBot="1">
      <c r="A73" s="1117" t="s">
        <v>565</v>
      </c>
      <c r="B73" s="1118">
        <f ca="1">'预评函-4'!B5</f>
        <v>1419970001</v>
      </c>
    </row>
    <row r="74" spans="1:2" ht="15" thickTop="1">
      <c r="A74" s="1107" t="s">
        <v>601</v>
      </c>
      <c r="B74" s="112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3349</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3335</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3336</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3337</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3338</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3339</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3340</v>
      </c>
    </row>
    <row r="8" spans="1:23">
      <c r="A8" s="1436" t="s">
        <v>1026</v>
      </c>
      <c r="B8" s="1436" t="s">
        <v>1027</v>
      </c>
      <c r="C8" s="1437" t="s">
        <v>319</v>
      </c>
      <c r="F8" s="1438" t="s">
        <v>1028</v>
      </c>
      <c r="H8" s="1438" t="s">
        <v>2575</v>
      </c>
      <c r="I8" s="1438" t="s">
        <v>3341</v>
      </c>
    </row>
    <row r="9" spans="1:23">
      <c r="A9" s="1436" t="s">
        <v>1029</v>
      </c>
      <c r="B9" s="1436" t="s">
        <v>1030</v>
      </c>
      <c r="C9" s="1437" t="s">
        <v>320</v>
      </c>
      <c r="F9" s="1438" t="s">
        <v>1031</v>
      </c>
      <c r="H9" s="1438"/>
      <c r="I9" s="1440" t="s">
        <v>3342</v>
      </c>
    </row>
    <row r="10" spans="1:23">
      <c r="A10" s="1436" t="s">
        <v>1032</v>
      </c>
      <c r="B10" s="1436" t="s">
        <v>1033</v>
      </c>
      <c r="C10" s="1437" t="s">
        <v>321</v>
      </c>
      <c r="F10" s="1438" t="s">
        <v>2576</v>
      </c>
      <c r="I10" s="1440" t="s">
        <v>3343</v>
      </c>
    </row>
    <row r="11" spans="1:23">
      <c r="A11" s="1436" t="s">
        <v>1034</v>
      </c>
      <c r="B11" s="1436" t="s">
        <v>1035</v>
      </c>
      <c r="C11" s="1437" t="s">
        <v>322</v>
      </c>
      <c r="F11" s="1438" t="s">
        <v>13</v>
      </c>
      <c r="I11" s="1440" t="s">
        <v>3344</v>
      </c>
    </row>
    <row r="12" spans="1:23">
      <c r="A12" s="1436" t="s">
        <v>1036</v>
      </c>
      <c r="B12" s="1436" t="s">
        <v>1037</v>
      </c>
      <c r="C12" s="1437" t="s">
        <v>323</v>
      </c>
      <c r="I12" s="1440" t="s">
        <v>3345</v>
      </c>
    </row>
    <row r="13" spans="1:23">
      <c r="A13" s="1436" t="s">
        <v>1038</v>
      </c>
      <c r="B13" s="1436" t="s">
        <v>1039</v>
      </c>
      <c r="C13" s="1437" t="s">
        <v>324</v>
      </c>
      <c r="I13" s="1440" t="s">
        <v>3346</v>
      </c>
    </row>
    <row r="14" spans="1:23">
      <c r="A14" s="1436" t="s">
        <v>1040</v>
      </c>
      <c r="B14" s="1436" t="s">
        <v>1041</v>
      </c>
      <c r="C14" s="1438" t="s">
        <v>13</v>
      </c>
      <c r="I14" s="1440" t="s">
        <v>3347</v>
      </c>
    </row>
    <row r="15" spans="1:23">
      <c r="A15" s="1436" t="s">
        <v>1042</v>
      </c>
      <c r="B15" s="1436" t="s">
        <v>1043</v>
      </c>
      <c r="C15" s="1437"/>
      <c r="I15" s="1440" t="s">
        <v>3348</v>
      </c>
    </row>
    <row r="16" spans="1:23">
      <c r="A16" s="1436" t="s">
        <v>1044</v>
      </c>
      <c r="B16" s="1436" t="s">
        <v>312</v>
      </c>
      <c r="C16" s="1437"/>
    </row>
    <row r="17" spans="1:3">
      <c r="A17" s="1436" t="s">
        <v>1045</v>
      </c>
      <c r="B17" s="1436" t="s">
        <v>2289</v>
      </c>
      <c r="C17" s="1437"/>
    </row>
    <row r="18" spans="1:3">
      <c r="A18" s="1436" t="s">
        <v>1046</v>
      </c>
      <c r="B18" s="1436" t="s">
        <v>2431</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34"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2" t="s">
        <v>385</v>
      </c>
      <c r="C54" s="1440" t="s">
        <v>583</v>
      </c>
    </row>
    <row r="55" spans="1:4">
      <c r="A55" s="3234"/>
      <c r="B55" s="1442" t="s">
        <v>386</v>
      </c>
      <c r="C55" s="1440" t="s">
        <v>584</v>
      </c>
    </row>
    <row r="56" spans="1:4">
      <c r="A56" s="3234"/>
      <c r="B56" s="1442" t="s">
        <v>387</v>
      </c>
      <c r="C56" s="1440" t="s">
        <v>588</v>
      </c>
    </row>
    <row r="57" spans="1:4">
      <c r="A57" s="3234"/>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5" t="s">
        <v>2578</v>
      </c>
      <c r="J2" s="3235"/>
      <c r="K2" s="3235"/>
      <c r="L2" s="3235"/>
      <c r="M2" s="3235"/>
      <c r="N2" s="3235"/>
      <c r="O2" s="3235"/>
      <c r="P2" s="3235"/>
      <c r="Q2" s="3235"/>
      <c r="R2" s="3235"/>
    </row>
    <row r="3" spans="1:18">
      <c r="A3" s="2756" t="s">
        <v>2499</v>
      </c>
      <c r="B3" s="2757">
        <f>项目基本情况!D3</f>
        <v>45614</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2.08</v>
      </c>
      <c r="D5" s="2761">
        <f>IF(ISERROR(ROUND(POWER(1+E5,A5-C5)*(POWER(1+E5,C5)-1)/(POWER(1+E5,A5)-1),3)),0,ROUND(POWER(1+E5,A5-C5)*(POWER(1+E5,C5)-1)/(POWER(1+E5,A5)-1),4))</f>
        <v>9.9000000000000005E-2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12.09</v>
      </c>
      <c r="D6" s="2761">
        <f>IF(ISERROR(ROUND(POWER(1+E6,A6-C6)*(POWER(1+E6,C6)-1)/(POWER(1+E6,A6)-1),3)),0,ROUND(POWER(1+E6,A6-C6)*(POWER(1+E6,C6)-1)/(POWER(1+E6,A6)-1),4))</f>
        <v>0.43940000000000001</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v>
      </c>
      <c r="D7" s="2761">
        <f>IF(ISERROR(ROUND(POWER(1+E7,A7-C7)*(POWER(1+E7,C7)-1)/(POWER(1+E7,A7)-1),3)),0,ROUND(POWER(1+E7,A7-C7)*(POWER(1+E7,C7)-1)/(POWER(1+E7,A7)-1),4))</f>
        <v>0.76519999999999999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M23" s="2793" t="s">
        <v>2566</v>
      </c>
    </row>
    <row r="24" spans="1:13">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M24" s="2793">
        <v>10</v>
      </c>
    </row>
    <row r="25" spans="1:13">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M25" s="2793">
        <v>8</v>
      </c>
    </row>
    <row r="26" spans="1:13">
      <c r="A26" s="2775"/>
      <c r="B26" s="2776"/>
      <c r="C26" s="2776"/>
      <c r="D26" s="2776"/>
      <c r="E26" s="2776"/>
      <c r="F26" s="2776"/>
      <c r="G26" s="2777"/>
      <c r="I26" s="2793">
        <v>30</v>
      </c>
      <c r="J26" s="2793">
        <v>90.5</v>
      </c>
      <c r="K26" s="2793">
        <f t="shared" si="2"/>
        <v>4.2000000000000028</v>
      </c>
      <c r="L26" s="2793" t="s">
        <v>2569</v>
      </c>
      <c r="M26" s="2793">
        <v>5</v>
      </c>
    </row>
    <row r="27" spans="1:13">
      <c r="A27" s="2775" t="s">
        <v>2528</v>
      </c>
      <c r="B27" s="2776"/>
      <c r="C27" s="2776"/>
      <c r="D27" s="2776"/>
      <c r="E27" s="2776"/>
      <c r="F27" s="2776"/>
      <c r="G27" s="2777"/>
      <c r="I27" s="2793">
        <v>35</v>
      </c>
      <c r="J27" s="2793">
        <v>93.8</v>
      </c>
      <c r="K27" s="2793">
        <f t="shared" si="2"/>
        <v>3.2999999999999972</v>
      </c>
      <c r="L27" s="2793" t="s">
        <v>2570</v>
      </c>
      <c r="M27" s="2793">
        <v>3</v>
      </c>
    </row>
    <row r="28" spans="1:13">
      <c r="A28" s="2775" t="s">
        <v>2529</v>
      </c>
      <c r="B28" s="2776"/>
      <c r="C28" s="2776"/>
      <c r="D28" s="2776"/>
      <c r="E28" s="2776"/>
      <c r="F28" s="2776"/>
      <c r="G28" s="2777"/>
      <c r="I28" s="2793">
        <v>40</v>
      </c>
      <c r="J28" s="2793">
        <v>96.4</v>
      </c>
      <c r="K28" s="2793">
        <f t="shared" si="2"/>
        <v>2.6000000000000085</v>
      </c>
      <c r="L28" s="2793" t="s">
        <v>2571</v>
      </c>
      <c r="M28" s="2793">
        <v>2</v>
      </c>
    </row>
    <row r="29" spans="1:13">
      <c r="A29" s="2775" t="s">
        <v>2530</v>
      </c>
      <c r="B29" s="2776"/>
      <c r="C29" s="2776"/>
      <c r="D29" s="2776"/>
      <c r="E29" s="2776"/>
      <c r="F29" s="2776"/>
      <c r="G29" s="2777"/>
      <c r="I29" s="2793">
        <v>45</v>
      </c>
      <c r="J29" s="2793">
        <v>98.4</v>
      </c>
      <c r="K29" s="2793">
        <f t="shared" si="2"/>
        <v>2</v>
      </c>
    </row>
    <row r="30" spans="1:13">
      <c r="A30" s="2775" t="s">
        <v>2531</v>
      </c>
      <c r="B30" s="2776"/>
      <c r="C30" s="2776"/>
      <c r="D30" s="2776"/>
      <c r="E30" s="2776"/>
      <c r="F30" s="2776"/>
      <c r="G30" s="2777"/>
      <c r="I30" s="2793">
        <v>50</v>
      </c>
      <c r="J30" s="2793">
        <v>100</v>
      </c>
      <c r="K30" s="2793">
        <f t="shared" si="2"/>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3">J36-J35</f>
        <v>9.2999999999999972</v>
      </c>
      <c r="L36" s="2793" t="s">
        <v>2565</v>
      </c>
      <c r="M36" s="2793" t="s">
        <v>2566</v>
      </c>
    </row>
    <row r="37" spans="1:13">
      <c r="A37" s="2775" t="s">
        <v>2538</v>
      </c>
      <c r="B37" s="2776"/>
      <c r="C37" s="2776"/>
      <c r="D37" s="2776"/>
      <c r="E37" s="2776"/>
      <c r="F37" s="2776"/>
      <c r="G37" s="2777"/>
      <c r="I37" s="2793">
        <v>20</v>
      </c>
      <c r="J37" s="2793">
        <v>83.6</v>
      </c>
      <c r="K37" s="2793">
        <f t="shared" si="3"/>
        <v>7.2999999999999972</v>
      </c>
      <c r="L37" s="2793" t="s">
        <v>2564</v>
      </c>
      <c r="M37" s="2793">
        <v>10</v>
      </c>
    </row>
    <row r="38" spans="1:13">
      <c r="A38" s="2775" t="s">
        <v>2539</v>
      </c>
      <c r="B38" s="2776"/>
      <c r="C38" s="2776"/>
      <c r="D38" s="2776"/>
      <c r="E38" s="2776"/>
      <c r="F38" s="2776"/>
      <c r="G38" s="2777"/>
      <c r="I38" s="2793">
        <v>25</v>
      </c>
      <c r="J38" s="2793">
        <v>89.3</v>
      </c>
      <c r="K38" s="2793">
        <f t="shared" si="3"/>
        <v>5.7000000000000028</v>
      </c>
      <c r="L38" s="2793" t="s">
        <v>2568</v>
      </c>
      <c r="M38" s="2793">
        <v>8</v>
      </c>
    </row>
    <row r="39" spans="1:13">
      <c r="A39" s="2775"/>
      <c r="B39" s="2776"/>
      <c r="C39" s="2776"/>
      <c r="D39" s="2776"/>
      <c r="E39" s="2776"/>
      <c r="F39" s="2776"/>
      <c r="G39" s="2777"/>
      <c r="I39" s="2793">
        <v>30</v>
      </c>
      <c r="J39" s="2793">
        <v>93.8</v>
      </c>
      <c r="K39" s="2793">
        <f t="shared" si="3"/>
        <v>4.5</v>
      </c>
      <c r="L39" s="2793" t="s">
        <v>2569</v>
      </c>
      <c r="M39" s="2793">
        <v>6</v>
      </c>
    </row>
    <row r="40" spans="1:13">
      <c r="A40" s="2778" t="s">
        <v>2540</v>
      </c>
      <c r="B40" s="2779"/>
      <c r="C40" s="2779"/>
      <c r="D40" s="2779"/>
      <c r="E40" s="2779"/>
      <c r="F40" s="2779"/>
      <c r="G40" s="2780"/>
      <c r="I40" s="2793">
        <v>35</v>
      </c>
      <c r="J40" s="2793">
        <v>97.2</v>
      </c>
      <c r="K40" s="2793">
        <f t="shared" si="3"/>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3"/>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5" zoomScaleNormal="100" zoomScaleSheetLayoutView="115" workbookViewId="0">
      <selection activeCell="I39" sqref="I39"/>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2168</v>
      </c>
      <c r="B1" s="3243"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44"/>
      <c r="D1" s="3244"/>
      <c r="E1" s="3244"/>
      <c r="F1" s="3244"/>
      <c r="G1" s="3244"/>
      <c r="H1" s="3244"/>
      <c r="I1" s="3245"/>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1613"/>
      <c r="U1" s="1613"/>
      <c r="V1" s="1613"/>
      <c r="W1" s="1613"/>
      <c r="X1" s="1613"/>
      <c r="Y1" s="1613"/>
      <c r="Z1" s="1613"/>
      <c r="AA1" s="1613"/>
      <c r="AB1" s="1613"/>
    </row>
    <row r="2" spans="1:30">
      <c r="A2" s="2177" t="s">
        <v>2169</v>
      </c>
      <c r="B2" s="120"/>
      <c r="D2" s="2441"/>
      <c r="E2" s="2435"/>
      <c r="F2" s="2435"/>
      <c r="G2" s="2436"/>
      <c r="H2" s="2436"/>
      <c r="I2" s="2436"/>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1613"/>
      <c r="U2" s="1613"/>
      <c r="V2" s="1613"/>
      <c r="W2" s="1613"/>
      <c r="X2" s="1613"/>
      <c r="Y2" s="1613"/>
      <c r="Z2" s="1613"/>
      <c r="AA2" s="1613"/>
      <c r="AB2" s="1613"/>
    </row>
    <row r="3" spans="1:30">
      <c r="A3" s="292" t="s">
        <v>2170</v>
      </c>
      <c r="B3" s="2180">
        <v>45614</v>
      </c>
      <c r="C3" s="2181" t="s">
        <v>2171</v>
      </c>
      <c r="D3" s="2180">
        <f>B3</f>
        <v>45614</v>
      </c>
      <c r="E3" s="2436"/>
      <c r="F3" s="2436"/>
      <c r="G3" s="2436"/>
      <c r="H3" s="2436"/>
      <c r="I3" s="2436"/>
      <c r="J3" s="2240"/>
      <c r="K3" s="2178"/>
      <c r="L3" s="2179"/>
      <c r="M3" s="2179"/>
      <c r="N3" s="2177"/>
      <c r="O3" s="1461"/>
      <c r="P3" s="2177"/>
      <c r="Q3" s="2177"/>
      <c r="R3" s="2177"/>
      <c r="S3" s="1556"/>
      <c r="T3" s="1613"/>
      <c r="U3" s="1613"/>
      <c r="V3" s="1613"/>
      <c r="W3" s="1613"/>
      <c r="X3" s="1613"/>
      <c r="Y3" s="1613"/>
      <c r="Z3" s="1613"/>
      <c r="AA3" s="1613"/>
      <c r="AB3" s="1613"/>
    </row>
    <row r="4" spans="1:30" ht="13.5" thickBot="1">
      <c r="A4" s="1023" t="s">
        <v>2172</v>
      </c>
      <c r="B4" s="2182" t="s">
        <v>3490</v>
      </c>
      <c r="C4" s="2183">
        <f ca="1">SUMIF(注册房地产估价师,B4,估价师及机构信息!B3:B24)</f>
        <v>1120070131</v>
      </c>
      <c r="D4" s="2182" t="s">
        <v>3491</v>
      </c>
      <c r="E4" s="2183">
        <f ca="1">SUMIF(注册房地产估价师,D4,估价师及机构信息!B3:B24)</f>
        <v>1419970001</v>
      </c>
      <c r="F4" s="2182"/>
      <c r="G4" s="2183">
        <f>SUMIF(注册房地产估价师,F4,估价师及机构信息!B3:B24)</f>
        <v>0</v>
      </c>
      <c r="H4" s="2182"/>
      <c r="I4" s="2183">
        <f>SUMIF(注册房地产估价师,H4,估价师及机构信息!B3:B24)</f>
        <v>0</v>
      </c>
      <c r="J4" s="2240"/>
      <c r="K4" s="2184" t="str">
        <f ca="1">CONCATENATE(B4,"（注册号：",C4,")、",D4,"（注册号：",E4,")")</f>
        <v>郑燚（注册号：1120070131)、吴薇（注册号：1419970001)</v>
      </c>
      <c r="L4" s="2179"/>
      <c r="M4" s="2179"/>
      <c r="N4" s="2177"/>
      <c r="O4" s="1461"/>
      <c r="P4" s="2177"/>
      <c r="Q4" s="2177"/>
      <c r="R4" s="2177"/>
      <c r="S4" s="1556"/>
      <c r="T4" s="1613"/>
      <c r="U4" s="1613"/>
      <c r="V4" s="1613"/>
      <c r="W4" s="1613"/>
      <c r="X4" s="1613"/>
      <c r="Y4" s="1613"/>
      <c r="Z4" s="1613"/>
      <c r="AA4" s="1613"/>
      <c r="AB4" s="1613"/>
    </row>
    <row r="5" spans="1:30" ht="13.5" thickTop="1">
      <c r="A5" s="2185" t="s">
        <v>2173</v>
      </c>
      <c r="B5" s="2186"/>
      <c r="C5" s="2187"/>
      <c r="D5" s="2188"/>
      <c r="E5" s="2436"/>
      <c r="F5" s="2436"/>
      <c r="G5" s="2436"/>
      <c r="H5" s="2436"/>
      <c r="I5" s="2436"/>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2174</v>
      </c>
      <c r="B6" s="2190"/>
      <c r="C6" s="2191"/>
      <c r="D6" s="2192"/>
      <c r="E6" s="2435"/>
      <c r="F6" s="2436"/>
      <c r="G6" s="2436"/>
      <c r="H6" s="2436"/>
      <c r="I6" s="2436"/>
      <c r="J6" s="2240"/>
      <c r="K6" s="2395" t="str">
        <f>IF(COUNTIF(B6,"*上海银行*"),"上海银行","")</f>
        <v/>
      </c>
      <c r="L6" s="2393"/>
      <c r="M6" s="2393"/>
      <c r="N6" s="2240"/>
      <c r="O6" s="1665"/>
      <c r="P6" s="2240"/>
      <c r="Q6" s="2240"/>
      <c r="R6" s="2240"/>
    </row>
    <row r="7" spans="1:30">
      <c r="A7" s="2189" t="s">
        <v>2175</v>
      </c>
      <c r="B7" s="2193"/>
      <c r="C7" s="2191"/>
      <c r="D7" s="2192"/>
      <c r="E7" s="2435"/>
      <c r="F7" s="2436"/>
      <c r="G7" s="2436"/>
      <c r="H7" s="2436"/>
      <c r="I7" s="2436"/>
      <c r="J7" s="2240"/>
      <c r="K7" s="2396"/>
      <c r="L7" s="2393"/>
      <c r="M7" s="2393"/>
      <c r="N7" s="2240"/>
      <c r="O7" s="1665"/>
      <c r="P7" s="2240"/>
      <c r="Q7" s="2240"/>
      <c r="R7" s="2240"/>
    </row>
    <row r="8" spans="1:30">
      <c r="A8" s="2194" t="s">
        <v>2176</v>
      </c>
      <c r="B8" s="2195" t="s">
        <v>3492</v>
      </c>
      <c r="C8" s="2196"/>
      <c r="D8" s="3246" t="s">
        <v>2177</v>
      </c>
      <c r="E8" s="2197" t="s">
        <v>3493</v>
      </c>
      <c r="F8" s="2198"/>
      <c r="G8" s="2436"/>
      <c r="H8" s="2436"/>
      <c r="I8" s="2436"/>
      <c r="J8" s="2240"/>
      <c r="K8" s="2394"/>
      <c r="L8" s="2393"/>
      <c r="M8" s="2393"/>
      <c r="N8" s="2240"/>
      <c r="O8" s="1665"/>
      <c r="P8" s="2240"/>
      <c r="Q8" s="2240"/>
      <c r="R8" s="2240"/>
    </row>
    <row r="9" spans="1:30" ht="13.5" thickBot="1">
      <c r="A9" s="2199" t="s">
        <v>2178</v>
      </c>
      <c r="B9" s="2200" t="s">
        <v>3493</v>
      </c>
      <c r="C9" s="2201"/>
      <c r="D9" s="3247"/>
      <c r="E9" s="2200"/>
      <c r="F9" s="2202"/>
      <c r="G9" s="2437"/>
      <c r="H9" s="2437"/>
      <c r="I9" s="2437"/>
      <c r="J9" s="2240"/>
      <c r="K9" s="2396"/>
      <c r="L9" s="2393"/>
      <c r="M9" s="2393"/>
      <c r="N9" s="2240"/>
      <c r="O9" s="1665"/>
      <c r="P9" s="2240"/>
      <c r="Q9" s="2240"/>
      <c r="R9" s="2240"/>
    </row>
    <row r="10" spans="1:30" ht="13.5" thickTop="1">
      <c r="A10" s="2203" t="s">
        <v>2179</v>
      </c>
      <c r="B10" s="2204" t="s">
        <v>3407</v>
      </c>
      <c r="C10" s="2205"/>
      <c r="D10" s="2188"/>
      <c r="E10" s="2206" t="s">
        <v>2180</v>
      </c>
      <c r="F10" s="3139" t="s">
        <v>3495</v>
      </c>
      <c r="G10" s="2438"/>
      <c r="H10" s="2439"/>
      <c r="I10" s="2440"/>
      <c r="J10" s="2240"/>
      <c r="K10" s="2396"/>
      <c r="L10" s="2393"/>
      <c r="M10" s="2393"/>
      <c r="N10" s="2240"/>
      <c r="O10" s="1665"/>
      <c r="P10" s="2240"/>
      <c r="Q10" s="2240"/>
      <c r="R10" s="2240"/>
    </row>
    <row r="11" spans="1:30">
      <c r="A11" s="2207" t="s">
        <v>2181</v>
      </c>
      <c r="B11" s="2208" t="s">
        <v>3494</v>
      </c>
      <c r="C11" s="2209"/>
      <c r="D11" s="2210"/>
      <c r="E11" s="2177"/>
      <c r="F11" s="2177"/>
      <c r="G11" s="2177"/>
      <c r="H11" s="2177"/>
      <c r="I11" s="2177"/>
      <c r="J11" s="2795"/>
      <c r="K11" s="2393"/>
      <c r="L11" s="2393"/>
      <c r="M11" s="2393"/>
      <c r="N11" s="2240"/>
      <c r="O11" s="1665"/>
      <c r="P11" s="2240"/>
      <c r="Q11" s="2240"/>
      <c r="R11" s="2240"/>
    </row>
    <row r="12" spans="1:30">
      <c r="A12" s="2211" t="s">
        <v>2182</v>
      </c>
      <c r="B12" s="313" t="s">
        <v>2183</v>
      </c>
      <c r="C12" s="2212" t="s">
        <v>2184</v>
      </c>
      <c r="D12" s="2212" t="s">
        <v>2185</v>
      </c>
      <c r="E12" s="2212" t="s">
        <v>2186</v>
      </c>
      <c r="F12" s="2212" t="s">
        <v>2187</v>
      </c>
      <c r="G12" s="2212" t="s">
        <v>2188</v>
      </c>
      <c r="H12" s="2212" t="s">
        <v>2189</v>
      </c>
      <c r="I12" s="2794" t="s">
        <v>2574</v>
      </c>
      <c r="J12" s="2796"/>
      <c r="K12" s="2393"/>
      <c r="L12" s="2393"/>
      <c r="M12" s="2240"/>
      <c r="N12" s="1665"/>
      <c r="O12" s="2240"/>
      <c r="P12" s="2240"/>
      <c r="Q12" s="2240"/>
      <c r="AD12" s="1613"/>
    </row>
    <row r="13" spans="1:30">
      <c r="A13" s="3115" t="s">
        <v>3330</v>
      </c>
      <c r="B13" s="2213" t="s">
        <v>2190</v>
      </c>
      <c r="C13" s="799"/>
      <c r="D13" s="799">
        <v>58329</v>
      </c>
      <c r="E13" s="799">
        <v>61982</v>
      </c>
      <c r="F13" s="799"/>
      <c r="G13" s="799"/>
      <c r="H13" s="799"/>
      <c r="I13" s="799"/>
      <c r="J13" s="2796"/>
      <c r="K13" s="2393"/>
      <c r="L13" s="2393"/>
      <c r="M13" s="2240"/>
      <c r="N13" s="1665"/>
      <c r="O13" s="2240"/>
      <c r="P13" s="2240"/>
      <c r="Q13" s="2240"/>
      <c r="AD13" s="1613"/>
    </row>
    <row r="14" spans="1:30">
      <c r="A14" s="1014"/>
      <c r="B14" s="2213" t="s">
        <v>2191</v>
      </c>
      <c r="C14" s="2214"/>
      <c r="D14" s="2214">
        <v>40</v>
      </c>
      <c r="E14" s="2214">
        <v>50</v>
      </c>
      <c r="F14" s="2214"/>
      <c r="G14" s="2214"/>
      <c r="H14" s="2214"/>
      <c r="I14" s="2214"/>
      <c r="J14" s="2797"/>
      <c r="K14" s="2393"/>
      <c r="L14" s="2393"/>
      <c r="M14" s="2240"/>
      <c r="N14" s="1665"/>
      <c r="O14" s="2240"/>
      <c r="P14" s="2240"/>
      <c r="Q14" s="2240"/>
      <c r="AD14" s="1613"/>
    </row>
    <row r="15" spans="1:30">
      <c r="A15" s="310"/>
      <c r="B15" s="2215" t="s">
        <v>2192</v>
      </c>
      <c r="C15" s="2216" t="str">
        <f>IF(A13="出让",IF(C13="","",ROUNDDOWN(MIN((C13-$D$3)/365,C14),2)),C14)</f>
        <v/>
      </c>
      <c r="D15" s="2216">
        <f>IF(A13="出让",IF(D13="","",ROUNDDOWN(MIN((D13-$D$3)/365,D14),2)),D14)</f>
        <v>34.83</v>
      </c>
      <c r="E15" s="2216">
        <f>IF(A13="出让",IF(E13="","",ROUNDDOWN(MIN((E13-$D$3)/365,E14),2)),E14)</f>
        <v>44.84</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5"/>
      <c r="L15" s="1665"/>
      <c r="M15" s="2240"/>
      <c r="N15" s="1665"/>
      <c r="O15" s="2240"/>
      <c r="P15" s="2240"/>
      <c r="Q15" s="2240"/>
      <c r="AD15" s="1613"/>
    </row>
    <row r="16" spans="1:30">
      <c r="A16" s="2206" t="s">
        <v>2193</v>
      </c>
      <c r="B16" s="3253"/>
      <c r="C16" s="3254"/>
      <c r="D16" s="3255"/>
      <c r="E16" s="2217" t="s">
        <v>2194</v>
      </c>
      <c r="F16" s="3256"/>
      <c r="G16" s="3257"/>
      <c r="H16" s="3257"/>
      <c r="I16" s="3258"/>
      <c r="J16" s="2240"/>
      <c r="K16" s="2397"/>
      <c r="L16" s="1665"/>
      <c r="M16" s="1665"/>
      <c r="N16" s="2240"/>
      <c r="O16" s="1665"/>
      <c r="P16" s="2240"/>
      <c r="Q16" s="2240"/>
      <c r="R16" s="2240"/>
    </row>
    <row r="17" spans="1:28">
      <c r="A17" s="303" t="s">
        <v>2195</v>
      </c>
      <c r="B17" s="292" t="s">
        <v>2196</v>
      </c>
      <c r="C17" s="8">
        <f>'数据-汇总表'!E3</f>
        <v>154306.03</v>
      </c>
      <c r="D17" s="1251" t="s">
        <v>2197</v>
      </c>
      <c r="E17" s="3259" t="s">
        <v>2198</v>
      </c>
      <c r="F17" s="3260"/>
      <c r="G17" s="3260"/>
      <c r="H17" s="3260"/>
      <c r="I17" s="3261"/>
      <c r="J17" s="2240"/>
      <c r="K17" s="2398"/>
      <c r="L17" s="1665"/>
      <c r="M17" s="1665"/>
      <c r="N17" s="2240"/>
      <c r="O17" s="1665"/>
      <c r="P17" s="2240"/>
      <c r="Q17" s="2240"/>
      <c r="R17" s="2240"/>
      <c r="S17" s="2240"/>
      <c r="T17" s="2240"/>
      <c r="U17" s="2240"/>
      <c r="V17" s="2240"/>
    </row>
    <row r="18" spans="1:28" ht="24.75" thickBot="1">
      <c r="A18" s="2218" t="s">
        <v>2199</v>
      </c>
      <c r="B18" s="1023" t="s">
        <v>2200</v>
      </c>
      <c r="C18" s="2219">
        <f>'数据-汇总表'!D3</f>
        <v>42276.47</v>
      </c>
      <c r="D18" s="1025" t="s">
        <v>2201</v>
      </c>
      <c r="E18" s="3262" t="s">
        <v>2202</v>
      </c>
      <c r="F18" s="3263"/>
      <c r="G18" s="3263"/>
      <c r="H18" s="3263"/>
      <c r="I18" s="3264"/>
      <c r="J18" s="2240"/>
      <c r="K18" s="2398"/>
      <c r="L18" s="1665"/>
      <c r="M18" s="1665"/>
      <c r="N18" s="2240"/>
      <c r="O18" s="1665"/>
      <c r="P18" s="2240"/>
      <c r="Q18" s="2240"/>
      <c r="R18" s="2240"/>
      <c r="S18" s="2240"/>
      <c r="T18" s="2240"/>
      <c r="U18" s="2240"/>
      <c r="V18" s="2240"/>
    </row>
    <row r="19" spans="1:28" ht="37.5" thickTop="1" thickBot="1">
      <c r="A19" s="317" t="s">
        <v>1055</v>
      </c>
      <c r="B19" s="297" t="s">
        <v>2203</v>
      </c>
      <c r="C19" s="1450"/>
      <c r="D19" s="1451" t="s">
        <v>2204</v>
      </c>
      <c r="E19" s="1452"/>
      <c r="F19" s="1453" t="str">
        <f>IF(AND(C19="是",E19="否"),"是否提供他项权证或相关说明","")</f>
        <v/>
      </c>
      <c r="G19" s="1454"/>
      <c r="H19" s="2436"/>
      <c r="I19" s="2436"/>
      <c r="J19" s="2240"/>
      <c r="K19" s="2396"/>
      <c r="L19" s="2393"/>
      <c r="M19" s="2393"/>
      <c r="N19" s="2240"/>
      <c r="O19" s="1665"/>
      <c r="P19" s="2240"/>
      <c r="Q19" s="2240"/>
      <c r="R19" s="2240"/>
      <c r="S19" s="2240"/>
      <c r="T19" s="2240"/>
      <c r="U19" s="2240"/>
      <c r="V19" s="2240"/>
    </row>
    <row r="20" spans="1:28">
      <c r="A20" s="2411" t="s">
        <v>2205</v>
      </c>
      <c r="B20" s="3249" t="s">
        <v>2206</v>
      </c>
      <c r="C20" s="3250"/>
      <c r="D20" s="3251" t="s">
        <v>2207</v>
      </c>
      <c r="E20" s="3252"/>
      <c r="F20" s="2424" t="s">
        <v>1056</v>
      </c>
      <c r="G20" s="2436"/>
      <c r="H20" s="2436"/>
      <c r="I20" s="2436"/>
      <c r="J20" s="2240"/>
      <c r="K20" s="3248"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11"/>
      <c r="B21" s="2412" t="s">
        <v>2209</v>
      </c>
      <c r="C21" s="2290" t="s">
        <v>1057</v>
      </c>
      <c r="D21" s="1455" t="s">
        <v>2210</v>
      </c>
      <c r="E21" s="2413" t="s">
        <v>1057</v>
      </c>
      <c r="F21" s="2425"/>
      <c r="G21" s="2436"/>
      <c r="H21" s="2436"/>
      <c r="I21" s="2436"/>
      <c r="J21" s="2240"/>
      <c r="K21" s="3248"/>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1"/>
      <c r="B22" s="2414" t="s">
        <v>2211</v>
      </c>
      <c r="C22" s="2290" t="s">
        <v>1058</v>
      </c>
      <c r="D22" s="2436"/>
      <c r="E22" s="2436"/>
      <c r="F22" s="2436"/>
      <c r="G22" s="2436"/>
      <c r="H22" s="2436"/>
      <c r="I22" s="2436"/>
      <c r="J22" s="2240"/>
      <c r="K22" s="3248"/>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5" t="s">
        <v>2212</v>
      </c>
      <c r="B23" s="2287" t="s">
        <v>2213</v>
      </c>
      <c r="C23" s="2416"/>
      <c r="D23" s="2417" t="s">
        <v>2213</v>
      </c>
      <c r="E23" s="2418"/>
      <c r="F23" s="2436"/>
      <c r="G23" s="2436"/>
      <c r="H23" s="2436"/>
      <c r="I23" s="2436"/>
      <c r="J23" s="2240"/>
      <c r="K23" s="2395"/>
      <c r="L23" s="119"/>
      <c r="M23" s="2393"/>
      <c r="N23" s="2240"/>
      <c r="O23" s="1665"/>
      <c r="P23" s="2240"/>
      <c r="Q23" s="2240"/>
      <c r="R23" s="2240"/>
      <c r="S23" s="2240"/>
      <c r="T23" s="2240"/>
      <c r="U23" s="2240"/>
      <c r="V23" s="2240"/>
    </row>
    <row r="24" spans="1:28">
      <c r="A24" s="2415"/>
      <c r="B24" s="2287" t="s">
        <v>1059</v>
      </c>
      <c r="C24" s="2266"/>
      <c r="D24" s="2415" t="s">
        <v>1059</v>
      </c>
      <c r="E24" s="2419"/>
      <c r="F24" s="2436"/>
      <c r="G24" s="2436"/>
      <c r="H24" s="2436"/>
      <c r="I24" s="2436"/>
      <c r="J24" s="2240"/>
      <c r="K24" s="2395"/>
      <c r="L24" s="119"/>
      <c r="M24" s="2393"/>
      <c r="N24" s="2240"/>
      <c r="O24" s="1665"/>
      <c r="P24" s="2240"/>
      <c r="Q24" s="2240"/>
      <c r="R24" s="2240"/>
      <c r="S24" s="2240"/>
      <c r="T24" s="2240"/>
      <c r="U24" s="2240"/>
      <c r="V24" s="2240"/>
    </row>
    <row r="25" spans="1:28">
      <c r="A25" s="2415"/>
      <c r="B25" s="2287" t="s">
        <v>1060</v>
      </c>
      <c r="C25" s="2266"/>
      <c r="D25" s="2415" t="s">
        <v>1060</v>
      </c>
      <c r="E25" s="2419"/>
      <c r="F25" s="2436"/>
      <c r="G25" s="2436"/>
      <c r="H25" s="2436"/>
      <c r="I25" s="2436"/>
      <c r="J25" s="2240"/>
      <c r="K25" s="2396"/>
      <c r="L25" s="2393"/>
      <c r="M25" s="2393"/>
      <c r="N25" s="2240"/>
      <c r="O25" s="1665"/>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5"/>
      <c r="P26" s="2240"/>
      <c r="Q26" s="2240"/>
      <c r="R26" s="2240"/>
      <c r="S26" s="2240"/>
      <c r="T26" s="2240"/>
      <c r="U26" s="2240"/>
      <c r="V26" s="2240"/>
    </row>
    <row r="27" spans="1:28" ht="13.5" thickTop="1">
      <c r="A27" s="3237" t="s">
        <v>2214</v>
      </c>
      <c r="B27" s="310" t="s">
        <v>2215</v>
      </c>
      <c r="C27" s="2220"/>
      <c r="D27" s="2221"/>
      <c r="E27" s="2436"/>
      <c r="F27" s="2436"/>
      <c r="G27" s="2436"/>
      <c r="H27" s="2436"/>
      <c r="I27" s="2436"/>
      <c r="J27" s="2240"/>
      <c r="K27" s="2397"/>
      <c r="L27" s="1665"/>
      <c r="M27" s="1665"/>
      <c r="N27" s="2240"/>
      <c r="O27" s="1665"/>
      <c r="P27" s="2240"/>
      <c r="Q27" s="2240"/>
      <c r="R27" s="2240"/>
      <c r="S27" s="2240"/>
      <c r="T27" s="2240"/>
      <c r="U27" s="2240"/>
      <c r="V27" s="2240"/>
    </row>
    <row r="28" spans="1:28">
      <c r="A28" s="3237"/>
      <c r="B28" s="292" t="s">
        <v>2216</v>
      </c>
      <c r="C28" s="2222"/>
      <c r="D28" s="2223"/>
      <c r="E28" s="2436"/>
      <c r="F28" s="2436"/>
      <c r="G28" s="2436"/>
      <c r="H28" s="2436"/>
      <c r="I28" s="2436"/>
      <c r="J28" s="2240"/>
      <c r="K28" s="2396"/>
      <c r="L28" s="2393"/>
      <c r="M28" s="2393"/>
      <c r="N28" s="2240"/>
      <c r="O28" s="1665"/>
      <c r="P28" s="2240"/>
      <c r="Q28" s="2240"/>
      <c r="R28" s="2240"/>
      <c r="S28" s="2240"/>
      <c r="T28" s="2240"/>
      <c r="U28" s="2240"/>
      <c r="V28" s="2240"/>
    </row>
    <row r="29" spans="1:28">
      <c r="A29" s="3237"/>
      <c r="B29" s="292" t="s">
        <v>2217</v>
      </c>
      <c r="C29" s="2224"/>
      <c r="D29" s="2225"/>
      <c r="E29" s="2436"/>
      <c r="F29" s="2436"/>
      <c r="G29" s="2436"/>
      <c r="H29" s="2436"/>
      <c r="I29" s="2436"/>
      <c r="J29" s="2240"/>
      <c r="K29" s="2396"/>
      <c r="L29" s="2393"/>
      <c r="M29" s="2393"/>
      <c r="N29" s="2240"/>
      <c r="O29" s="1665"/>
      <c r="P29" s="2240"/>
      <c r="Q29" s="2240"/>
      <c r="R29" s="2240"/>
      <c r="S29" s="2240"/>
      <c r="T29" s="2240"/>
      <c r="U29" s="2240"/>
      <c r="V29" s="2240"/>
    </row>
    <row r="30" spans="1:28">
      <c r="A30" s="3238"/>
      <c r="B30" s="292" t="s">
        <v>2218</v>
      </c>
      <c r="C30" s="3239"/>
      <c r="D30" s="3240"/>
      <c r="E30" s="2436"/>
      <c r="F30" s="2436"/>
      <c r="G30" s="2436"/>
      <c r="H30" s="2436"/>
      <c r="I30" s="2436"/>
      <c r="J30" s="2240"/>
      <c r="K30" s="2396"/>
      <c r="L30" s="2393"/>
      <c r="M30" s="2393"/>
      <c r="N30" s="2240"/>
      <c r="O30" s="1665"/>
      <c r="P30" s="2240"/>
      <c r="Q30" s="2240"/>
      <c r="R30" s="2240"/>
      <c r="S30" s="2240"/>
      <c r="T30" s="2240"/>
      <c r="U30" s="2240"/>
      <c r="V30" s="2240"/>
    </row>
    <row r="31" spans="1:28">
      <c r="A31" s="3241" t="s">
        <v>2219</v>
      </c>
      <c r="B31" s="2226"/>
      <c r="C31" s="12" t="str">
        <f>IF(B31="现房","成新及维护状况正常否",IF(B31="在建","工程状态是否正常",IF(B31="土地","是否闲置","-")))</f>
        <v>-</v>
      </c>
      <c r="D31" s="1276"/>
      <c r="E31" s="2227"/>
      <c r="F31" s="2436"/>
      <c r="G31" s="2436"/>
      <c r="H31" s="2436"/>
      <c r="I31" s="2436"/>
      <c r="J31" s="2240"/>
      <c r="K31" s="2395"/>
      <c r="L31" s="2393"/>
      <c r="M31" s="2393"/>
      <c r="N31" s="2240"/>
      <c r="O31" s="1665"/>
      <c r="P31" s="2240"/>
      <c r="Q31" s="2240"/>
      <c r="R31" s="2240"/>
      <c r="S31" s="2240"/>
      <c r="T31" s="2240"/>
      <c r="U31" s="2240"/>
      <c r="V31" s="2240"/>
    </row>
    <row r="32" spans="1:28">
      <c r="A32" s="3242"/>
      <c r="B32" s="2226"/>
      <c r="C32" s="12" t="str">
        <f>IF(B32="现房","成新及维护状况是否正常",IF(B32="在建","工程状态是否正常",IF(B32="土地","是否闲置","-")))</f>
        <v>-</v>
      </c>
      <c r="D32" s="1276"/>
      <c r="E32" s="2227"/>
      <c r="F32" s="2436"/>
      <c r="G32" s="2436"/>
      <c r="H32" s="2436"/>
      <c r="I32" s="2436"/>
      <c r="J32" s="2240"/>
      <c r="K32" s="2396"/>
      <c r="L32" s="2393"/>
      <c r="M32" s="2393"/>
      <c r="N32" s="2240"/>
      <c r="O32" s="1665"/>
      <c r="P32" s="2240"/>
      <c r="Q32" s="2240"/>
      <c r="R32" s="2240"/>
      <c r="S32" s="2240"/>
      <c r="T32" s="2240"/>
      <c r="U32" s="2240"/>
      <c r="V32" s="2240"/>
    </row>
    <row r="33" spans="1:30">
      <c r="A33" s="3242"/>
      <c r="B33" s="2229"/>
      <c r="C33" s="1473" t="str">
        <f>IF(B33="现房","成新及维护状况是否正常",IF(B33="在建","工程状态是否正常",IF(B33="土地","是否闲置","-")))</f>
        <v>-</v>
      </c>
      <c r="D33" s="1269"/>
      <c r="E33" s="2230"/>
      <c r="F33" s="2436"/>
      <c r="G33" s="2436"/>
      <c r="H33" s="2436"/>
      <c r="I33" s="2436"/>
      <c r="J33" s="2240"/>
      <c r="K33" s="2396"/>
      <c r="L33" s="2393"/>
      <c r="M33" s="2393"/>
      <c r="N33" s="2240"/>
      <c r="O33" s="1665"/>
      <c r="P33" s="2240"/>
      <c r="Q33" s="2240"/>
      <c r="R33" s="2240"/>
      <c r="S33" s="2240"/>
      <c r="T33" s="2240"/>
      <c r="U33" s="2240"/>
      <c r="V33" s="2240"/>
    </row>
    <row r="34" spans="1:30">
      <c r="A34" s="292" t="s">
        <v>2220</v>
      </c>
      <c r="B34" s="1865" t="s">
        <v>3497</v>
      </c>
      <c r="C34" s="1865" t="s">
        <v>3498</v>
      </c>
      <c r="D34" s="1865" t="s">
        <v>3499</v>
      </c>
      <c r="E34" s="1865" t="s">
        <v>3500</v>
      </c>
      <c r="F34" s="1865" t="s">
        <v>3501</v>
      </c>
      <c r="G34" s="1865" t="s">
        <v>3502</v>
      </c>
      <c r="H34" s="1865"/>
      <c r="I34" s="2436"/>
      <c r="J34" s="2240"/>
      <c r="K34" s="8">
        <f>COUNTIF(B34:H34,"——")</f>
        <v>0</v>
      </c>
      <c r="L34" s="313" t="s">
        <v>2221</v>
      </c>
      <c r="M34" s="313" t="s">
        <v>2222</v>
      </c>
      <c r="N34" s="313" t="s">
        <v>2223</v>
      </c>
      <c r="O34" s="313" t="s">
        <v>2224</v>
      </c>
      <c r="P34" s="313" t="s">
        <v>2225</v>
      </c>
      <c r="Q34" s="313" t="s">
        <v>2226</v>
      </c>
      <c r="R34" s="313" t="s">
        <v>2227</v>
      </c>
      <c r="S34" s="3236" t="s">
        <v>2228</v>
      </c>
      <c r="T34" s="313" t="str">
        <f>NUMBERSTRING(7-K34,1)&amp;"通"</f>
        <v>七通</v>
      </c>
      <c r="U34" s="2240"/>
      <c r="V34" s="2240"/>
    </row>
    <row r="35" spans="1:30">
      <c r="A35" s="2231"/>
      <c r="B35" s="3236" t="s">
        <v>2229</v>
      </c>
      <c r="C35" s="3236"/>
      <c r="D35" s="3236"/>
      <c r="E35" s="3236"/>
      <c r="F35" s="8">
        <f>C10</f>
        <v>0</v>
      </c>
      <c r="G35" s="2436"/>
      <c r="H35" s="2436"/>
      <c r="I35" s="2436"/>
      <c r="J35" s="2240"/>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通路、通电、通讯、通上水、通下水、燃气</v>
      </c>
      <c r="R35" s="136" t="str">
        <f>B34&amp;"、"&amp;C34&amp;"、"&amp;D34&amp;"、"&amp;E34&amp;"、"&amp;F34&amp;"、"&amp;G34&amp;"、"&amp;H34</f>
        <v>通路、通电、通讯、通上水、通下水、燃气、</v>
      </c>
      <c r="S35" s="3236"/>
      <c r="T35" s="136" t="str">
        <f>IF(T34="一通",L35,IF(T34="二通",M35,IF(T34="三通",N35,IF(T34="四通",O35,IF(T34="五通",P35,IF(T34="六通",Q35,R35))))))</f>
        <v>通路、通电、通讯、通上水、通下水、燃气、</v>
      </c>
      <c r="U35" s="2240"/>
      <c r="V35" s="2240"/>
    </row>
    <row r="36" spans="1:30">
      <c r="A36" s="2178"/>
      <c r="B36" s="8" t="s">
        <v>2185</v>
      </c>
      <c r="C36" s="8" t="s">
        <v>2186</v>
      </c>
      <c r="D36" s="8" t="s">
        <v>2184</v>
      </c>
      <c r="E36" s="8" t="s">
        <v>2189</v>
      </c>
      <c r="F36" s="2794" t="s">
        <v>2577</v>
      </c>
      <c r="G36" s="2436"/>
      <c r="H36" s="2436"/>
      <c r="I36" s="2436"/>
      <c r="J36" s="2240"/>
      <c r="K36" s="2396"/>
      <c r="L36" s="2393"/>
      <c r="M36" s="2393"/>
      <c r="N36" s="2240"/>
      <c r="O36" s="1665"/>
      <c r="P36" s="2240"/>
      <c r="Q36" s="2240"/>
      <c r="R36" s="2240"/>
      <c r="S36" s="2240"/>
      <c r="T36" s="2240"/>
      <c r="U36" s="2240"/>
      <c r="V36" s="2240"/>
    </row>
    <row r="37" spans="1:30">
      <c r="A37" s="2409" t="s">
        <v>2230</v>
      </c>
      <c r="B37" s="2232" t="s">
        <v>304</v>
      </c>
      <c r="C37" s="2232" t="s">
        <v>304</v>
      </c>
      <c r="D37" s="2232" t="s">
        <v>304</v>
      </c>
      <c r="E37" s="2232"/>
      <c r="F37" s="2232"/>
      <c r="G37" s="2436"/>
      <c r="H37" s="2436"/>
      <c r="I37" s="2436"/>
      <c r="J37" s="2240"/>
      <c r="K37" s="2396"/>
      <c r="L37" s="2393"/>
      <c r="M37" s="2393"/>
      <c r="N37" s="2240"/>
      <c r="O37" s="1665"/>
      <c r="P37" s="2240"/>
      <c r="Q37" s="2240"/>
      <c r="R37" s="2240"/>
      <c r="S37" s="2240"/>
      <c r="T37" s="2240"/>
      <c r="U37" s="2240"/>
      <c r="V37" s="2240"/>
    </row>
    <row r="38" spans="1:30" ht="13.5" thickBot="1">
      <c r="A38" s="2410" t="s">
        <v>2231</v>
      </c>
      <c r="B38" s="2233" t="s">
        <v>3496</v>
      </c>
      <c r="C38" s="2233" t="s">
        <v>3496</v>
      </c>
      <c r="D38" s="2233"/>
      <c r="E38" s="2233"/>
      <c r="F38" s="2233"/>
      <c r="G38" s="2437"/>
      <c r="H38" s="2437"/>
      <c r="I38" s="2437"/>
      <c r="J38" s="2240"/>
      <c r="K38" s="2396"/>
      <c r="L38" s="2393"/>
      <c r="M38" s="2393"/>
      <c r="N38" s="2240"/>
      <c r="O38" s="1665"/>
      <c r="P38" s="2240"/>
      <c r="Q38" s="2240"/>
      <c r="R38" s="2240"/>
      <c r="S38" s="2240"/>
      <c r="T38" s="2240"/>
      <c r="U38" s="2240"/>
      <c r="V38" s="2240"/>
    </row>
    <row r="39" spans="1:30" s="2236" customFormat="1" ht="14.25" thickTop="1" thickBot="1">
      <c r="A39" s="2234" t="s">
        <v>2232</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1"/>
      <c r="J40" s="2240"/>
      <c r="K40" s="2395"/>
      <c r="L40" s="1665"/>
      <c r="M40" s="1665"/>
      <c r="N40" s="2240"/>
      <c r="O40" s="1665"/>
      <c r="P40" s="2240"/>
      <c r="Q40" s="2240"/>
      <c r="R40" s="2240"/>
      <c r="S40" s="2240"/>
      <c r="T40" s="2240"/>
      <c r="U40" s="2240"/>
      <c r="V40" s="2240"/>
    </row>
    <row r="41" spans="1:30">
      <c r="A41" s="2237" t="s">
        <v>2233</v>
      </c>
      <c r="B41" s="1622"/>
      <c r="C41" s="1276"/>
      <c r="D41" s="2177"/>
      <c r="E41" s="2177"/>
      <c r="F41" s="2177"/>
      <c r="G41" s="2177"/>
      <c r="H41" s="2177"/>
      <c r="I41" s="1461"/>
      <c r="J41" s="2240"/>
      <c r="K41" s="2396"/>
      <c r="L41" s="2393"/>
      <c r="M41" s="2393"/>
      <c r="N41" s="2240"/>
      <c r="O41" s="1665"/>
      <c r="P41" s="2240"/>
      <c r="Q41" s="2240"/>
      <c r="R41" s="2240"/>
      <c r="S41" s="2240"/>
      <c r="T41" s="2240"/>
      <c r="U41" s="2240"/>
      <c r="V41" s="2240"/>
    </row>
    <row r="42" spans="1:30" ht="25.5">
      <c r="A42" s="313"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0"/>
      <c r="T42" s="2240"/>
      <c r="U42" s="2240"/>
      <c r="V42" s="2240"/>
    </row>
    <row r="43" spans="1:30" s="1611" customFormat="1">
      <c r="A43" s="1457"/>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1" customFormat="1">
      <c r="A44" s="1457"/>
      <c r="B44" s="1457"/>
      <c r="C44" s="626"/>
      <c r="D44" s="626"/>
      <c r="E44" s="626"/>
      <c r="F44" s="626"/>
      <c r="G44" s="626"/>
      <c r="H44" s="626"/>
      <c r="I44" s="626"/>
      <c r="J44" s="2238"/>
      <c r="K44" s="2239"/>
      <c r="L44" s="2239"/>
      <c r="M44" s="626"/>
      <c r="N44" s="626"/>
      <c r="O44" s="626"/>
      <c r="P44" s="626"/>
      <c r="Q44" s="626"/>
      <c r="R44" s="626"/>
      <c r="S44" s="2240"/>
      <c r="T44" s="2240"/>
      <c r="U44" s="2240"/>
      <c r="V44" s="2240"/>
    </row>
    <row r="45" spans="1:30" s="1611" customFormat="1">
      <c r="A45" s="1457"/>
      <c r="B45" s="1457"/>
      <c r="C45" s="626"/>
      <c r="D45" s="626"/>
      <c r="E45" s="626"/>
      <c r="F45" s="626"/>
      <c r="G45" s="626"/>
      <c r="H45" s="626"/>
      <c r="I45" s="626"/>
      <c r="J45" s="2238"/>
      <c r="K45" s="2239"/>
      <c r="L45" s="2239"/>
      <c r="M45" s="626"/>
      <c r="N45" s="626"/>
      <c r="O45" s="626"/>
      <c r="P45" s="626"/>
      <c r="Q45" s="626"/>
      <c r="R45" s="626"/>
      <c r="S45" s="2240"/>
      <c r="T45" s="2240"/>
      <c r="U45" s="2240"/>
      <c r="V45" s="2240"/>
    </row>
    <row r="46" spans="1:30" s="1611" customFormat="1">
      <c r="A46" s="1457"/>
      <c r="B46" s="1457"/>
      <c r="C46" s="626"/>
      <c r="D46" s="626"/>
      <c r="E46" s="626"/>
      <c r="F46" s="626"/>
      <c r="G46" s="626"/>
      <c r="H46" s="626"/>
      <c r="I46" s="626"/>
      <c r="J46" s="2238"/>
      <c r="K46" s="2239"/>
      <c r="L46" s="2239"/>
      <c r="M46" s="626"/>
      <c r="N46" s="626"/>
      <c r="O46" s="626"/>
      <c r="P46" s="626"/>
      <c r="Q46" s="626"/>
      <c r="R46" s="626"/>
      <c r="S46" s="2240"/>
      <c r="T46" s="2240"/>
      <c r="U46" s="2240"/>
      <c r="V46" s="2240"/>
    </row>
    <row r="47" spans="1:30" s="1611" customFormat="1">
      <c r="A47" s="1457"/>
      <c r="B47" s="1457"/>
      <c r="C47" s="626"/>
      <c r="D47" s="626"/>
      <c r="E47" s="626"/>
      <c r="F47" s="626"/>
      <c r="G47" s="626"/>
      <c r="H47" s="626"/>
      <c r="I47" s="626"/>
      <c r="J47" s="2238"/>
      <c r="K47" s="2239"/>
      <c r="L47" s="2239"/>
      <c r="M47" s="626"/>
      <c r="N47" s="626"/>
      <c r="O47" s="626"/>
      <c r="P47" s="626"/>
      <c r="Q47" s="626"/>
      <c r="R47" s="626"/>
      <c r="S47" s="2240"/>
      <c r="T47" s="2240"/>
      <c r="U47" s="2240"/>
      <c r="V47" s="2240"/>
    </row>
    <row r="48" spans="1:30" s="1611" customFormat="1">
      <c r="A48" s="1457"/>
      <c r="B48" s="1457"/>
      <c r="C48" s="626"/>
      <c r="D48" s="626"/>
      <c r="E48" s="626"/>
      <c r="F48" s="626"/>
      <c r="G48" s="626"/>
      <c r="H48" s="626"/>
      <c r="I48" s="626"/>
      <c r="J48" s="2238"/>
      <c r="K48" s="2239"/>
      <c r="L48" s="2239"/>
      <c r="M48" s="626"/>
      <c r="N48" s="626"/>
      <c r="O48" s="626"/>
      <c r="P48" s="626"/>
      <c r="Q48" s="626"/>
      <c r="R48" s="626"/>
      <c r="S48" s="2240"/>
      <c r="T48" s="2240"/>
      <c r="U48" s="2240"/>
      <c r="V48" s="2240"/>
    </row>
    <row r="49" spans="1:22" s="1611" customFormat="1">
      <c r="A49" s="1457"/>
      <c r="B49" s="1457"/>
      <c r="C49" s="626"/>
      <c r="D49" s="626"/>
      <c r="E49" s="626"/>
      <c r="F49" s="626"/>
      <c r="G49" s="626"/>
      <c r="H49" s="626"/>
      <c r="I49" s="626"/>
      <c r="J49" s="2238"/>
      <c r="K49" s="2239"/>
      <c r="L49" s="2239"/>
      <c r="M49" s="626"/>
      <c r="N49" s="626"/>
      <c r="O49" s="626"/>
      <c r="P49" s="626"/>
      <c r="Q49" s="626"/>
      <c r="R49" s="626"/>
      <c r="S49" s="2240"/>
      <c r="T49" s="2240"/>
      <c r="U49" s="2240"/>
      <c r="V49" s="2240"/>
    </row>
    <row r="50" spans="1:22" s="1611" customFormat="1">
      <c r="A50" s="1457"/>
      <c r="B50" s="1457"/>
      <c r="C50" s="626"/>
      <c r="D50" s="626"/>
      <c r="E50" s="626"/>
      <c r="F50" s="626"/>
      <c r="G50" s="626"/>
      <c r="H50" s="626"/>
      <c r="I50" s="626"/>
      <c r="J50" s="2238"/>
      <c r="K50" s="2239"/>
      <c r="L50" s="2239"/>
      <c r="M50" s="626"/>
      <c r="N50" s="626"/>
      <c r="O50" s="626"/>
      <c r="P50" s="626"/>
      <c r="Q50" s="626"/>
      <c r="R50" s="626"/>
      <c r="S50" s="2240"/>
      <c r="T50" s="2240"/>
      <c r="U50" s="2240"/>
      <c r="V50" s="2240"/>
    </row>
    <row r="51" spans="1:22" s="1611" customFormat="1">
      <c r="A51" s="1457"/>
      <c r="B51" s="1457"/>
      <c r="C51" s="626"/>
      <c r="D51" s="626"/>
      <c r="E51" s="626"/>
      <c r="F51" s="626"/>
      <c r="G51" s="626"/>
      <c r="H51" s="626"/>
      <c r="I51" s="626"/>
      <c r="J51" s="2238"/>
      <c r="K51" s="2239"/>
      <c r="L51" s="2239"/>
      <c r="M51" s="626"/>
      <c r="N51" s="626"/>
      <c r="O51" s="626"/>
      <c r="P51" s="626"/>
      <c r="Q51" s="626"/>
      <c r="R51" s="626"/>
    </row>
    <row r="52" spans="1:22" s="1611" customFormat="1">
      <c r="A52" s="1457"/>
      <c r="B52" s="1457"/>
      <c r="C52" s="1457"/>
      <c r="D52" s="1457"/>
      <c r="E52" s="1457"/>
      <c r="F52" s="626"/>
      <c r="G52" s="1457"/>
      <c r="H52" s="1457"/>
      <c r="I52" s="1457"/>
      <c r="J52" s="2241"/>
      <c r="K52" s="2239"/>
      <c r="L52" s="2239"/>
      <c r="M52" s="2239"/>
      <c r="N52" s="1457"/>
      <c r="O52" s="1457"/>
      <c r="P52" s="1457"/>
      <c r="Q52" s="1457"/>
      <c r="R52" s="1457"/>
    </row>
    <row r="53" spans="1:22" s="1611" customFormat="1">
      <c r="A53" s="1457"/>
      <c r="B53" s="1457"/>
      <c r="C53" s="1457"/>
      <c r="D53" s="1457"/>
      <c r="E53" s="1457"/>
      <c r="F53" s="626"/>
      <c r="G53" s="1457"/>
      <c r="H53" s="1457"/>
      <c r="I53" s="1457"/>
      <c r="J53" s="2241"/>
      <c r="K53" s="2239"/>
      <c r="L53" s="2239"/>
      <c r="M53" s="2239"/>
      <c r="N53" s="1457"/>
      <c r="O53" s="1457"/>
      <c r="P53" s="1457"/>
      <c r="Q53" s="1457"/>
      <c r="R53" s="1457"/>
    </row>
    <row r="54" spans="1:22" s="1611" customFormat="1">
      <c r="A54" s="1457"/>
      <c r="B54" s="1457"/>
      <c r="C54" s="1457"/>
      <c r="D54" s="1457"/>
      <c r="E54" s="1457"/>
      <c r="F54" s="626"/>
      <c r="G54" s="1457"/>
      <c r="H54" s="1457"/>
      <c r="I54" s="1457"/>
      <c r="J54" s="2241"/>
      <c r="K54" s="2239"/>
      <c r="L54" s="2239"/>
      <c r="M54" s="2239"/>
      <c r="N54" s="1457"/>
      <c r="O54" s="1457"/>
      <c r="P54" s="1457"/>
      <c r="Q54" s="1457"/>
      <c r="R54" s="1457"/>
    </row>
    <row r="55" spans="1:22" s="1611" customFormat="1">
      <c r="A55" s="1457"/>
      <c r="B55" s="1457"/>
      <c r="C55" s="1457"/>
      <c r="D55" s="1457"/>
      <c r="E55" s="1457"/>
      <c r="F55" s="626"/>
      <c r="G55" s="1457"/>
      <c r="H55" s="1457"/>
      <c r="I55" s="1457"/>
      <c r="J55" s="2241"/>
      <c r="K55" s="2239"/>
      <c r="L55" s="2239"/>
      <c r="M55" s="2239"/>
      <c r="N55" s="1457"/>
      <c r="O55" s="1457"/>
      <c r="P55" s="1457"/>
      <c r="Q55" s="1457"/>
      <c r="R55" s="1457"/>
    </row>
    <row r="56" spans="1:22" s="1611" customFormat="1">
      <c r="A56" s="1457"/>
      <c r="B56" s="1457"/>
      <c r="C56" s="1457"/>
      <c r="D56" s="1457"/>
      <c r="E56" s="1457"/>
      <c r="F56" s="626"/>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E387D-9DDA-4964-AA9C-2CAE84E0A828}">
  <dimension ref="A1:R79"/>
  <sheetViews>
    <sheetView workbookViewId="0">
      <selection activeCell="H7" sqref="H7"/>
    </sheetView>
  </sheetViews>
  <sheetFormatPr defaultRowHeight="13.5"/>
  <cols>
    <col min="1" max="1" width="9.375" style="3141" customWidth="1"/>
    <col min="2" max="2" width="16.125" style="3141" customWidth="1"/>
    <col min="3" max="3" width="14.5" style="3141" customWidth="1"/>
    <col min="4" max="4" width="12.625" style="3141" customWidth="1"/>
    <col min="5" max="5" width="13" style="3141" bestFit="1" customWidth="1"/>
    <col min="6" max="7" width="13.875" style="3141" customWidth="1"/>
    <col min="8" max="9" width="9" style="3141"/>
    <col min="10" max="10" width="10" style="3141" bestFit="1" customWidth="1"/>
    <col min="11" max="16384" width="9" style="3141"/>
  </cols>
  <sheetData>
    <row r="1" spans="1:18" ht="16.5">
      <c r="A1" s="3140"/>
      <c r="B1" s="3140" t="s">
        <v>3563</v>
      </c>
    </row>
    <row r="2" spans="1:18" ht="16.5">
      <c r="A2" s="3140" t="s">
        <v>3504</v>
      </c>
      <c r="B2" s="3140" t="s">
        <v>3505</v>
      </c>
    </row>
    <row r="3" spans="1:18" ht="16.5">
      <c r="A3" s="3140" t="s">
        <v>3506</v>
      </c>
      <c r="B3" s="3142">
        <v>58329</v>
      </c>
    </row>
    <row r="4" spans="1:18" ht="16.5">
      <c r="A4" s="3140"/>
      <c r="B4" s="3142">
        <v>61982</v>
      </c>
    </row>
    <row r="5" spans="1:18" ht="16.5">
      <c r="A5" s="3140" t="s">
        <v>3507</v>
      </c>
      <c r="B5" s="3143">
        <v>42276.47</v>
      </c>
    </row>
    <row r="6" spans="1:18" ht="16.5">
      <c r="A6" s="3144" t="s">
        <v>3508</v>
      </c>
      <c r="B6" s="3145" t="s">
        <v>3509</v>
      </c>
      <c r="H6" s="3141" t="s">
        <v>3672</v>
      </c>
    </row>
    <row r="7" spans="1:18">
      <c r="H7" s="3141">
        <v>107000</v>
      </c>
    </row>
    <row r="8" spans="1:18" ht="15.75">
      <c r="A8" s="3146" t="s">
        <v>3510</v>
      </c>
      <c r="B8" s="3146" t="s">
        <v>3511</v>
      </c>
      <c r="C8" s="3146" t="s">
        <v>3512</v>
      </c>
      <c r="D8" s="3146" t="s">
        <v>3513</v>
      </c>
      <c r="E8" s="3146" t="s">
        <v>3514</v>
      </c>
      <c r="F8" s="3146" t="s">
        <v>3515</v>
      </c>
      <c r="G8" s="3146" t="s">
        <v>3516</v>
      </c>
    </row>
    <row r="9" spans="1:18" ht="15.75">
      <c r="A9" s="3147">
        <v>1</v>
      </c>
      <c r="B9" s="3148" t="s">
        <v>3517</v>
      </c>
      <c r="C9" s="3147">
        <v>20538.810000000001</v>
      </c>
      <c r="D9" s="3147">
        <v>7465.05</v>
      </c>
      <c r="E9" s="3147">
        <f>C9-D9</f>
        <v>13073.760000000002</v>
      </c>
      <c r="F9" s="3147">
        <v>177.5</v>
      </c>
      <c r="G9" s="3147" t="s">
        <v>3518</v>
      </c>
      <c r="I9" s="3149" t="s">
        <v>654</v>
      </c>
      <c r="J9" s="3149" t="s">
        <v>3519</v>
      </c>
      <c r="K9" s="3149" t="s">
        <v>3520</v>
      </c>
      <c r="L9" s="3149" t="s">
        <v>3521</v>
      </c>
      <c r="M9" s="3149" t="s">
        <v>3522</v>
      </c>
    </row>
    <row r="10" spans="1:18" ht="15.75">
      <c r="A10" s="3147">
        <v>2</v>
      </c>
      <c r="B10" s="3148" t="s">
        <v>3523</v>
      </c>
      <c r="C10" s="3147">
        <v>28080.68</v>
      </c>
      <c r="D10" s="3147">
        <v>76.180000000000007</v>
      </c>
      <c r="E10" s="3147">
        <f t="shared" ref="E10:E20" si="0">C10-D10</f>
        <v>28004.5</v>
      </c>
      <c r="F10" s="3147">
        <v>234.4</v>
      </c>
      <c r="G10" s="3147" t="s">
        <v>3518</v>
      </c>
      <c r="I10" s="3149">
        <v>1</v>
      </c>
      <c r="J10" s="3149">
        <f>F12</f>
        <v>9434.2999999999993</v>
      </c>
      <c r="K10" s="3149">
        <v>1</v>
      </c>
      <c r="L10" s="3149">
        <v>15</v>
      </c>
      <c r="M10" s="3149">
        <f>J10*L10/E12</f>
        <v>8.4022065555432857</v>
      </c>
      <c r="O10" s="3141">
        <f>L10*J10/E12</f>
        <v>8.4022065555432857</v>
      </c>
      <c r="R10" s="3141">
        <f>L10*J10</f>
        <v>141514.5</v>
      </c>
    </row>
    <row r="11" spans="1:18" ht="15.75">
      <c r="A11" s="3147">
        <v>3</v>
      </c>
      <c r="B11" s="3148" t="s">
        <v>3524</v>
      </c>
      <c r="C11" s="3147">
        <v>28880.14</v>
      </c>
      <c r="D11" s="3147">
        <v>80.25</v>
      </c>
      <c r="E11" s="3147">
        <f t="shared" si="0"/>
        <v>28799.89</v>
      </c>
      <c r="F11" s="3147">
        <v>9897.1</v>
      </c>
      <c r="G11" s="3147" t="s">
        <v>3525</v>
      </c>
      <c r="H11" s="3141">
        <f>H7-E12-E13-E15-E17-E18-E19</f>
        <v>23083.830000000005</v>
      </c>
      <c r="I11" s="3149">
        <v>2</v>
      </c>
      <c r="J11" s="3149">
        <f>F13</f>
        <v>9238.5</v>
      </c>
      <c r="K11" s="3149">
        <v>0.75</v>
      </c>
      <c r="L11" s="3149">
        <f>$L$10*K11</f>
        <v>11.25</v>
      </c>
      <c r="M11" s="3149">
        <f>J11*L11/E13</f>
        <v>6.5801157072826069</v>
      </c>
      <c r="O11" s="3141">
        <f>L11*J11/(E13+E14)</f>
        <v>6.5515081316187596</v>
      </c>
      <c r="R11" s="3141">
        <f t="shared" ref="R11:R15" si="1">L11*J11</f>
        <v>103933.125</v>
      </c>
    </row>
    <row r="12" spans="1:18" ht="15.75">
      <c r="A12" s="3147">
        <v>4</v>
      </c>
      <c r="B12" s="3148" t="s">
        <v>3526</v>
      </c>
      <c r="C12" s="3147">
        <v>16911.669999999998</v>
      </c>
      <c r="D12" s="3147">
        <v>69.13</v>
      </c>
      <c r="E12" s="3147">
        <f t="shared" si="0"/>
        <v>16842.539999999997</v>
      </c>
      <c r="F12" s="3147">
        <v>9434.2999999999993</v>
      </c>
      <c r="G12" s="3147" t="s">
        <v>3527</v>
      </c>
      <c r="H12" s="3150">
        <f>F12/E12</f>
        <v>0.56014710370288567</v>
      </c>
      <c r="I12" s="3149">
        <v>3</v>
      </c>
      <c r="J12" s="3149">
        <f>F15</f>
        <v>10172.5</v>
      </c>
      <c r="K12" s="3149">
        <v>0.65</v>
      </c>
      <c r="L12" s="3149">
        <f t="shared" ref="L12:L16" si="2">$L$10*K12</f>
        <v>9.75</v>
      </c>
      <c r="M12" s="3149">
        <f>J12*L12/E15</f>
        <v>5.9330729362951482</v>
      </c>
      <c r="O12" s="3141">
        <f>L12*H15</f>
        <v>5.9330729362951482</v>
      </c>
      <c r="R12" s="3141">
        <f t="shared" si="1"/>
        <v>99181.875</v>
      </c>
    </row>
    <row r="13" spans="1:18" ht="15.75">
      <c r="A13" s="3147">
        <v>5</v>
      </c>
      <c r="B13" s="3148" t="s">
        <v>3528</v>
      </c>
      <c r="C13" s="3147">
        <v>15795.03</v>
      </c>
      <c r="D13" s="3147"/>
      <c r="E13" s="3147">
        <f t="shared" si="0"/>
        <v>15795.03</v>
      </c>
      <c r="F13" s="3147">
        <v>9238.5</v>
      </c>
      <c r="G13" s="3147" t="s">
        <v>3527</v>
      </c>
      <c r="H13" s="3150">
        <f>F13/E13</f>
        <v>0.58489917398067615</v>
      </c>
      <c r="I13" s="3149">
        <v>4</v>
      </c>
      <c r="J13" s="3149">
        <f>F17</f>
        <v>9581.6</v>
      </c>
      <c r="K13" s="3149">
        <v>0.6</v>
      </c>
      <c r="L13" s="3149">
        <f t="shared" si="2"/>
        <v>9</v>
      </c>
      <c r="M13" s="3149">
        <f>J13*L13/E17</f>
        <v>5.2824751816581337</v>
      </c>
      <c r="O13" s="3141">
        <f>L13*H17</f>
        <v>5.2824751816581337</v>
      </c>
      <c r="R13" s="3141">
        <f t="shared" si="1"/>
        <v>86234.400000000009</v>
      </c>
    </row>
    <row r="14" spans="1:18" ht="15.75">
      <c r="A14" s="3149">
        <v>6</v>
      </c>
      <c r="B14" s="3151" t="s">
        <v>3529</v>
      </c>
      <c r="C14" s="3149">
        <v>68.97</v>
      </c>
      <c r="D14" s="3149"/>
      <c r="E14" s="3149">
        <f t="shared" si="0"/>
        <v>68.97</v>
      </c>
      <c r="F14" s="3149"/>
      <c r="G14" s="3149"/>
      <c r="H14" s="3152"/>
      <c r="I14" s="3149">
        <v>5</v>
      </c>
      <c r="J14" s="3149">
        <f>F18</f>
        <v>11342.6</v>
      </c>
      <c r="K14" s="3149">
        <v>0.5</v>
      </c>
      <c r="L14" s="3149">
        <f t="shared" si="2"/>
        <v>7.5</v>
      </c>
      <c r="M14" s="3149">
        <f t="shared" ref="M14:M15" si="3">J14*L14/E18</f>
        <v>5.2537300343807303</v>
      </c>
      <c r="O14" s="3141">
        <f>L14*J14/E18</f>
        <v>5.2537300343807303</v>
      </c>
      <c r="R14" s="3141">
        <f t="shared" si="1"/>
        <v>85069.5</v>
      </c>
    </row>
    <row r="15" spans="1:18" ht="15.75">
      <c r="A15" s="3147">
        <v>7</v>
      </c>
      <c r="B15" s="3148" t="s">
        <v>3530</v>
      </c>
      <c r="C15" s="3147">
        <v>16716.78</v>
      </c>
      <c r="D15" s="3147"/>
      <c r="E15" s="3147">
        <f t="shared" si="0"/>
        <v>16716.78</v>
      </c>
      <c r="F15" s="3147">
        <v>10172.5</v>
      </c>
      <c r="G15" s="3147" t="s">
        <v>3527</v>
      </c>
      <c r="H15" s="3150">
        <f>F15/E15</f>
        <v>0.60852030115847677</v>
      </c>
      <c r="I15" s="3149">
        <v>6</v>
      </c>
      <c r="J15" s="3149">
        <f>F19</f>
        <v>1009.7</v>
      </c>
      <c r="K15" s="3149">
        <v>0.4</v>
      </c>
      <c r="L15" s="3149">
        <f t="shared" si="2"/>
        <v>6</v>
      </c>
      <c r="M15" s="3149">
        <f t="shared" si="3"/>
        <v>2.9624594741294579</v>
      </c>
      <c r="O15" s="3141">
        <f>L15*J15/E19</f>
        <v>2.9624594741294579</v>
      </c>
      <c r="R15" s="3141">
        <f t="shared" si="1"/>
        <v>6058.2000000000007</v>
      </c>
    </row>
    <row r="16" spans="1:18" ht="15.75">
      <c r="A16" s="3149">
        <v>8</v>
      </c>
      <c r="B16" s="3151" t="s">
        <v>3531</v>
      </c>
      <c r="C16" s="3149">
        <v>191.65</v>
      </c>
      <c r="D16" s="3149"/>
      <c r="E16" s="3149">
        <f t="shared" si="0"/>
        <v>191.65</v>
      </c>
      <c r="F16" s="3149"/>
      <c r="G16" s="3149"/>
      <c r="H16" s="3150"/>
      <c r="I16" s="3149">
        <v>-1</v>
      </c>
      <c r="J16" s="3149">
        <f>F11</f>
        <v>9897.1</v>
      </c>
      <c r="K16" s="3149">
        <v>0.4</v>
      </c>
      <c r="L16" s="3149">
        <f t="shared" si="2"/>
        <v>6</v>
      </c>
      <c r="M16" s="3149"/>
    </row>
    <row r="17" spans="1:18" ht="15.75">
      <c r="A17" s="3147">
        <v>9</v>
      </c>
      <c r="B17" s="3148" t="s">
        <v>3532</v>
      </c>
      <c r="C17" s="3147">
        <v>16324.62</v>
      </c>
      <c r="D17" s="3147"/>
      <c r="E17" s="3147">
        <f t="shared" si="0"/>
        <v>16324.62</v>
      </c>
      <c r="F17" s="3147">
        <v>9581.6</v>
      </c>
      <c r="G17" s="3147" t="s">
        <v>3527</v>
      </c>
      <c r="H17" s="3150">
        <f>F17/E17</f>
        <v>0.58694168685090375</v>
      </c>
      <c r="I17" s="3149"/>
      <c r="J17" s="3153">
        <f>SUM(J10:J16)</f>
        <v>60676.299999999996</v>
      </c>
      <c r="K17" s="3149"/>
      <c r="L17" s="3154">
        <f>SUMPRODUCT(L10:L16,J10:J16)/J17</f>
        <v>9.5815697397501189</v>
      </c>
      <c r="M17" s="3154"/>
      <c r="N17" s="3141">
        <f>J17/(E21-E9-E10-(E11-J16))</f>
        <v>0.64326862300951482</v>
      </c>
      <c r="O17" s="3141">
        <f>L17*N17</f>
        <v>6.1635231727586941</v>
      </c>
      <c r="R17" s="3141">
        <f>L17*J17/(E21-E9-E10-E11-E20)</f>
        <v>6.9065855326628673</v>
      </c>
    </row>
    <row r="18" spans="1:18" ht="15.75">
      <c r="A18" s="3147">
        <v>10</v>
      </c>
      <c r="B18" s="3148" t="s">
        <v>3533</v>
      </c>
      <c r="C18" s="3147">
        <v>16192.21</v>
      </c>
      <c r="D18" s="3147"/>
      <c r="E18" s="3147">
        <f t="shared" si="0"/>
        <v>16192.21</v>
      </c>
      <c r="F18" s="3147">
        <v>11342.6</v>
      </c>
      <c r="G18" s="3147" t="s">
        <v>3527</v>
      </c>
      <c r="I18" s="3149"/>
      <c r="J18" s="3153">
        <f>E21</f>
        <v>154306.02999999997</v>
      </c>
      <c r="K18" s="3149"/>
      <c r="L18" s="3154">
        <f>J17*L17/J18</f>
        <v>3.7676699996753218</v>
      </c>
      <c r="M18" s="3154"/>
    </row>
    <row r="19" spans="1:18" ht="15.75">
      <c r="A19" s="3147">
        <v>11</v>
      </c>
      <c r="B19" s="3148" t="s">
        <v>3534</v>
      </c>
      <c r="C19" s="3147">
        <v>2055.5500000000002</v>
      </c>
      <c r="D19" s="3147">
        <v>10.56</v>
      </c>
      <c r="E19" s="3147">
        <f t="shared" si="0"/>
        <v>2044.9900000000002</v>
      </c>
      <c r="F19" s="3147">
        <v>1009.7</v>
      </c>
      <c r="G19" s="3147" t="s">
        <v>2810</v>
      </c>
      <c r="I19" s="3149"/>
      <c r="J19" s="3149">
        <f>'[1]数据-汇总表'!F31</f>
        <v>84427.88</v>
      </c>
      <c r="K19" s="3149"/>
      <c r="L19" s="3154">
        <f>L17*J17/J19</f>
        <v>6.8860452258187701</v>
      </c>
      <c r="M19" s="3154"/>
    </row>
    <row r="20" spans="1:18" ht="15.75">
      <c r="A20" s="3149">
        <v>12</v>
      </c>
      <c r="B20" s="3151" t="s">
        <v>3535</v>
      </c>
      <c r="C20" s="3149">
        <v>251.09</v>
      </c>
      <c r="D20" s="3149"/>
      <c r="E20" s="3149">
        <f t="shared" si="0"/>
        <v>251.09</v>
      </c>
      <c r="F20" s="3149"/>
      <c r="G20" s="3149"/>
    </row>
    <row r="21" spans="1:18" s="3157" customFormat="1" ht="15.75">
      <c r="A21" s="3155"/>
      <c r="B21" s="3156" t="s">
        <v>2590</v>
      </c>
      <c r="C21" s="3155">
        <f>SUM(C9:C20)</f>
        <v>162007.19999999998</v>
      </c>
      <c r="D21" s="3155">
        <f>SUM(D9:D20)</f>
        <v>7701.170000000001</v>
      </c>
      <c r="E21" s="3155">
        <f>SUM(E9:E20)</f>
        <v>154306.02999999997</v>
      </c>
      <c r="F21" s="3155">
        <f>SUM(F9:F20)</f>
        <v>61088.2</v>
      </c>
      <c r="G21" s="3155"/>
    </row>
    <row r="22" spans="1:18" ht="15.75">
      <c r="A22" s="3149"/>
      <c r="B22" s="3151"/>
      <c r="C22" s="3149"/>
      <c r="D22" s="3149" t="s">
        <v>3536</v>
      </c>
      <c r="E22" s="3158">
        <f>(E9+E10+E11)/E21</f>
        <v>0.45285430517524172</v>
      </c>
      <c r="F22" s="3149"/>
      <c r="G22" s="3149"/>
    </row>
    <row r="24" spans="1:18">
      <c r="A24" s="3159" t="s">
        <v>3537</v>
      </c>
      <c r="B24" s="3159">
        <v>2008</v>
      </c>
    </row>
    <row r="26" spans="1:18">
      <c r="B26" s="3141" t="s">
        <v>3564</v>
      </c>
    </row>
    <row r="27" spans="1:18">
      <c r="B27" s="3181"/>
      <c r="C27" s="3182" t="s">
        <v>3565</v>
      </c>
      <c r="D27" s="3182" t="s">
        <v>3566</v>
      </c>
      <c r="E27" s="3182" t="s">
        <v>3567</v>
      </c>
      <c r="F27" s="3181"/>
      <c r="G27" s="3183" t="s">
        <v>3568</v>
      </c>
    </row>
    <row r="28" spans="1:18">
      <c r="B28" s="3184" t="s">
        <v>3569</v>
      </c>
      <c r="C28" s="3185">
        <f>C29+C30</f>
        <v>153794.32</v>
      </c>
      <c r="D28" s="3185">
        <f>E28/C28</f>
        <v>3363.0831749833151</v>
      </c>
      <c r="E28" s="3185">
        <f>E29+E30</f>
        <v>517223090</v>
      </c>
      <c r="F28" s="3181"/>
      <c r="G28" s="3186">
        <v>1</v>
      </c>
    </row>
    <row r="29" spans="1:18">
      <c r="B29" s="3182" t="s">
        <v>3503</v>
      </c>
      <c r="C29" s="3187">
        <f>'数据-汇总表'!F19</f>
        <v>83916.17</v>
      </c>
      <c r="D29" s="3181">
        <v>2000</v>
      </c>
      <c r="E29" s="3181">
        <f>D29*C29</f>
        <v>167832340</v>
      </c>
      <c r="F29" s="3181"/>
      <c r="G29" s="3181"/>
    </row>
    <row r="30" spans="1:18">
      <c r="B30" s="3182" t="s">
        <v>3570</v>
      </c>
      <c r="C30" s="3187">
        <f>'数据-汇总表'!G19</f>
        <v>69878.149999999994</v>
      </c>
      <c r="D30" s="3181">
        <v>5000</v>
      </c>
      <c r="E30" s="3181">
        <f t="shared" ref="E30:E33" si="4">D30*C30</f>
        <v>349390750</v>
      </c>
      <c r="F30" s="3181"/>
      <c r="G30" s="3181"/>
    </row>
    <row r="31" spans="1:18">
      <c r="B31" s="3184" t="s">
        <v>3571</v>
      </c>
      <c r="C31" s="3185">
        <f>C28</f>
        <v>153794.32</v>
      </c>
      <c r="D31" s="3185">
        <v>1000</v>
      </c>
      <c r="E31" s="3185">
        <f t="shared" si="4"/>
        <v>153794320</v>
      </c>
      <c r="F31" s="3181"/>
      <c r="G31" s="3186">
        <v>1</v>
      </c>
    </row>
    <row r="32" spans="1:18">
      <c r="B32" s="3184" t="s">
        <v>3572</v>
      </c>
      <c r="C32" s="3185">
        <f>C28</f>
        <v>153794.32</v>
      </c>
      <c r="D32" s="3185">
        <v>1500</v>
      </c>
      <c r="E32" s="3185">
        <f t="shared" si="4"/>
        <v>230691480</v>
      </c>
      <c r="F32" s="3181"/>
      <c r="G32" s="3186">
        <v>1</v>
      </c>
    </row>
    <row r="33" spans="2:9">
      <c r="B33" s="3184" t="s">
        <v>3573</v>
      </c>
      <c r="C33" s="3185">
        <v>0</v>
      </c>
      <c r="D33" s="3185">
        <f>D30</f>
        <v>5000</v>
      </c>
      <c r="E33" s="3185">
        <f t="shared" si="4"/>
        <v>0</v>
      </c>
      <c r="F33" s="3181"/>
      <c r="G33" s="3181"/>
    </row>
    <row r="34" spans="2:9">
      <c r="B34" s="3182" t="s">
        <v>3574</v>
      </c>
      <c r="C34" s="3181">
        <f>C28</f>
        <v>153794.32</v>
      </c>
      <c r="D34" s="3181">
        <f>E34/C34</f>
        <v>5863.0831749833151</v>
      </c>
      <c r="E34" s="3181">
        <f>E28+E31+E32+E33</f>
        <v>901708890</v>
      </c>
      <c r="F34" s="3181"/>
      <c r="G34" s="3184">
        <f>(G28*E28+G31*E31+G32*E32)/E34</f>
        <v>1</v>
      </c>
    </row>
    <row r="38" spans="2:9">
      <c r="B38" s="3141" t="s">
        <v>3575</v>
      </c>
    </row>
    <row r="39" spans="2:9">
      <c r="B39" s="3181"/>
      <c r="C39" s="3182" t="s">
        <v>3576</v>
      </c>
      <c r="D39" s="3182"/>
      <c r="E39" s="3182" t="s">
        <v>3577</v>
      </c>
      <c r="F39" s="3182" t="s">
        <v>3578</v>
      </c>
      <c r="G39" s="3182" t="s">
        <v>3579</v>
      </c>
      <c r="H39" s="3183" t="s">
        <v>3575</v>
      </c>
      <c r="I39" s="3188"/>
    </row>
    <row r="40" spans="2:9">
      <c r="B40" s="3184" t="s">
        <v>3580</v>
      </c>
      <c r="C40" s="3185">
        <v>2022</v>
      </c>
      <c r="D40" s="3185">
        <v>2024</v>
      </c>
      <c r="E40" s="3185">
        <v>50</v>
      </c>
      <c r="F40" s="3181">
        <v>60</v>
      </c>
      <c r="G40" s="3181">
        <v>0</v>
      </c>
      <c r="H40" s="3189">
        <v>0.97</v>
      </c>
      <c r="I40" s="3190"/>
    </row>
    <row r="41" spans="2:9">
      <c r="B41" s="3182" t="s">
        <v>3581</v>
      </c>
      <c r="C41" s="3187"/>
      <c r="D41" s="3181"/>
      <c r="E41" s="3181"/>
      <c r="F41" s="3181"/>
      <c r="G41" s="3181"/>
      <c r="H41" s="3186">
        <v>0.9</v>
      </c>
      <c r="I41" s="3191"/>
    </row>
    <row r="42" spans="2:9">
      <c r="B42" s="3182"/>
      <c r="C42" s="3181"/>
      <c r="D42" s="3181"/>
      <c r="E42" s="3181"/>
      <c r="F42" s="3181"/>
      <c r="G42" s="3181"/>
      <c r="H42" s="3192">
        <v>0.94</v>
      </c>
      <c r="I42" s="3193"/>
    </row>
    <row r="44" spans="2:9">
      <c r="B44" s="3181"/>
      <c r="C44" s="3182" t="s">
        <v>3576</v>
      </c>
      <c r="D44" s="3182"/>
      <c r="E44" s="3182" t="s">
        <v>3577</v>
      </c>
      <c r="F44" s="3182" t="s">
        <v>3578</v>
      </c>
      <c r="G44" s="3182" t="s">
        <v>3579</v>
      </c>
      <c r="H44" s="3183" t="s">
        <v>3575</v>
      </c>
      <c r="I44" s="3188"/>
    </row>
    <row r="45" spans="2:9">
      <c r="B45" s="3184" t="s">
        <v>3580</v>
      </c>
      <c r="C45" s="3185">
        <v>2012</v>
      </c>
      <c r="D45" s="3185">
        <v>2033</v>
      </c>
      <c r="E45" s="3185">
        <v>50</v>
      </c>
      <c r="F45" s="3181">
        <v>60</v>
      </c>
      <c r="G45" s="3181">
        <v>0</v>
      </c>
      <c r="H45" s="3189">
        <v>0.65</v>
      </c>
      <c r="I45" s="3190"/>
    </row>
    <row r="46" spans="2:9">
      <c r="B46" s="3182" t="s">
        <v>3581</v>
      </c>
      <c r="C46" s="3187"/>
      <c r="D46" s="3181"/>
      <c r="E46" s="3181"/>
      <c r="F46" s="3181"/>
      <c r="G46" s="3181"/>
      <c r="H46" s="3186">
        <v>0.8</v>
      </c>
      <c r="I46" s="3191"/>
    </row>
    <row r="47" spans="2:9">
      <c r="B47" s="3182"/>
      <c r="C47" s="3181"/>
      <c r="D47" s="3181"/>
      <c r="E47" s="3181"/>
      <c r="F47" s="3181"/>
      <c r="G47" s="3181"/>
      <c r="H47" s="3192">
        <v>0.73</v>
      </c>
      <c r="I47" s="3193"/>
    </row>
    <row r="51" spans="2:16" ht="15.75">
      <c r="B51" s="3149" t="s">
        <v>3538</v>
      </c>
      <c r="C51" s="3160" t="s">
        <v>3539</v>
      </c>
      <c r="D51" s="3149" t="s">
        <v>3540</v>
      </c>
      <c r="E51" s="3149" t="s">
        <v>3541</v>
      </c>
      <c r="F51" s="3149" t="s">
        <v>3542</v>
      </c>
      <c r="G51" s="3149" t="s">
        <v>3543</v>
      </c>
    </row>
    <row r="52" spans="2:16" ht="15.75">
      <c r="B52" s="3149" t="s">
        <v>3544</v>
      </c>
      <c r="C52" s="3149">
        <v>244340</v>
      </c>
      <c r="D52" s="3149">
        <v>100868</v>
      </c>
      <c r="E52" s="3149">
        <v>254798</v>
      </c>
      <c r="F52" s="3149">
        <v>314362</v>
      </c>
      <c r="G52" s="3149">
        <v>261876</v>
      </c>
    </row>
    <row r="53" spans="2:16" ht="15.75">
      <c r="B53" s="3149" t="s">
        <v>3545</v>
      </c>
      <c r="C53" s="3149">
        <v>23541</v>
      </c>
      <c r="D53" s="3149">
        <v>19190</v>
      </c>
      <c r="E53" s="3149">
        <v>21240</v>
      </c>
      <c r="F53" s="3149">
        <v>14902</v>
      </c>
      <c r="G53" s="3149">
        <v>19533</v>
      </c>
    </row>
    <row r="54" spans="2:16" ht="18" customHeight="1">
      <c r="B54" s="3161" t="s">
        <v>3546</v>
      </c>
      <c r="C54" s="3161">
        <v>256807</v>
      </c>
      <c r="D54" s="3161"/>
      <c r="E54" s="3161"/>
      <c r="F54" s="3161"/>
      <c r="G54" s="3161">
        <v>294245</v>
      </c>
    </row>
    <row r="55" spans="2:16" ht="15.75">
      <c r="B55" s="3149"/>
      <c r="C55" s="3149"/>
      <c r="D55" s="3149"/>
      <c r="E55" s="3149"/>
      <c r="F55" s="3149"/>
      <c r="G55" s="3149"/>
    </row>
    <row r="56" spans="2:16" ht="15.75">
      <c r="B56" s="3149" t="s">
        <v>3547</v>
      </c>
      <c r="C56" s="3149">
        <v>81158.87</v>
      </c>
      <c r="D56" s="3149">
        <v>39985.24</v>
      </c>
      <c r="E56" s="3149">
        <v>85551.93</v>
      </c>
      <c r="F56" s="3149">
        <v>125418.93</v>
      </c>
      <c r="G56" s="3149">
        <f>42863.29+44140.36</f>
        <v>87003.65</v>
      </c>
    </row>
    <row r="57" spans="2:16" ht="15.75">
      <c r="B57" s="3149" t="s">
        <v>3548</v>
      </c>
      <c r="C57" s="3149">
        <v>20000</v>
      </c>
      <c r="D57" s="3149">
        <v>12577.49</v>
      </c>
      <c r="E57" s="3149">
        <v>34411.600000000006</v>
      </c>
      <c r="F57" s="3149">
        <v>67925.820000000007</v>
      </c>
      <c r="G57" s="3149">
        <f>134067.08-G56</f>
        <v>47063.429999999993</v>
      </c>
    </row>
    <row r="58" spans="2:16" ht="15.75">
      <c r="B58" s="3149" t="s">
        <v>3549</v>
      </c>
      <c r="C58" s="3149">
        <f>SUM(C56:C57)</f>
        <v>101158.87</v>
      </c>
      <c r="D58" s="3149">
        <f>SUM(D56:D57)</f>
        <v>52562.729999999996</v>
      </c>
      <c r="E58" s="3149">
        <f>SUM(E56:E57)</f>
        <v>119963.53</v>
      </c>
      <c r="F58" s="3149">
        <f>SUM(F56:F57)</f>
        <v>193344.75</v>
      </c>
      <c r="G58" s="3149">
        <f>SUM(G56:G57)</f>
        <v>134067.07999999999</v>
      </c>
    </row>
    <row r="59" spans="2:16" ht="16.5" customHeight="1">
      <c r="B59" s="3149" t="s">
        <v>3536</v>
      </c>
      <c r="C59" s="3158">
        <f>C57/C58</f>
        <v>0.19770881189163145</v>
      </c>
      <c r="D59" s="3158">
        <f t="shared" ref="D59:G59" si="5">D57/D58</f>
        <v>0.23928532631391103</v>
      </c>
      <c r="E59" s="3158">
        <f t="shared" si="5"/>
        <v>0.28685051198476741</v>
      </c>
      <c r="F59" s="3158">
        <f t="shared" si="5"/>
        <v>0.3513197022417211</v>
      </c>
      <c r="G59" s="3158">
        <f t="shared" si="5"/>
        <v>0.35104389533955688</v>
      </c>
    </row>
    <row r="60" spans="2:16" ht="15.75">
      <c r="B60" s="3149"/>
      <c r="C60" s="3149"/>
      <c r="D60" s="3149"/>
      <c r="E60" s="3149"/>
      <c r="F60" s="3149"/>
      <c r="G60" s="3149"/>
    </row>
    <row r="61" spans="2:16" ht="15.75">
      <c r="B61" s="3149" t="s">
        <v>3550</v>
      </c>
      <c r="C61" s="3162">
        <v>5.5E-2</v>
      </c>
      <c r="D61" s="3162">
        <v>0.06</v>
      </c>
      <c r="E61" s="3162">
        <v>5.5E-2</v>
      </c>
      <c r="F61" s="3162">
        <v>0.06</v>
      </c>
      <c r="G61" s="3162">
        <v>0.06</v>
      </c>
    </row>
    <row r="62" spans="2:16" ht="15.75">
      <c r="B62" s="3149" t="s">
        <v>3551</v>
      </c>
      <c r="C62" s="3149">
        <v>3500</v>
      </c>
      <c r="D62" s="3149">
        <v>4500</v>
      </c>
      <c r="E62" s="3149">
        <v>5000</v>
      </c>
      <c r="F62" s="3149">
        <v>4000</v>
      </c>
      <c r="G62" s="3149">
        <v>5200</v>
      </c>
    </row>
    <row r="63" spans="2:16" ht="15.75">
      <c r="B63" s="3149" t="s">
        <v>3552</v>
      </c>
      <c r="C63" s="3163">
        <v>0.25</v>
      </c>
      <c r="D63" s="3163">
        <v>0.15</v>
      </c>
      <c r="E63" s="3163">
        <v>0.15</v>
      </c>
      <c r="F63" s="3163">
        <v>0.25</v>
      </c>
      <c r="G63" s="3163">
        <v>0.3</v>
      </c>
    </row>
    <row r="64" spans="2:16" ht="15.75">
      <c r="B64" s="3149" t="s">
        <v>654</v>
      </c>
      <c r="C64" s="3149">
        <v>5.5</v>
      </c>
      <c r="D64" s="3149">
        <v>3.9</v>
      </c>
      <c r="E64" s="3149">
        <v>5.5</v>
      </c>
      <c r="F64" s="3149">
        <v>5</v>
      </c>
      <c r="G64" s="3149">
        <v>5</v>
      </c>
      <c r="J64" s="3164">
        <f>C64*C58/C56</f>
        <v>6.8553663327249375</v>
      </c>
      <c r="K64" s="3164">
        <f>D64*D58/D56</f>
        <v>5.1267579486830632</v>
      </c>
      <c r="L64" s="3164">
        <f>E64*E58/E56</f>
        <v>7.7122680341635785</v>
      </c>
      <c r="M64" s="3164"/>
      <c r="N64" s="3164">
        <f>F64*F58/F56</f>
        <v>7.7079572437749233</v>
      </c>
      <c r="O64" s="3164">
        <f>G64*G58/G56</f>
        <v>7.7046813553224487</v>
      </c>
      <c r="P64" s="3164"/>
    </row>
    <row r="65" spans="2:7" ht="15.75">
      <c r="B65" s="3149" t="s">
        <v>3553</v>
      </c>
      <c r="C65" s="3165">
        <v>1.4999999999999999E-2</v>
      </c>
      <c r="D65" s="3165">
        <v>2.5000000000000001E-2</v>
      </c>
      <c r="E65" s="3165">
        <v>2.5000000000000001E-2</v>
      </c>
      <c r="F65" s="3165">
        <v>0.03</v>
      </c>
      <c r="G65" s="3165">
        <v>0</v>
      </c>
    </row>
    <row r="66" spans="2:7" ht="15.75">
      <c r="B66" s="3149" t="s">
        <v>3554</v>
      </c>
      <c r="C66" s="3158">
        <v>0.03</v>
      </c>
      <c r="D66" s="3165">
        <v>1.4999999999999999E-2</v>
      </c>
      <c r="E66" s="3165">
        <v>1.4999999999999999E-2</v>
      </c>
      <c r="F66" s="3165">
        <v>1.4999999999999999E-2</v>
      </c>
      <c r="G66" s="3165">
        <v>0.01</v>
      </c>
    </row>
    <row r="67" spans="2:7" ht="15.75">
      <c r="B67" s="3149" t="s">
        <v>3555</v>
      </c>
      <c r="C67" s="3158">
        <v>3.0000000000000001E-3</v>
      </c>
      <c r="D67" s="3165">
        <v>2E-3</v>
      </c>
      <c r="E67" s="3165">
        <v>1.5E-3</v>
      </c>
      <c r="F67" s="3165">
        <v>1.5E-3</v>
      </c>
      <c r="G67" s="3165">
        <v>1E-3</v>
      </c>
    </row>
    <row r="68" spans="2:7" ht="15.75">
      <c r="B68" s="3149" t="s">
        <v>3556</v>
      </c>
      <c r="C68" s="3158">
        <v>0.03</v>
      </c>
      <c r="D68" s="3165">
        <v>0.03</v>
      </c>
      <c r="E68" s="3165">
        <v>0.02</v>
      </c>
      <c r="F68" s="3165">
        <v>0.03</v>
      </c>
      <c r="G68" s="3165">
        <v>0.02</v>
      </c>
    </row>
    <row r="69" spans="2:7" ht="15.75">
      <c r="B69" s="3149"/>
      <c r="C69" s="3149"/>
      <c r="D69" s="3149"/>
      <c r="E69" s="3149"/>
      <c r="F69" s="3149"/>
      <c r="G69" s="3149"/>
    </row>
    <row r="70" spans="2:7" ht="15.75">
      <c r="B70" s="3149" t="s">
        <v>3557</v>
      </c>
      <c r="C70" s="3149" t="s">
        <v>3558</v>
      </c>
      <c r="D70" s="3149" t="s">
        <v>3559</v>
      </c>
      <c r="E70" s="3149" t="s">
        <v>3560</v>
      </c>
      <c r="F70" s="3149" t="s">
        <v>3561</v>
      </c>
      <c r="G70" s="3149" t="s">
        <v>3558</v>
      </c>
    </row>
    <row r="71" spans="2:7" ht="15.75">
      <c r="B71" s="3149"/>
      <c r="C71" s="3149"/>
      <c r="D71" s="3149"/>
      <c r="E71" s="3149"/>
      <c r="F71" s="3149"/>
      <c r="G71" s="3149"/>
    </row>
    <row r="72" spans="2:7" ht="15.75">
      <c r="B72" s="3149" t="s">
        <v>3562</v>
      </c>
      <c r="C72" s="3149">
        <v>18753</v>
      </c>
      <c r="D72" s="3149">
        <v>6734</v>
      </c>
      <c r="E72" s="3149">
        <v>18734</v>
      </c>
      <c r="F72" s="3149">
        <v>23770</v>
      </c>
      <c r="G72" s="3149">
        <f>[3]收益法!$C$6+[4]收益法!$C$6</f>
        <v>17099</v>
      </c>
    </row>
    <row r="73" spans="2:7" ht="15.75">
      <c r="B73" s="3166"/>
      <c r="C73" s="3167">
        <f>C72/C56/365*10000</f>
        <v>6.3305566220649485</v>
      </c>
      <c r="D73" s="3167">
        <f t="shared" ref="D73:G73" si="6">D72/D56/365*10000</f>
        <v>4.6140313446894776</v>
      </c>
      <c r="E73" s="3167">
        <f t="shared" si="6"/>
        <v>5.9994002937467661</v>
      </c>
      <c r="F73" s="3167">
        <f t="shared" si="6"/>
        <v>5.1924607928988769</v>
      </c>
      <c r="G73" s="3167">
        <f t="shared" si="6"/>
        <v>5.384437933634481</v>
      </c>
    </row>
    <row r="75" spans="2:7">
      <c r="C75" s="3141">
        <v>6000</v>
      </c>
      <c r="D75" s="3141">
        <v>6000</v>
      </c>
      <c r="E75" s="3141">
        <v>6000</v>
      </c>
      <c r="F75" s="3141">
        <v>6000</v>
      </c>
      <c r="G75" s="3141">
        <f>F75</f>
        <v>6000</v>
      </c>
    </row>
    <row r="76" spans="2:7">
      <c r="C76" s="3141">
        <f>C75*C57/10000</f>
        <v>12000</v>
      </c>
      <c r="D76" s="3141">
        <f>D75*D57/10000</f>
        <v>7546.4939999999997</v>
      </c>
      <c r="E76" s="3141">
        <f>E75*E57/10000</f>
        <v>20646.960000000003</v>
      </c>
      <c r="F76" s="3141">
        <f>F75*F57/10000</f>
        <v>40755.492000000006</v>
      </c>
      <c r="G76" s="3141">
        <f>G75*G57/10000</f>
        <v>28238.057999999994</v>
      </c>
    </row>
    <row r="77" spans="2:7">
      <c r="C77" s="3141">
        <f>C52-C76</f>
        <v>232340</v>
      </c>
      <c r="D77" s="3141">
        <f>D52-D76</f>
        <v>93321.505999999994</v>
      </c>
      <c r="E77" s="3141">
        <f>E52-E76</f>
        <v>234151.04000000001</v>
      </c>
      <c r="F77" s="3141">
        <f>F52-F76</f>
        <v>273606.50799999997</v>
      </c>
      <c r="G77" s="3141">
        <f>G52-G76</f>
        <v>233637.94200000001</v>
      </c>
    </row>
    <row r="78" spans="2:7">
      <c r="C78" s="3168">
        <f>C77/C56*10000</f>
        <v>28627.801249573829</v>
      </c>
      <c r="D78" s="3168">
        <f t="shared" ref="D78:F78" si="7">D77/D56*10000</f>
        <v>23338.988586788524</v>
      </c>
      <c r="E78" s="3168">
        <f t="shared" si="7"/>
        <v>27369.463202057512</v>
      </c>
      <c r="F78" s="3168">
        <f t="shared" si="7"/>
        <v>21815.407610318474</v>
      </c>
      <c r="G78" s="3168">
        <f>G77/G56*10000</f>
        <v>26853.809236738918</v>
      </c>
    </row>
    <row r="79" spans="2:7">
      <c r="B79" s="3169"/>
      <c r="C79" s="3169">
        <f>(C54-C76)/C56</f>
        <v>3.0163924165035811</v>
      </c>
      <c r="D79" s="3169"/>
      <c r="E79" s="3169"/>
      <c r="F79" s="3169"/>
      <c r="G79" s="3169">
        <f>(G54-G76)/G56</f>
        <v>3.0574227862854029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hidden="1" customWidth="1"/>
    <col min="16" max="16" width="9.75" style="1458" hidden="1" customWidth="1"/>
    <col min="17" max="17" width="9.375" style="1458" hidden="1" customWidth="1"/>
    <col min="18" max="18" width="9.25" style="1458" hidden="1" customWidth="1"/>
    <col min="19" max="19" width="10.875" style="1458" hidden="1" customWidth="1"/>
    <col min="20" max="21" width="10.75" style="1458" hidden="1" customWidth="1"/>
    <col min="22" max="22" width="10.875" style="1458" hidden="1" customWidth="1"/>
    <col min="23" max="27" width="10.75" style="1458" hidden="1" customWidth="1"/>
    <col min="28" max="28" width="10.875" style="1458" hidden="1"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2" t="s">
        <v>1067</v>
      </c>
      <c r="AZ2" s="983"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f>面积!B5</f>
        <v>42276.47</v>
      </c>
      <c r="B3" s="11">
        <f>IF(C3="否",G5-AT5,G5)</f>
        <v>154306.03</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4"/>
      <c r="AZ3" s="626"/>
      <c r="BA3" s="985"/>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154306.03</v>
      </c>
      <c r="H5" s="13">
        <f t="shared" ref="H5:AT5" si="0">SUM(H13:H656)</f>
        <v>153794.32</v>
      </c>
      <c r="I5" s="13">
        <f t="shared" si="0"/>
        <v>83916.17</v>
      </c>
      <c r="J5" s="13">
        <f t="shared" si="0"/>
        <v>0</v>
      </c>
      <c r="K5" s="13">
        <f t="shared" si="0"/>
        <v>23083.830000000005</v>
      </c>
      <c r="L5" s="13">
        <f t="shared" si="0"/>
        <v>0</v>
      </c>
      <c r="M5" s="13">
        <f t="shared" si="0"/>
        <v>46794.319999999992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511.71000000000004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511.71000000000004</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154306.03</v>
      </c>
      <c r="BA5" s="15">
        <f t="shared" si="1"/>
        <v>153794.32</v>
      </c>
      <c r="BB5" s="15">
        <f t="shared" si="1"/>
        <v>83916.17</v>
      </c>
      <c r="BC5" s="15">
        <f t="shared" si="1"/>
        <v>23083.830000000005</v>
      </c>
      <c r="BD5" s="15">
        <f t="shared" si="1"/>
        <v>46794.319999999992</v>
      </c>
      <c r="BE5" s="15">
        <f t="shared" si="1"/>
        <v>0</v>
      </c>
      <c r="BF5" s="15">
        <f t="shared" si="1"/>
        <v>0</v>
      </c>
      <c r="BG5" s="15">
        <f t="shared" si="1"/>
        <v>0</v>
      </c>
      <c r="BH5" s="15">
        <f t="shared" si="1"/>
        <v>0</v>
      </c>
      <c r="BI5" s="15">
        <f t="shared" si="1"/>
        <v>0</v>
      </c>
      <c r="BJ5" s="15">
        <f t="shared" si="1"/>
        <v>0</v>
      </c>
      <c r="BK5" s="15">
        <f t="shared" si="1"/>
        <v>0</v>
      </c>
      <c r="BL5" s="15">
        <f t="shared" si="1"/>
        <v>511.71000000000004</v>
      </c>
      <c r="BM5" s="15">
        <f t="shared" si="1"/>
        <v>0</v>
      </c>
      <c r="BN5" s="15">
        <f t="shared" si="1"/>
        <v>0</v>
      </c>
      <c r="BO5" s="15">
        <f t="shared" si="1"/>
        <v>0</v>
      </c>
      <c r="BP5" s="15">
        <f t="shared" si="1"/>
        <v>0</v>
      </c>
      <c r="BQ5" s="15">
        <f t="shared" si="1"/>
        <v>511.71000000000004</v>
      </c>
      <c r="BR5" s="15">
        <f t="shared" si="1"/>
        <v>0</v>
      </c>
      <c r="BS5" s="15">
        <f t="shared" si="1"/>
        <v>0</v>
      </c>
      <c r="BT5" s="16">
        <f t="shared" si="1"/>
        <v>0</v>
      </c>
    </row>
    <row r="6" spans="1:72" s="1472" customFormat="1" ht="12.75">
      <c r="A6" s="12" t="s">
        <v>1072</v>
      </c>
      <c r="B6" s="1469"/>
      <c r="C6" s="1469"/>
      <c r="D6" s="1470"/>
      <c r="E6" s="13">
        <f>H6+AC6+AT6</f>
        <v>42276.469999999994</v>
      </c>
      <c r="F6" s="13" t="s">
        <v>0</v>
      </c>
      <c r="G6" s="13" t="s">
        <v>1</v>
      </c>
      <c r="H6" s="17">
        <f>SUMIF(I$12:AB$12,"总值",I6:AB6)</f>
        <v>42136.27</v>
      </c>
      <c r="I6" s="13">
        <f t="shared" ref="I6:AB6" si="2">ROUND($A$3*I5/$B$3,2)</f>
        <v>22991.19</v>
      </c>
      <c r="J6" s="13">
        <f t="shared" si="2"/>
        <v>0</v>
      </c>
      <c r="K6" s="13">
        <f t="shared" si="2"/>
        <v>6324.46</v>
      </c>
      <c r="L6" s="13">
        <f t="shared" si="2"/>
        <v>0</v>
      </c>
      <c r="M6" s="13">
        <f t="shared" si="2"/>
        <v>12820.62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140.19999999999999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140.19999999999999</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42276.47</v>
      </c>
      <c r="AZ6" s="13" t="s">
        <v>2</v>
      </c>
      <c r="BA6" s="13">
        <f>ROUND($AY$6*BA5/$AZ$5,2)</f>
        <v>42136.27</v>
      </c>
      <c r="BB6" s="13">
        <f>ROUND($AY$6*BB5/$AZ$5,2)</f>
        <v>22991.19</v>
      </c>
      <c r="BC6" s="13">
        <f t="shared" ref="BC6:BH6" si="4">ROUND($AY$6*BC5/$AZ$5,2)</f>
        <v>6324.46</v>
      </c>
      <c r="BD6" s="13">
        <f t="shared" si="4"/>
        <v>12820.62</v>
      </c>
      <c r="BE6" s="13">
        <f t="shared" si="4"/>
        <v>0</v>
      </c>
      <c r="BF6" s="13">
        <f t="shared" si="4"/>
        <v>0</v>
      </c>
      <c r="BG6" s="13">
        <f t="shared" si="4"/>
        <v>0</v>
      </c>
      <c r="BH6" s="13">
        <f t="shared" si="4"/>
        <v>0</v>
      </c>
      <c r="BI6" s="13">
        <f t="shared" ref="BI6:BT6" si="5">ROUND($AY$6*BI5/$AZ$5,2)</f>
        <v>0</v>
      </c>
      <c r="BJ6" s="13">
        <f t="shared" si="5"/>
        <v>0</v>
      </c>
      <c r="BK6" s="13">
        <f t="shared" si="5"/>
        <v>0</v>
      </c>
      <c r="BL6" s="13">
        <f t="shared" si="5"/>
        <v>140.19999999999999</v>
      </c>
      <c r="BM6" s="13">
        <f t="shared" si="5"/>
        <v>0</v>
      </c>
      <c r="BN6" s="13">
        <f t="shared" si="5"/>
        <v>0</v>
      </c>
      <c r="BO6" s="13">
        <f t="shared" si="5"/>
        <v>0</v>
      </c>
      <c r="BP6" s="13">
        <f t="shared" si="5"/>
        <v>0</v>
      </c>
      <c r="BQ6" s="13">
        <f t="shared" si="5"/>
        <v>140.19999999999999</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7" t="s">
        <v>1086</v>
      </c>
      <c r="AD8" s="1483"/>
      <c r="AE8" s="1475"/>
      <c r="AF8" s="1264"/>
      <c r="AG8" s="1264"/>
      <c r="AH8" s="1264"/>
      <c r="AI8" s="1264"/>
      <c r="AJ8" s="1264"/>
      <c r="AK8" s="1264"/>
      <c r="AL8" s="1264"/>
      <c r="AM8" s="1264"/>
      <c r="AN8" s="1264"/>
      <c r="AO8" s="1264"/>
      <c r="AP8" s="1264"/>
      <c r="AQ8" s="1264"/>
      <c r="AR8" s="1264"/>
      <c r="AS8" s="1264"/>
      <c r="AT8" s="1003" t="s">
        <v>1087</v>
      </c>
      <c r="AU8" s="1477" t="s">
        <v>1088</v>
      </c>
      <c r="AV8" s="1003"/>
      <c r="AW8" s="1462"/>
      <c r="AX8" s="1003"/>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3"/>
      <c r="H9" s="1485" t="s">
        <v>1091</v>
      </c>
      <c r="I9" s="1486" t="s">
        <v>3503</v>
      </c>
      <c r="J9" s="757"/>
      <c r="K9" s="1486" t="s">
        <v>3570</v>
      </c>
      <c r="L9" s="757"/>
      <c r="M9" s="1486" t="s">
        <v>3570</v>
      </c>
      <c r="N9" s="757"/>
      <c r="O9" s="1486"/>
      <c r="P9" s="757"/>
      <c r="Q9" s="1486"/>
      <c r="R9" s="757"/>
      <c r="S9" s="1486"/>
      <c r="T9" s="757"/>
      <c r="U9" s="1486"/>
      <c r="V9" s="757"/>
      <c r="W9" s="1486"/>
      <c r="X9" s="1487"/>
      <c r="Y9" s="1486"/>
      <c r="Z9" s="757"/>
      <c r="AA9" s="1486"/>
      <c r="AB9" s="757"/>
      <c r="AC9" s="1478"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8"/>
      <c r="AT9" s="1477"/>
      <c r="AU9" s="1477" t="s">
        <v>1094</v>
      </c>
      <c r="AV9" s="1003"/>
      <c r="AW9" s="1462"/>
      <c r="AX9" s="1003"/>
      <c r="AY9" s="25"/>
      <c r="AZ9" s="25" t="s">
        <v>1084</v>
      </c>
      <c r="BA9" s="1489" t="s">
        <v>1095</v>
      </c>
      <c r="BB9" s="1490"/>
      <c r="BC9" s="1021"/>
      <c r="BD9" s="1021"/>
      <c r="BE9" s="1021"/>
      <c r="BF9" s="1021"/>
      <c r="BG9" s="1021"/>
      <c r="BH9" s="1021"/>
      <c r="BI9" s="1021"/>
      <c r="BJ9" s="1021"/>
      <c r="BK9" s="1491"/>
      <c r="BL9" s="12" t="s">
        <v>1096</v>
      </c>
      <c r="BM9" s="1264"/>
      <c r="BN9" s="1480"/>
      <c r="BO9" s="1264"/>
      <c r="BP9" s="1264"/>
      <c r="BQ9" s="1264"/>
      <c r="BR9" s="1264"/>
      <c r="BS9" s="1264"/>
      <c r="BT9" s="23"/>
    </row>
    <row r="10" spans="1:72" s="1484" customFormat="1" ht="12.75">
      <c r="A10" s="1477"/>
      <c r="B10" s="1477"/>
      <c r="C10" s="1477"/>
      <c r="D10" s="1477"/>
      <c r="E10" s="1477"/>
      <c r="F10" s="1477"/>
      <c r="G10" s="1003"/>
      <c r="H10" s="25"/>
      <c r="I10" s="1486" t="s">
        <v>673</v>
      </c>
      <c r="J10" s="757"/>
      <c r="K10" s="1492" t="s">
        <v>673</v>
      </c>
      <c r="L10" s="757"/>
      <c r="M10" s="3175" t="s">
        <v>2639</v>
      </c>
      <c r="N10" s="757"/>
      <c r="O10" s="1492"/>
      <c r="P10" s="757"/>
      <c r="Q10" s="1492"/>
      <c r="R10" s="757"/>
      <c r="S10" s="1492"/>
      <c r="T10" s="757"/>
      <c r="U10" s="1492"/>
      <c r="V10" s="757"/>
      <c r="W10" s="1492"/>
      <c r="X10" s="757"/>
      <c r="Y10" s="1492"/>
      <c r="Z10" s="757"/>
      <c r="AA10" s="1492"/>
      <c r="AB10" s="757"/>
      <c r="AC10" s="1003"/>
      <c r="AD10" s="12" t="s">
        <v>1097</v>
      </c>
      <c r="AE10" s="1493"/>
      <c r="AF10" s="12" t="s">
        <v>1097</v>
      </c>
      <c r="AG10" s="1493"/>
      <c r="AH10" s="12" t="s">
        <v>1098</v>
      </c>
      <c r="AI10" s="1493"/>
      <c r="AJ10" s="12" t="s">
        <v>1098</v>
      </c>
      <c r="AK10" s="1493"/>
      <c r="AL10" s="12" t="s">
        <v>1099</v>
      </c>
      <c r="AM10" s="1009"/>
      <c r="AN10" s="12" t="s">
        <v>1099</v>
      </c>
      <c r="AO10" s="1009"/>
      <c r="AP10" s="12" t="s">
        <v>1100</v>
      </c>
      <c r="AQ10" s="1009"/>
      <c r="AR10" s="12" t="s">
        <v>1100</v>
      </c>
      <c r="AS10" s="1009"/>
      <c r="AT10" s="1477"/>
      <c r="AU10" s="1477"/>
      <c r="AV10" s="1003"/>
      <c r="AW10" s="1462"/>
      <c r="AX10" s="1003"/>
      <c r="AY10" s="25"/>
      <c r="AZ10" s="25"/>
      <c r="BA10" s="1494" t="s">
        <v>1091</v>
      </c>
      <c r="BB10" s="1495"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3"/>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3"/>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3"/>
      <c r="AW11" s="1462"/>
      <c r="AX11" s="1003"/>
      <c r="AY11" s="25"/>
      <c r="AZ11" s="25"/>
      <c r="BA11" s="25"/>
      <c r="BB11" s="1482" t="str">
        <f>I10</f>
        <v>商业</v>
      </c>
      <c r="BC11" s="1482" t="str">
        <f>K10</f>
        <v>商业</v>
      </c>
      <c r="BD11" s="1482" t="str">
        <f>M10</f>
        <v>车库</v>
      </c>
      <c r="BE11" s="1482">
        <f>O10</f>
        <v>0</v>
      </c>
      <c r="BF11" s="1482">
        <f>Q10</f>
        <v>0</v>
      </c>
      <c r="BG11" s="1482">
        <f>S10</f>
        <v>0</v>
      </c>
      <c r="BH11" s="1482">
        <f>U10</f>
        <v>0</v>
      </c>
      <c r="BI11" s="1482">
        <f>W10</f>
        <v>0</v>
      </c>
      <c r="BJ11" s="1482">
        <f>Y10</f>
        <v>0</v>
      </c>
      <c r="BK11" s="1482">
        <f>AA10</f>
        <v>0</v>
      </c>
      <c r="BL11" s="100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3"/>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6"/>
      <c r="B13" s="626"/>
      <c r="C13" s="626"/>
      <c r="D13" s="1508" t="s">
        <v>3582</v>
      </c>
      <c r="E13" s="13">
        <f>IF($C$3="是",ROUND($A$3*G13/$B$3,2),ROUND($A$3*(G13-AT13)/$B$3,2))</f>
        <v>42276.47</v>
      </c>
      <c r="F13" s="29"/>
      <c r="G13" s="30">
        <f>H13+AC13+AT13</f>
        <v>154306.03</v>
      </c>
      <c r="H13" s="17">
        <f>SUMIF(I$12:AB$12,"总值",I13:AB13)</f>
        <v>153794.32</v>
      </c>
      <c r="I13" s="1509">
        <f>面积!E12+面积!E13+面积!E15+面积!E17+面积!E18+面积!E19</f>
        <v>83916.17</v>
      </c>
      <c r="J13" s="1509"/>
      <c r="K13" s="1509">
        <f>面积!H11</f>
        <v>23083.830000000005</v>
      </c>
      <c r="L13" s="1509"/>
      <c r="M13" s="1509">
        <f>面积!E9+面积!E10+面积!E11-'数据-基础表'!K13</f>
        <v>46794.319999999992</v>
      </c>
      <c r="N13" s="1509"/>
      <c r="O13" s="1509"/>
      <c r="P13" s="1509"/>
      <c r="Q13" s="1509"/>
      <c r="R13" s="1509"/>
      <c r="S13" s="1509"/>
      <c r="T13" s="1509"/>
      <c r="U13" s="1509"/>
      <c r="V13" s="1509"/>
      <c r="W13" s="1509"/>
      <c r="X13" s="1509"/>
      <c r="Y13" s="1509"/>
      <c r="Z13" s="1509"/>
      <c r="AA13" s="1509"/>
      <c r="AB13" s="1509"/>
      <c r="AC13" s="13">
        <f>SUMIF(AD$12:AS$12,"总值",AD13:AS13)</f>
        <v>511.71000000000004</v>
      </c>
      <c r="AD13" s="985"/>
      <c r="AE13" s="985"/>
      <c r="AF13" s="985"/>
      <c r="AG13" s="985"/>
      <c r="AH13" s="985"/>
      <c r="AI13" s="985"/>
      <c r="AJ13" s="985"/>
      <c r="AK13" s="985"/>
      <c r="AL13" s="985">
        <f>面积!E14+面积!E16+面积!E20</f>
        <v>511.71000000000004</v>
      </c>
      <c r="AM13" s="985"/>
      <c r="AN13" s="985"/>
      <c r="AO13" s="985"/>
      <c r="AP13" s="985"/>
      <c r="AQ13" s="985"/>
      <c r="AR13" s="985"/>
      <c r="AS13" s="985"/>
      <c r="AT13" s="29"/>
      <c r="AU13" s="1510"/>
      <c r="AV13" s="8">
        <f t="shared" ref="AV13:AX17" si="6">A13</f>
        <v>0</v>
      </c>
      <c r="AW13" s="8">
        <f t="shared" si="6"/>
        <v>0</v>
      </c>
      <c r="AX13" s="8">
        <f t="shared" si="6"/>
        <v>0</v>
      </c>
      <c r="AY13" s="1255">
        <f>ROUND($AY$6*AZ13/$AZ$5,2)</f>
        <v>42276.47</v>
      </c>
      <c r="AZ13" s="13">
        <f>BA13+BL13</f>
        <v>154306.03</v>
      </c>
      <c r="BA13" s="13">
        <f>SUM(BB13:BK13)</f>
        <v>153794.32</v>
      </c>
      <c r="BB13" s="13">
        <f>IF($D13="是",I13-J13,0)</f>
        <v>83916.17</v>
      </c>
      <c r="BC13" s="13">
        <f>IF($D13="是",K13-L13,0)</f>
        <v>23083.830000000005</v>
      </c>
      <c r="BD13" s="13">
        <f>IF($D13="是",M13-N13,0)</f>
        <v>46794.319999999992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511.71000000000004</v>
      </c>
      <c r="BM13" s="13">
        <f>IF($D13="是",AD13-AE13,0)</f>
        <v>0</v>
      </c>
      <c r="BN13" s="13">
        <f>IF($D13="是",AF13-AG13,0)</f>
        <v>0</v>
      </c>
      <c r="BO13" s="13">
        <f>IF($D13="是",AH13-AI13,0)</f>
        <v>0</v>
      </c>
      <c r="BP13" s="13">
        <f>IF($D13="是",AJ13-AK13,0)</f>
        <v>0</v>
      </c>
      <c r="BQ13" s="13">
        <f>IF($D13="是",AL13-AM13,0)</f>
        <v>511.71000000000004</v>
      </c>
      <c r="BR13" s="13">
        <f>IF($D13="是",AN13-AO13,0)</f>
        <v>0</v>
      </c>
      <c r="BS13" s="13">
        <f>IF($D13="是",AP13-AQ13,0)</f>
        <v>0</v>
      </c>
      <c r="BT13" s="19">
        <f>IF($D13="是",AR13-AS13,0)</f>
        <v>0</v>
      </c>
    </row>
    <row r="14" spans="1:72" s="1463" customFormat="1" ht="12.75">
      <c r="A14" s="626"/>
      <c r="B14" s="626"/>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6"/>
      <c r="B15" s="626"/>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6"/>
      <c r="B16" s="626"/>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6"/>
      <c r="B17" s="626"/>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7"/>
      <c r="C1" s="1067"/>
      <c r="D1" s="1067"/>
      <c r="E1" s="1067"/>
      <c r="F1" s="1067"/>
      <c r="G1" s="1067"/>
      <c r="H1" s="1067"/>
      <c r="I1" s="1067"/>
      <c r="J1" s="1067"/>
      <c r="K1" s="1067"/>
      <c r="L1" s="1067"/>
      <c r="M1" s="1067"/>
      <c r="N1" s="1067"/>
      <c r="O1" s="1067"/>
      <c r="P1" s="1067"/>
    </row>
    <row r="2" spans="1:16" ht="15">
      <c r="A2" s="3274" t="s">
        <v>1131</v>
      </c>
      <c r="B2" s="3274"/>
      <c r="C2" s="3274"/>
      <c r="D2" s="744" t="s">
        <v>1107</v>
      </c>
      <c r="E2" s="1518" t="s">
        <v>1108</v>
      </c>
      <c r="F2" s="2433"/>
      <c r="G2" s="2426"/>
      <c r="H2" s="2427"/>
      <c r="I2" s="2141" t="s">
        <v>1132</v>
      </c>
      <c r="J2" s="2433"/>
      <c r="K2" s="2433"/>
      <c r="L2" s="2433"/>
      <c r="M2" s="2433"/>
      <c r="N2" s="2434"/>
      <c r="O2" s="2433"/>
      <c r="P2" s="2433"/>
    </row>
    <row r="3" spans="1:16" ht="15.75" thickBot="1">
      <c r="A3" s="3275" t="s">
        <v>1105</v>
      </c>
      <c r="B3" s="3275"/>
      <c r="C3" s="3275"/>
      <c r="D3" s="41">
        <f>'数据-基础表'!AY6</f>
        <v>42276.47</v>
      </c>
      <c r="E3" s="41">
        <f>'数据-基础表'!AZ5</f>
        <v>154306.03</v>
      </c>
      <c r="F3" s="2433"/>
      <c r="G3" s="42"/>
      <c r="H3" s="43" t="s">
        <v>1106</v>
      </c>
      <c r="I3" s="798">
        <f>ROUND('数据-基础表'!B3/'数据-基础表'!A3,2)</f>
        <v>3.65</v>
      </c>
      <c r="J3" s="2433"/>
      <c r="K3" s="2433"/>
      <c r="L3" s="2433"/>
      <c r="M3" s="2433"/>
      <c r="N3" s="2434"/>
      <c r="O3" s="2433"/>
      <c r="P3" s="2433"/>
    </row>
    <row r="4" spans="1:16" ht="15">
      <c r="A4" s="3276"/>
      <c r="B4" s="3277"/>
      <c r="C4" s="3278"/>
      <c r="D4" s="1519" t="s">
        <v>1107</v>
      </c>
      <c r="E4" s="1520" t="s">
        <v>1108</v>
      </c>
      <c r="F4" s="2433"/>
      <c r="G4" s="2428" t="s">
        <v>1133</v>
      </c>
      <c r="H4" s="43" t="s">
        <v>1113</v>
      </c>
      <c r="I4" s="798">
        <f>ROUND(SUMIF('数据-基础表'!I9:AS9,"地上",'数据-基础表'!I5:AS5)/'数据-基础表'!A3,2)</f>
        <v>2</v>
      </c>
      <c r="J4" s="2433"/>
      <c r="K4" s="2433"/>
      <c r="L4" s="2433"/>
      <c r="M4" s="2433"/>
      <c r="N4" s="2434"/>
      <c r="O4" s="2433"/>
      <c r="P4" s="2433"/>
    </row>
    <row r="5" spans="1:16">
      <c r="A5" s="42" t="s">
        <v>1109</v>
      </c>
      <c r="B5" s="3279" t="s">
        <v>1110</v>
      </c>
      <c r="C5" s="3279"/>
      <c r="D5" s="43">
        <f>ROUND($D$3*E5/$E$3,2)</f>
        <v>0</v>
      </c>
      <c r="E5" s="44">
        <f>SUMIF('数据-基础表'!$11:$11,"住宅",'数据-基础表'!$5:$5)</f>
        <v>0</v>
      </c>
      <c r="F5" s="2433"/>
      <c r="G5" s="42"/>
      <c r="H5" s="43" t="s">
        <v>1106</v>
      </c>
      <c r="I5" s="798">
        <f>ROUND(E31/D31,2)</f>
        <v>3.65</v>
      </c>
      <c r="J5" s="2433"/>
      <c r="K5" s="2433"/>
      <c r="L5" s="2433"/>
      <c r="M5" s="2433"/>
      <c r="N5" s="2433"/>
      <c r="O5" s="2433"/>
      <c r="P5" s="2433"/>
    </row>
    <row r="6" spans="1:16" ht="15" thickBot="1">
      <c r="A6" s="1522"/>
      <c r="B6" s="3279" t="s">
        <v>1111</v>
      </c>
      <c r="C6" s="3279"/>
      <c r="D6" s="43">
        <f>ROUND($D$3*E6/$E$3,2)</f>
        <v>42276.47</v>
      </c>
      <c r="E6" s="44">
        <f>E3-E5</f>
        <v>154306.03</v>
      </c>
      <c r="F6" s="2433"/>
      <c r="G6" s="1524" t="s">
        <v>1112</v>
      </c>
      <c r="H6" s="45" t="s">
        <v>1113</v>
      </c>
      <c r="I6" s="2429">
        <f>ROUND(F31/D31,2)</f>
        <v>2</v>
      </c>
      <c r="J6" s="2433"/>
      <c r="K6" s="2433"/>
      <c r="L6" s="2433"/>
      <c r="M6" s="2433"/>
      <c r="N6" s="2433"/>
      <c r="O6" s="2433"/>
      <c r="P6" s="2433"/>
    </row>
    <row r="7" spans="1:16" ht="15.75" thickBot="1">
      <c r="A7" s="3271"/>
      <c r="B7" s="3272"/>
      <c r="C7" s="3273"/>
      <c r="D7" s="1519" t="s">
        <v>1107</v>
      </c>
      <c r="E7" s="1523" t="s">
        <v>1114</v>
      </c>
      <c r="F7" s="2433"/>
      <c r="G7" s="2430" t="s">
        <v>1115</v>
      </c>
      <c r="H7" s="95"/>
      <c r="I7" s="2431">
        <v>2</v>
      </c>
      <c r="J7" s="2433"/>
      <c r="K7" s="2433"/>
      <c r="L7" s="2433"/>
      <c r="M7" s="2433"/>
      <c r="N7" s="2433"/>
      <c r="O7" s="2433"/>
      <c r="P7" s="2433"/>
    </row>
    <row r="8" spans="1:16">
      <c r="A8" s="42" t="s">
        <v>1116</v>
      </c>
      <c r="B8" s="45" t="s">
        <v>1117</v>
      </c>
      <c r="C8" s="43" t="s">
        <v>1118</v>
      </c>
      <c r="D8" s="43">
        <f t="shared" ref="D8:D15" si="0">ROUND($D$3*E8/$E$3,2)</f>
        <v>22991.19</v>
      </c>
      <c r="E8" s="46">
        <f>SUMIF('数据-基础表'!BB10:BK10,"地上",'数据-基础表'!BB5:BK5)</f>
        <v>83916.17</v>
      </c>
      <c r="F8" s="2433"/>
      <c r="G8" s="2433"/>
      <c r="H8" s="2433"/>
      <c r="I8" s="2433"/>
      <c r="J8" s="2433"/>
      <c r="K8" s="2433"/>
      <c r="L8" s="2433"/>
      <c r="M8" s="2433"/>
      <c r="N8" s="2433"/>
      <c r="O8" s="2433"/>
      <c r="P8" s="2433"/>
    </row>
    <row r="9" spans="1:16">
      <c r="A9" s="1524"/>
      <c r="B9" s="1525"/>
      <c r="C9" s="43" t="s">
        <v>1119</v>
      </c>
      <c r="D9" s="43">
        <f t="shared" si="0"/>
        <v>0</v>
      </c>
      <c r="E9" s="47">
        <v>0</v>
      </c>
      <c r="F9" s="2433"/>
      <c r="G9" s="2433"/>
      <c r="H9" s="2433"/>
      <c r="I9" s="2433"/>
      <c r="J9" s="2433"/>
      <c r="K9" s="2433"/>
      <c r="L9" s="2433"/>
      <c r="M9" s="2433"/>
      <c r="N9" s="2433"/>
      <c r="O9" s="2433"/>
      <c r="P9" s="2433"/>
    </row>
    <row r="10" spans="1:16">
      <c r="A10" s="1524"/>
      <c r="B10" s="1525"/>
      <c r="C10" s="43" t="s">
        <v>1128</v>
      </c>
      <c r="D10" s="43">
        <f t="shared" si="0"/>
        <v>6324.46</v>
      </c>
      <c r="E10" s="46">
        <f>SUMPRODUCT(('数据-基础表'!BB10:BK10="地下")*('数据-基础表'!BB11:BK11="商业")*('数据-基础表'!BB5:BK5))</f>
        <v>23083.830000000005</v>
      </c>
      <c r="F10" s="2433"/>
      <c r="G10" s="2433"/>
      <c r="H10" s="2433"/>
      <c r="I10" s="2433"/>
      <c r="J10" s="2433"/>
      <c r="K10" s="2433"/>
      <c r="L10" s="2433"/>
      <c r="M10" s="2433"/>
      <c r="N10" s="2433"/>
      <c r="O10" s="2433"/>
      <c r="P10" s="2433"/>
    </row>
    <row r="11" spans="1:16">
      <c r="A11" s="1524"/>
      <c r="B11" s="1525"/>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4"/>
      <c r="B12" s="1525"/>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4"/>
      <c r="B13" s="1525"/>
      <c r="C13" s="43" t="s">
        <v>1122</v>
      </c>
      <c r="D13" s="43">
        <f t="shared" si="0"/>
        <v>12820.62</v>
      </c>
      <c r="E13" s="46">
        <f>SUMPRODUCT(('数据-基础表'!BB10:BK10="地下")*('数据-基础表'!BB11:BK11="车库")*('数据-基础表'!BB5:BK5))</f>
        <v>46794.319999999992</v>
      </c>
      <c r="F13" s="2433"/>
      <c r="G13" s="2433"/>
      <c r="H13" s="2433"/>
      <c r="I13" s="2433"/>
      <c r="J13" s="2433"/>
      <c r="K13" s="2433"/>
      <c r="L13" s="2433"/>
      <c r="M13" s="2433"/>
      <c r="N13" s="2433"/>
      <c r="O13" s="2433"/>
      <c r="P13" s="2433"/>
    </row>
    <row r="14" spans="1:16">
      <c r="A14" s="1524"/>
      <c r="B14" s="1525"/>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4"/>
      <c r="B15" s="1525"/>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2"/>
      <c r="B16" s="1525"/>
      <c r="C16" s="45" t="s">
        <v>1123</v>
      </c>
      <c r="D16" s="45">
        <f>SUM(D8:D15)</f>
        <v>42136.27</v>
      </c>
      <c r="E16" s="48">
        <f>SUM(E8:E15)</f>
        <v>153794.32</v>
      </c>
      <c r="F16" s="2433"/>
      <c r="G16" s="2433"/>
      <c r="H16" s="1526" t="s">
        <v>1135</v>
      </c>
      <c r="I16" s="1527"/>
      <c r="J16" s="1067"/>
      <c r="K16" s="3268" t="s">
        <v>1135</v>
      </c>
      <c r="L16" s="3269"/>
      <c r="M16" s="3269"/>
      <c r="N16" s="3269"/>
      <c r="O16" s="3269"/>
      <c r="P16" s="3270"/>
    </row>
    <row r="17" spans="1:19" ht="15">
      <c r="A17" s="1528" t="s">
        <v>1136</v>
      </c>
      <c r="B17" s="1529" t="s">
        <v>1137</v>
      </c>
      <c r="C17" s="1530" t="s">
        <v>1138</v>
      </c>
      <c r="D17" s="1531" t="s">
        <v>1126</v>
      </c>
      <c r="E17" s="1532" t="s">
        <v>1127</v>
      </c>
      <c r="F17" s="1533"/>
      <c r="G17" s="1534"/>
      <c r="H17" s="1535" t="s">
        <v>1139</v>
      </c>
      <c r="I17" s="1536" t="s">
        <v>1124</v>
      </c>
      <c r="J17" s="1067"/>
      <c r="K17" s="3265" t="s">
        <v>1140</v>
      </c>
      <c r="L17" s="3266"/>
      <c r="M17" s="3267"/>
      <c r="N17" s="3265" t="s">
        <v>1141</v>
      </c>
      <c r="O17" s="3266"/>
      <c r="P17" s="3267"/>
      <c r="R17" s="765" t="s">
        <v>1142</v>
      </c>
      <c r="S17" s="54"/>
    </row>
    <row r="18" spans="1:19" ht="15">
      <c r="A18" s="1524"/>
      <c r="B18" s="1521"/>
      <c r="C18" s="1537"/>
      <c r="D18" s="1538"/>
      <c r="E18" s="1539" t="s">
        <v>1143</v>
      </c>
      <c r="F18" s="1540" t="s">
        <v>1144</v>
      </c>
      <c r="G18" s="1541" t="s">
        <v>1145</v>
      </c>
      <c r="H18" s="976" t="s">
        <v>1146</v>
      </c>
      <c r="I18" s="1542" t="s">
        <v>1147</v>
      </c>
      <c r="J18" s="1067"/>
      <c r="K18" s="976" t="s">
        <v>1148</v>
      </c>
      <c r="L18" s="1543" t="s">
        <v>1149</v>
      </c>
      <c r="M18" s="798" t="s">
        <v>1150</v>
      </c>
      <c r="N18" s="976" t="s">
        <v>1148</v>
      </c>
      <c r="O18" s="1543" t="s">
        <v>1149</v>
      </c>
      <c r="P18" s="798" t="s">
        <v>1150</v>
      </c>
      <c r="R18" s="43" t="s">
        <v>1151</v>
      </c>
      <c r="S18" s="43" t="s">
        <v>1152</v>
      </c>
    </row>
    <row r="19" spans="1:19">
      <c r="A19" s="1544"/>
      <c r="B19" s="45" t="s">
        <v>1125</v>
      </c>
      <c r="C19" s="3109" t="s">
        <v>3584</v>
      </c>
      <c r="D19" s="43">
        <f>ROUND($D$3*E19/$E$3,2)</f>
        <v>42136.27</v>
      </c>
      <c r="E19" s="51">
        <f t="shared" ref="E19:E26" si="1">SUM(F19:G19)</f>
        <v>153794.32</v>
      </c>
      <c r="F19" s="2551">
        <f>'数据-基础表'!I13</f>
        <v>83916.17</v>
      </c>
      <c r="G19" s="1238">
        <f>'数据-基础表'!K13+'数据-基础表'!M13</f>
        <v>69878.149999999994</v>
      </c>
      <c r="H19" s="635">
        <f>ROUND($D$3*I19/$E$3,2)</f>
        <v>140.19999999999999</v>
      </c>
      <c r="I19" s="46">
        <f t="shared" ref="I19:I26" si="2">IF($I$17="自定义",P19,M19)</f>
        <v>511.71</v>
      </c>
      <c r="J19" s="1067"/>
      <c r="K19" s="635">
        <f t="shared" ref="K19:K26" si="3">ROUND(E$28*E19/E$27,2)</f>
        <v>511.71</v>
      </c>
      <c r="L19" s="43">
        <f t="shared" ref="L19:L26" si="4">ROUND(IF(COUNTIF(C19,"*住宅*")&gt;0,E$29*E19/E$32,0),2)</f>
        <v>0</v>
      </c>
      <c r="M19" s="46">
        <f>K19+L19</f>
        <v>511.71</v>
      </c>
      <c r="N19" s="1545"/>
      <c r="O19" s="1546"/>
      <c r="P19" s="46">
        <f>N19+O19</f>
        <v>0</v>
      </c>
      <c r="R19" s="43">
        <f t="shared" ref="R19:S26" si="5">D19+H19</f>
        <v>42276.469999999994</v>
      </c>
      <c r="S19" s="51">
        <f t="shared" si="5"/>
        <v>154306.03</v>
      </c>
    </row>
    <row r="20" spans="1:19">
      <c r="A20" s="1544"/>
      <c r="B20" s="45" t="s">
        <v>1153</v>
      </c>
      <c r="C20" s="3109"/>
      <c r="D20" s="43">
        <f t="shared" ref="D20:D26" si="6">ROUND($D$3*E20/$E$3,2)</f>
        <v>0</v>
      </c>
      <c r="E20" s="51">
        <f t="shared" si="1"/>
        <v>0</v>
      </c>
      <c r="F20" s="2551"/>
      <c r="G20" s="1238"/>
      <c r="H20" s="635">
        <f t="shared" ref="H20:H26" si="7">ROUND($D$3*I20/$E$3,2)</f>
        <v>0</v>
      </c>
      <c r="I20" s="46">
        <f t="shared" si="2"/>
        <v>0</v>
      </c>
      <c r="J20" s="1067"/>
      <c r="K20" s="635">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09"/>
      <c r="D21" s="43">
        <f t="shared" si="6"/>
        <v>0</v>
      </c>
      <c r="E21" s="51">
        <f t="shared" si="1"/>
        <v>0</v>
      </c>
      <c r="F21" s="2551"/>
      <c r="G21" s="1238"/>
      <c r="H21" s="635">
        <f t="shared" si="7"/>
        <v>0</v>
      </c>
      <c r="I21" s="46">
        <f t="shared" si="2"/>
        <v>0</v>
      </c>
      <c r="J21" s="1067"/>
      <c r="K21" s="635">
        <f t="shared" si="3"/>
        <v>0</v>
      </c>
      <c r="L21" s="43">
        <f t="shared" si="4"/>
        <v>0</v>
      </c>
      <c r="M21" s="46">
        <f t="shared" si="8"/>
        <v>0</v>
      </c>
      <c r="N21" s="1545"/>
      <c r="O21" s="1546"/>
      <c r="P21" s="46">
        <f t="shared" si="9"/>
        <v>0</v>
      </c>
      <c r="R21" s="43">
        <f t="shared" si="5"/>
        <v>0</v>
      </c>
      <c r="S21" s="51">
        <f t="shared" si="5"/>
        <v>0</v>
      </c>
    </row>
    <row r="22" spans="1:19">
      <c r="A22" s="1544"/>
      <c r="B22" s="45" t="s">
        <v>1153</v>
      </c>
      <c r="C22" s="3110"/>
      <c r="D22" s="43">
        <f t="shared" si="6"/>
        <v>0</v>
      </c>
      <c r="E22" s="51">
        <f t="shared" si="1"/>
        <v>0</v>
      </c>
      <c r="F22" s="2552"/>
      <c r="G22" s="2553"/>
      <c r="H22" s="635">
        <f t="shared" si="7"/>
        <v>0</v>
      </c>
      <c r="I22" s="46">
        <f t="shared" si="2"/>
        <v>0</v>
      </c>
      <c r="J22" s="1067"/>
      <c r="K22" s="635">
        <f t="shared" si="3"/>
        <v>0</v>
      </c>
      <c r="L22" s="43">
        <f t="shared" si="4"/>
        <v>0</v>
      </c>
      <c r="M22" s="46">
        <f t="shared" si="8"/>
        <v>0</v>
      </c>
      <c r="N22" s="1545"/>
      <c r="O22" s="1546"/>
      <c r="P22" s="46">
        <f t="shared" si="9"/>
        <v>0</v>
      </c>
      <c r="R22" s="43">
        <f t="shared" si="5"/>
        <v>0</v>
      </c>
      <c r="S22" s="51">
        <f t="shared" si="5"/>
        <v>0</v>
      </c>
    </row>
    <row r="23" spans="1:19">
      <c r="A23" s="1544"/>
      <c r="B23" s="45" t="s">
        <v>1153</v>
      </c>
      <c r="C23" s="3110"/>
      <c r="D23" s="43">
        <f>ROUND($D$3*E23/$E$3,2)</f>
        <v>0</v>
      </c>
      <c r="E23" s="51">
        <f>SUM(F23:G23)</f>
        <v>0</v>
      </c>
      <c r="F23" s="2552"/>
      <c r="G23" s="2553"/>
      <c r="H23" s="635">
        <f>ROUND($D$3*I23/$E$3,2)</f>
        <v>0</v>
      </c>
      <c r="I23" s="46">
        <f t="shared" si="2"/>
        <v>0</v>
      </c>
      <c r="J23" s="1067"/>
      <c r="K23" s="635">
        <f t="shared" si="3"/>
        <v>0</v>
      </c>
      <c r="L23" s="43">
        <f t="shared" si="4"/>
        <v>0</v>
      </c>
      <c r="M23" s="46">
        <f t="shared" si="8"/>
        <v>0</v>
      </c>
      <c r="N23" s="1545"/>
      <c r="O23" s="1546"/>
      <c r="P23" s="46">
        <f t="shared" si="9"/>
        <v>0</v>
      </c>
      <c r="R23" s="43">
        <f t="shared" si="5"/>
        <v>0</v>
      </c>
      <c r="S23" s="51">
        <f t="shared" si="5"/>
        <v>0</v>
      </c>
    </row>
    <row r="24" spans="1:19">
      <c r="A24" s="1544"/>
      <c r="B24" s="45" t="s">
        <v>1153</v>
      </c>
      <c r="C24" s="3110"/>
      <c r="D24" s="43">
        <f>ROUND($D$3*E24/$E$3,2)</f>
        <v>0</v>
      </c>
      <c r="E24" s="51">
        <f>SUM(F24:G24)</f>
        <v>0</v>
      </c>
      <c r="F24" s="2552"/>
      <c r="G24" s="2553"/>
      <c r="H24" s="635">
        <f>ROUND($D$3*I24/$E$3,2)</f>
        <v>0</v>
      </c>
      <c r="I24" s="46">
        <f t="shared" si="2"/>
        <v>0</v>
      </c>
      <c r="J24" s="1067"/>
      <c r="K24" s="635">
        <f t="shared" si="3"/>
        <v>0</v>
      </c>
      <c r="L24" s="43">
        <f t="shared" si="4"/>
        <v>0</v>
      </c>
      <c r="M24" s="46">
        <f t="shared" si="8"/>
        <v>0</v>
      </c>
      <c r="N24" s="1545"/>
      <c r="O24" s="1546"/>
      <c r="P24" s="46">
        <f t="shared" si="9"/>
        <v>0</v>
      </c>
      <c r="R24" s="43">
        <f t="shared" si="5"/>
        <v>0</v>
      </c>
      <c r="S24" s="51">
        <f t="shared" si="5"/>
        <v>0</v>
      </c>
    </row>
    <row r="25" spans="1:19">
      <c r="A25" s="1544"/>
      <c r="B25" s="45" t="s">
        <v>1153</v>
      </c>
      <c r="C25" s="3110"/>
      <c r="D25" s="43">
        <f t="shared" si="6"/>
        <v>0</v>
      </c>
      <c r="E25" s="51">
        <f t="shared" si="1"/>
        <v>0</v>
      </c>
      <c r="F25" s="2552"/>
      <c r="G25" s="2553"/>
      <c r="H25" s="42">
        <f t="shared" si="7"/>
        <v>0</v>
      </c>
      <c r="I25" s="46">
        <f t="shared" si="2"/>
        <v>0</v>
      </c>
      <c r="J25" s="1067"/>
      <c r="K25" s="635">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52"/>
      <c r="G26" s="2553"/>
      <c r="H26" s="42">
        <f t="shared" si="7"/>
        <v>0</v>
      </c>
      <c r="I26" s="46">
        <f t="shared" si="2"/>
        <v>0</v>
      </c>
      <c r="J26" s="1067"/>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68">
        <f>SUM(D19:D26)</f>
        <v>42136.27</v>
      </c>
      <c r="E27" s="1069">
        <f>IF(SUM(E19:E26)='数据-基础表'!BA5,SUM(E19:E26),IF(F27="地上面积有误","面积有误","地下面积有误"))</f>
        <v>153794.32</v>
      </c>
      <c r="F27" s="1068">
        <f>IF(SUM(F19:F26)=E8,SUM(F19:F26),"地上面积有误")</f>
        <v>83916.17</v>
      </c>
      <c r="G27" s="1070">
        <f>SUM(G19:G26)</f>
        <v>69878.149999999994</v>
      </c>
      <c r="H27" s="1071">
        <f>SUM(H19:H26)</f>
        <v>140.19999999999999</v>
      </c>
      <c r="I27" s="1072">
        <f>SUM(I19:I26)</f>
        <v>511.71</v>
      </c>
      <c r="J27" s="1067"/>
      <c r="K27" s="1073">
        <f>SUM(K19:K26)</f>
        <v>511.71</v>
      </c>
      <c r="L27" s="781">
        <f>SUM(L19:L26)</f>
        <v>0</v>
      </c>
      <c r="M27" s="1074">
        <f>SUM(M19:M26)</f>
        <v>511.71</v>
      </c>
      <c r="N27" s="1073">
        <f t="shared" ref="N27:O27" si="10">SUM(N19:N26)</f>
        <v>0</v>
      </c>
      <c r="O27" s="781">
        <f t="shared" si="10"/>
        <v>0</v>
      </c>
      <c r="P27" s="94">
        <f>SUM(P19:P26)</f>
        <v>0</v>
      </c>
      <c r="R27" s="964">
        <f>IF(SUM(R19:R26)=$D$3,SUM(R19:R26),SUM(R19:R26)&amp;"误差"&amp;ROUND(SUM(R19:R26)-$D$3,2))</f>
        <v>42276.469999999994</v>
      </c>
      <c r="S27" s="43">
        <f>IF(SUM(S19:S26)=$E$3,SUM(S19:S26),SUM(S19:S26)&amp;"误差"&amp;ROUND(SUM(S19:S26)-E3,2))</f>
        <v>154306.03</v>
      </c>
    </row>
    <row r="28" spans="1:19">
      <c r="A28" s="1544"/>
      <c r="B28" s="45" t="s">
        <v>1155</v>
      </c>
      <c r="C28" s="54" t="s">
        <v>1156</v>
      </c>
      <c r="D28" s="43">
        <f>ROUND($D$3*E28/$E$3,2)</f>
        <v>140.19999999999999</v>
      </c>
      <c r="E28" s="51">
        <f>SUM(F28:G28)</f>
        <v>511.71000000000004</v>
      </c>
      <c r="F28" s="54">
        <f>'数据-基础表'!BQ5+'数据-基础表'!BS5</f>
        <v>511.71000000000004</v>
      </c>
      <c r="G28" s="55">
        <f>'数据-基础表'!BR5+'数据-基础表'!BT5</f>
        <v>0</v>
      </c>
      <c r="H28" s="2433"/>
      <c r="I28" s="2433"/>
      <c r="J28" s="2433"/>
      <c r="K28" s="2433"/>
      <c r="L28" s="2433"/>
      <c r="M28" s="2433"/>
      <c r="N28" s="2433"/>
      <c r="O28" s="2433"/>
      <c r="P28" s="2433"/>
    </row>
    <row r="29" spans="1:19">
      <c r="A29" s="1544"/>
      <c r="B29" s="45" t="s">
        <v>1155</v>
      </c>
      <c r="C29" s="1550"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4"/>
      <c r="B30" s="45"/>
      <c r="C30" s="1551" t="s">
        <v>1154</v>
      </c>
      <c r="D30" s="1068">
        <f>SUM(D28:D29)</f>
        <v>140.19999999999999</v>
      </c>
      <c r="E30" s="1068">
        <f>SUM(E28:E29)</f>
        <v>511.71000000000004</v>
      </c>
      <c r="F30" s="1068">
        <f>SUM(F28:F29)</f>
        <v>511.71000000000004</v>
      </c>
      <c r="G30" s="1070">
        <f>SUM(G28:G29)</f>
        <v>0</v>
      </c>
      <c r="H30" s="2433"/>
      <c r="I30" s="2433"/>
      <c r="J30" s="2433"/>
      <c r="K30" s="2433"/>
      <c r="L30" s="2433"/>
      <c r="M30" s="2433"/>
      <c r="N30" s="2433"/>
      <c r="O30" s="2433"/>
      <c r="P30" s="2433"/>
    </row>
    <row r="31" spans="1:19" ht="15.75" thickBot="1">
      <c r="A31" s="1552"/>
      <c r="B31" s="96"/>
      <c r="C31" s="781" t="s">
        <v>1158</v>
      </c>
      <c r="D31" s="639">
        <f>D27+D30</f>
        <v>42276.469999999994</v>
      </c>
      <c r="E31" s="639">
        <f>E27+E30</f>
        <v>154306.03</v>
      </c>
      <c r="F31" s="640">
        <f>F27+F30</f>
        <v>84427.88</v>
      </c>
      <c r="G31" s="641">
        <f>G27+G30</f>
        <v>69878.149999999994</v>
      </c>
      <c r="H31" s="2433"/>
      <c r="I31" s="2433"/>
      <c r="J31" s="2433"/>
      <c r="K31" s="2433"/>
      <c r="L31" s="2433"/>
      <c r="M31" s="2433"/>
      <c r="N31" s="2433"/>
      <c r="O31" s="2433"/>
      <c r="P31" s="2433"/>
    </row>
    <row r="32" spans="1:19">
      <c r="A32" s="1521"/>
      <c r="B32" s="1521" t="s">
        <v>1159</v>
      </c>
      <c r="C32" s="1521"/>
      <c r="D32" s="1521"/>
      <c r="E32" s="986">
        <f>SUMIF(C19:C26,"*住宅*",E19:E26)</f>
        <v>0</v>
      </c>
      <c r="F32" s="1521"/>
      <c r="G32" s="1521"/>
      <c r="H32" s="2433"/>
      <c r="I32" s="2433"/>
      <c r="J32" s="2433"/>
      <c r="K32" s="2433"/>
      <c r="L32" s="2433"/>
      <c r="M32" s="2433"/>
      <c r="N32" s="2433"/>
      <c r="O32" s="2433"/>
      <c r="P32" s="2433"/>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18"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0"/>
    <col min="41" max="41" width="11.625" style="120" customWidth="1"/>
    <col min="42" max="42" width="9.75" style="120" customWidth="1"/>
    <col min="43" max="67" width="13.75" style="120"/>
    <col min="68" max="16384" width="13.75" style="1556"/>
  </cols>
  <sheetData>
    <row r="1" spans="1:67" ht="19.5" thickBot="1">
      <c r="A1" s="1554" t="s">
        <v>1160</v>
      </c>
      <c r="B1" s="642"/>
      <c r="C1" s="119"/>
      <c r="D1" s="1555"/>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6" customFormat="1" ht="15.75" thickBot="1">
      <c r="A2" s="1557" t="s">
        <v>1161</v>
      </c>
      <c r="B2" s="980">
        <f>项目基本情况!D3</f>
        <v>45614</v>
      </c>
      <c r="C2" s="1067"/>
      <c r="D2" s="1558"/>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3"/>
      <c r="AO2" s="2433"/>
      <c r="AP2" s="2433"/>
      <c r="AQ2" s="2433"/>
      <c r="AR2" s="2433"/>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7"/>
      <c r="D3" s="1558"/>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3"/>
      <c r="AO3" s="2433"/>
      <c r="AP3" s="2433"/>
      <c r="AQ3" s="2433"/>
      <c r="AR3" s="2433"/>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2"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3"/>
      <c r="AO4" s="2433"/>
      <c r="AP4" s="2433"/>
      <c r="AQ4" s="2433"/>
      <c r="AR4" s="2433"/>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3575</v>
      </c>
      <c r="O5" s="1572" t="s">
        <v>1181</v>
      </c>
      <c r="P5" s="1575" t="s">
        <v>1182</v>
      </c>
      <c r="Q5" s="58" t="s">
        <v>1183</v>
      </c>
      <c r="R5" s="1576" t="s">
        <v>1184</v>
      </c>
      <c r="S5" s="1577" t="s">
        <v>1185</v>
      </c>
      <c r="T5" s="1578" t="s">
        <v>1186</v>
      </c>
      <c r="U5" s="981" t="s">
        <v>1187</v>
      </c>
      <c r="V5" s="502" t="s">
        <v>1188</v>
      </c>
      <c r="W5" s="502" t="s">
        <v>1189</v>
      </c>
      <c r="X5" s="60"/>
      <c r="Y5" s="59" t="s">
        <v>1190</v>
      </c>
      <c r="Z5" s="1096" t="s">
        <v>1187</v>
      </c>
      <c r="AA5" s="502" t="s">
        <v>1188</v>
      </c>
      <c r="AB5" s="502" t="s">
        <v>1189</v>
      </c>
      <c r="AC5" s="60"/>
      <c r="AD5" s="60" t="s">
        <v>1190</v>
      </c>
      <c r="AE5" s="981" t="s">
        <v>1191</v>
      </c>
      <c r="AF5" s="502" t="s">
        <v>1192</v>
      </c>
      <c r="AG5" s="59" t="s">
        <v>1193</v>
      </c>
      <c r="AH5" s="981" t="s">
        <v>1194</v>
      </c>
      <c r="AI5" s="1096" t="s">
        <v>1195</v>
      </c>
      <c r="AJ5" s="1096" t="s">
        <v>1196</v>
      </c>
      <c r="AK5" s="502" t="s">
        <v>1197</v>
      </c>
      <c r="AL5" s="502" t="s">
        <v>1198</v>
      </c>
      <c r="AM5" s="59" t="s">
        <v>1199</v>
      </c>
      <c r="AN5" s="1579" t="s">
        <v>1200</v>
      </c>
      <c r="AO5" s="1449" t="s">
        <v>1201</v>
      </c>
      <c r="AP5" s="964"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商场</v>
      </c>
      <c r="B6" s="1582" t="str">
        <f>IF(A6=0,"","经营性")</f>
        <v>经营性</v>
      </c>
      <c r="C6" s="1583" t="s">
        <v>673</v>
      </c>
      <c r="D6" s="801">
        <f>SUMIF(项目基本情况!C$12:I$12,C6,项目基本情况!C$14:I$14)</f>
        <v>40</v>
      </c>
      <c r="E6" s="800">
        <f>IF(B6="","",SUMIF(项目基本情况!C$12:I$12,C6,项目基本情况!C$13:I$13))</f>
        <v>58329</v>
      </c>
      <c r="F6" s="61">
        <f>SUMIF(项目基本情况!C$12:I$12,C6,项目基本情况!C$15:I$15)</f>
        <v>34.83</v>
      </c>
      <c r="G6" s="62">
        <f>IF(ISERROR(ROUND(POWER(1+H6,D6-F6)*(POWER(1+H6,F6)-1)/(POWER(1+H6,D6)-1),3)),0,ROUND(POWER(1+H6,D6-F6)*(POWER(1+H6,F6)-1)/(POWER(1+H6,D6)-1),3))</f>
        <v>0.95799999999999996</v>
      </c>
      <c r="H6" s="687">
        <v>5.5E-2</v>
      </c>
      <c r="I6" s="687">
        <v>0.06</v>
      </c>
      <c r="J6" s="63">
        <v>7.4999999999999997E-2</v>
      </c>
      <c r="K6" s="966">
        <f>SUMIF('数据-汇总表'!C$19:C$33,A6,'数据-汇总表'!E$19:E$33)</f>
        <v>153794.32</v>
      </c>
      <c r="L6" s="688">
        <v>6500</v>
      </c>
      <c r="M6" s="64">
        <f t="shared" ref="M6:M14" si="0">ROUND(K6*L6/10000,0)</f>
        <v>99966</v>
      </c>
      <c r="N6" s="686">
        <f>面积!H40</f>
        <v>0.97</v>
      </c>
      <c r="O6" s="64" t="str">
        <f>IF($N$5="成新度","——",ROUND(M6*N6,0))</f>
        <v>——</v>
      </c>
      <c r="P6" s="65" t="str">
        <f>IF($N$5="成新度","——",M6-O6)</f>
        <v>——</v>
      </c>
      <c r="Q6" s="689">
        <v>0.25</v>
      </c>
      <c r="R6" s="66">
        <f ca="1">SUMIF('数据-汇总表'!C$19:C$33,A6,'数据-汇总表'!R$19:R$27)</f>
        <v>42276.469999999994</v>
      </c>
      <c r="S6" s="49">
        <f>IF('数据-汇总表'!$I$17="按面积比例",SUMIF('数据-汇总表'!C$19:C$33,A6,'数据-汇总表'!K$19:K$33),SUMIF('数据-汇总表'!C$19:C$33,A6,'数据-汇总表'!N$19:N$33))</f>
        <v>511.71</v>
      </c>
      <c r="T6" s="1088">
        <f>ROUND($L$14*S6/10000,0)</f>
        <v>333</v>
      </c>
      <c r="U6" s="3120">
        <v>3.6</v>
      </c>
      <c r="V6" s="3174">
        <v>0.01</v>
      </c>
      <c r="W6" s="67">
        <v>0.05</v>
      </c>
      <c r="X6" s="975"/>
      <c r="Y6" s="68">
        <f>N6</f>
        <v>0.97</v>
      </c>
      <c r="Z6" s="69"/>
      <c r="AA6" s="63"/>
      <c r="AB6" s="63"/>
      <c r="AC6" s="975"/>
      <c r="AD6" s="70"/>
      <c r="AE6" s="976">
        <f ca="1">IF(AN6="",0,SUMIF(INDIRECT("'"&amp;AN6&amp;"'"&amp;"!E:E"),$AE$5,INDIRECT("'"&amp;AN6&amp;"'"&amp;"!F:F")))</f>
        <v>34.83</v>
      </c>
      <c r="AF6" s="74"/>
      <c r="AG6" s="128">
        <f>IF(AF6="",0,AE6-AF6)</f>
        <v>0</v>
      </c>
      <c r="AH6" s="71"/>
      <c r="AI6" s="73">
        <v>365</v>
      </c>
      <c r="AJ6" s="74"/>
      <c r="AK6" s="75">
        <v>3.0000000000000001E-3</v>
      </c>
      <c r="AL6" s="76">
        <v>1E-3</v>
      </c>
      <c r="AM6" s="77">
        <v>5.0000000000000001E-3</v>
      </c>
      <c r="AN6" s="1584" t="s">
        <v>3585</v>
      </c>
      <c r="AO6" s="50">
        <f ca="1">SUMIF(INDIRECT("'"&amp;AN6&amp;"'"&amp;"!A:A"),"总价",INDIRECT("'"&amp;AN6&amp;"'"&amp;"!B:B"))</f>
        <v>254029</v>
      </c>
      <c r="AP6" s="1585">
        <f>IF(C6="住宅",K6*L6,0)</f>
        <v>0</v>
      </c>
      <c r="AQ6" s="50">
        <f>ROUND($L$14*$N$14*S6/10000,0)</f>
        <v>323</v>
      </c>
      <c r="AR6" s="50">
        <f>ROUND($L$14*(1-$N$14)*S6/10000,0)</f>
        <v>10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f>'数据-汇总表'!C20</f>
        <v>0</v>
      </c>
      <c r="B7" s="1582" t="str">
        <f t="shared" ref="B7:B13" si="1">IF(A7=0,"","经营性")</f>
        <v/>
      </c>
      <c r="C7" s="1583"/>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7"/>
      <c r="I7" s="687"/>
      <c r="J7" s="63"/>
      <c r="K7" s="966">
        <f>SUMIF('数据-汇总表'!C$19:C$33,A7,'数据-汇总表'!E$19:E$33)</f>
        <v>0</v>
      </c>
      <c r="L7" s="688"/>
      <c r="M7" s="64">
        <f t="shared" si="0"/>
        <v>0</v>
      </c>
      <c r="N7" s="686"/>
      <c r="O7" s="64" t="str">
        <f t="shared" ref="O7:O14" si="3">IF($N$5="成新度","——",ROUND(M7*N7,0))</f>
        <v>——</v>
      </c>
      <c r="P7" s="65" t="str">
        <f t="shared" ref="P7:P14" si="4">IF($N$5="成新度","——",M7-O7)</f>
        <v>——</v>
      </c>
      <c r="Q7" s="689"/>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0"/>
      <c r="V7" s="67"/>
      <c r="W7" s="67"/>
      <c r="X7" s="975"/>
      <c r="Y7" s="68"/>
      <c r="Z7" s="69"/>
      <c r="AA7" s="63"/>
      <c r="AB7" s="63"/>
      <c r="AC7" s="975"/>
      <c r="AD7" s="70"/>
      <c r="AE7" s="976">
        <f t="shared" ref="AE7:AE13" ca="1" si="6">IF(AN7="",0,SUMIF(INDIRECT("'"&amp;AN7&amp;"'"&amp;"!E:E"),$AE$5,INDIRECT("'"&amp;AN7&amp;"'"&amp;"!F:F")))</f>
        <v>0</v>
      </c>
      <c r="AF7" s="74"/>
      <c r="AG7" s="128">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f>'数据-汇总表'!C21</f>
        <v>0</v>
      </c>
      <c r="B8" s="1582" t="str">
        <f t="shared" si="1"/>
        <v/>
      </c>
      <c r="C8" s="1583"/>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8">
        <f t="shared" si="5"/>
        <v>0</v>
      </c>
      <c r="U8" s="3121"/>
      <c r="V8" s="690"/>
      <c r="W8" s="690"/>
      <c r="X8" s="975"/>
      <c r="Y8" s="68"/>
      <c r="Z8" s="69"/>
      <c r="AA8" s="63"/>
      <c r="AB8" s="63"/>
      <c r="AC8" s="975"/>
      <c r="AD8" s="70"/>
      <c r="AE8" s="976">
        <f t="shared" ca="1" si="6"/>
        <v>0</v>
      </c>
      <c r="AF8" s="74"/>
      <c r="AG8" s="128">
        <f t="shared" si="7"/>
        <v>0</v>
      </c>
      <c r="AH8" s="691"/>
      <c r="AI8" s="73"/>
      <c r="AJ8" s="74"/>
      <c r="AK8" s="692"/>
      <c r="AL8" s="693"/>
      <c r="AM8" s="104"/>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0"/>
      <c r="V9" s="67"/>
      <c r="W9" s="67"/>
      <c r="X9" s="975"/>
      <c r="Y9" s="68"/>
      <c r="Z9" s="69"/>
      <c r="AA9" s="63"/>
      <c r="AB9" s="63"/>
      <c r="AC9" s="975"/>
      <c r="AD9" s="70"/>
      <c r="AE9" s="976">
        <f t="shared" ca="1" si="6"/>
        <v>0</v>
      </c>
      <c r="AF9" s="74"/>
      <c r="AG9" s="128">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0"/>
      <c r="V10" s="67"/>
      <c r="W10" s="67"/>
      <c r="X10" s="975"/>
      <c r="Y10" s="68"/>
      <c r="Z10" s="69"/>
      <c r="AA10" s="63"/>
      <c r="AB10" s="63"/>
      <c r="AC10" s="975"/>
      <c r="AD10" s="70"/>
      <c r="AE10" s="976">
        <f t="shared" ca="1" si="6"/>
        <v>0</v>
      </c>
      <c r="AF10" s="74"/>
      <c r="AG10" s="128">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0"/>
      <c r="V11" s="63"/>
      <c r="W11" s="63"/>
      <c r="X11" s="975"/>
      <c r="Y11" s="68"/>
      <c r="Z11" s="81"/>
      <c r="AA11" s="63"/>
      <c r="AB11" s="63"/>
      <c r="AC11" s="975"/>
      <c r="AD11" s="70"/>
      <c r="AE11" s="976">
        <f t="shared" ca="1" si="6"/>
        <v>0</v>
      </c>
      <c r="AF11" s="74"/>
      <c r="AG11" s="128">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0"/>
      <c r="V12" s="63"/>
      <c r="W12" s="63"/>
      <c r="X12" s="975"/>
      <c r="Y12" s="68"/>
      <c r="Z12" s="81"/>
      <c r="AA12" s="63"/>
      <c r="AB12" s="63"/>
      <c r="AC12" s="975"/>
      <c r="AD12" s="70"/>
      <c r="AE12" s="976">
        <f t="shared" ca="1" si="6"/>
        <v>0</v>
      </c>
      <c r="AF12" s="74"/>
      <c r="AG12" s="128">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2"/>
      <c r="V13" s="67"/>
      <c r="W13" s="67"/>
      <c r="X13" s="975"/>
      <c r="Y13" s="68"/>
      <c r="Z13" s="69"/>
      <c r="AA13" s="63"/>
      <c r="AB13" s="63"/>
      <c r="AC13" s="975"/>
      <c r="AD13" s="70"/>
      <c r="AE13" s="976">
        <f t="shared" ca="1" si="6"/>
        <v>0</v>
      </c>
      <c r="AF13" s="74"/>
      <c r="AG13" s="128">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1"/>
      <c r="E14" s="800"/>
      <c r="F14" s="61"/>
      <c r="G14" s="62"/>
      <c r="H14" s="965"/>
      <c r="I14" s="965"/>
      <c r="J14" s="965"/>
      <c r="K14" s="966">
        <f>SUMIF('数据-汇总表'!C$19:C$33,A14,'数据-汇总表'!E$19:E$33)</f>
        <v>511.71000000000004</v>
      </c>
      <c r="L14" s="79">
        <f>L6</f>
        <v>6500</v>
      </c>
      <c r="M14" s="64">
        <f t="shared" si="0"/>
        <v>333</v>
      </c>
      <c r="N14" s="80">
        <f>N6</f>
        <v>0.97</v>
      </c>
      <c r="O14" s="64" t="str">
        <f t="shared" si="3"/>
        <v>——</v>
      </c>
      <c r="P14" s="65" t="str">
        <f t="shared" si="4"/>
        <v>——</v>
      </c>
      <c r="Q14" s="969"/>
      <c r="R14" s="66"/>
      <c r="S14" s="49"/>
      <c r="T14" s="1088"/>
      <c r="U14" s="635"/>
      <c r="V14" s="971"/>
      <c r="W14" s="971"/>
      <c r="X14" s="972"/>
      <c r="Y14" s="973"/>
      <c r="Z14" s="54"/>
      <c r="AA14" s="974"/>
      <c r="AB14" s="974"/>
      <c r="AC14" s="975"/>
      <c r="AD14" s="972"/>
      <c r="AE14" s="976"/>
      <c r="AF14" s="50"/>
      <c r="AG14" s="128"/>
      <c r="AH14" s="976"/>
      <c r="AI14" s="1261"/>
      <c r="AJ14" s="50"/>
      <c r="AK14" s="977"/>
      <c r="AL14" s="978"/>
      <c r="AM14" s="979"/>
      <c r="AN14" s="2442"/>
      <c r="AO14" s="2433"/>
      <c r="AP14" s="2433"/>
      <c r="AQ14" s="2433"/>
      <c r="AR14" s="2433"/>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5"/>
      <c r="V15" s="971"/>
      <c r="W15" s="971"/>
      <c r="X15" s="972"/>
      <c r="Y15" s="973"/>
      <c r="Z15" s="54"/>
      <c r="AA15" s="974"/>
      <c r="AB15" s="974"/>
      <c r="AC15" s="975"/>
      <c r="AD15" s="972"/>
      <c r="AE15" s="976"/>
      <c r="AF15" s="50"/>
      <c r="AG15" s="128"/>
      <c r="AH15" s="976"/>
      <c r="AI15" s="1261"/>
      <c r="AJ15" s="50"/>
      <c r="AK15" s="977"/>
      <c r="AL15" s="978"/>
      <c r="AM15" s="979"/>
      <c r="AN15" s="2442"/>
      <c r="AO15" s="2433"/>
      <c r="AP15" s="2433"/>
      <c r="AQ15" s="2433"/>
      <c r="AR15" s="2433"/>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79"/>
      <c r="D16" s="1589"/>
      <c r="E16" s="82"/>
      <c r="F16" s="82"/>
      <c r="G16" s="83">
        <f>ROUND(SUMPRODUCT(G6:G13,K6:K13)/SUMPRODUCT((G6:G13&gt;0)*(K6:K13)),3)</f>
        <v>0.95799999999999996</v>
      </c>
      <c r="H16" s="84">
        <f>ROUND(SUMPRODUCT(H6:H13,K6:K13)/SUMPRODUCT((H6:H13&gt;0)*(K6:K13)),3)</f>
        <v>5.5E-2</v>
      </c>
      <c r="I16" s="85"/>
      <c r="J16" s="85"/>
      <c r="K16" s="86">
        <f>SUM(K6:K15)</f>
        <v>154306.03</v>
      </c>
      <c r="L16" s="87">
        <f>ROUND(M16*10000/SUM(K6:K14),0)</f>
        <v>6500</v>
      </c>
      <c r="M16" s="87">
        <f>SUM(M6:M14)</f>
        <v>100299</v>
      </c>
      <c r="N16" s="88">
        <f>ROUND(SUMPRODUCT(M6:M14,N6:N14)/M16,3)</f>
        <v>0.97</v>
      </c>
      <c r="O16" s="87">
        <f>SUM(O6:O14)</f>
        <v>0</v>
      </c>
      <c r="P16" s="87">
        <f>SUM(P6:P14)</f>
        <v>0</v>
      </c>
      <c r="Q16" s="89">
        <f>ROUND(SUMPRODUCT(Q6:Q13,K6:K13)/SUMPRODUCT((Q6:Q13&gt;0)*(K6:K13)),2)</f>
        <v>0.25</v>
      </c>
      <c r="R16" s="970">
        <f ca="1">SUM(R6:R13)</f>
        <v>42276.469999999994</v>
      </c>
      <c r="S16" s="90">
        <f>SUM(S6:S13)</f>
        <v>511.71</v>
      </c>
      <c r="T16" s="91">
        <f>IF(SUMIF(T6:T13,"&lt;9E307")=M14,SUMIF(T6:T13,"&lt;9E307"),"有误，请检查")</f>
        <v>333</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1" t="s">
        <v>1211</v>
      </c>
      <c r="B19" s="97">
        <v>0</v>
      </c>
      <c r="C19" s="2554" t="s">
        <v>2299</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2" t="s">
        <v>1212</v>
      </c>
      <c r="B20" s="98">
        <v>2.5</v>
      </c>
      <c r="C20" s="2555" t="s">
        <v>2297</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3" t="s">
        <v>1213</v>
      </c>
      <c r="B21" s="98">
        <f>B20</f>
        <v>2.5</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2" t="s">
        <v>1214</v>
      </c>
      <c r="B22" s="99">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3" t="s">
        <v>1215</v>
      </c>
      <c r="B23" s="99">
        <f>B19+B21</f>
        <v>2.5</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4"/>
      <c r="B25" s="1537"/>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1217</v>
      </c>
      <c r="B26" s="1595"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6" t="s">
        <v>1220</v>
      </c>
      <c r="B27" s="3177">
        <v>150</v>
      </c>
      <c r="C27" s="2556" t="s">
        <v>2301</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7" t="s">
        <v>1221</v>
      </c>
      <c r="B28" s="3178">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8" t="s">
        <v>1222</v>
      </c>
      <c r="B29" s="103">
        <f>ROUND(B28*K16/10000,0)</f>
        <v>2932</v>
      </c>
      <c r="C29" s="2557" t="s">
        <v>2290</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9" t="s">
        <v>1223</v>
      </c>
      <c r="B30" s="3179">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7" t="s">
        <v>1224</v>
      </c>
      <c r="B31" s="102">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0" t="s">
        <v>1225</v>
      </c>
      <c r="B32" s="3180"/>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6" t="s">
        <v>1226</v>
      </c>
      <c r="B33" s="636">
        <v>0.06</v>
      </c>
      <c r="C33" s="2558" t="s">
        <v>3374</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7" t="s">
        <v>1227</v>
      </c>
      <c r="B34" s="104"/>
      <c r="C34" s="2558" t="s">
        <v>2291</v>
      </c>
      <c r="D34" s="2453" t="s">
        <v>2298</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7" t="s">
        <v>1228</v>
      </c>
      <c r="B35" s="3178">
        <f>B30</f>
        <v>200</v>
      </c>
      <c r="C35" s="2558" t="s">
        <v>2292</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1229</v>
      </c>
      <c r="B36" s="105">
        <v>0.02</v>
      </c>
      <c r="C36" s="2558" t="s">
        <v>3375</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9" t="s">
        <v>1230</v>
      </c>
      <c r="B37" s="106">
        <v>0.03</v>
      </c>
      <c r="C37" s="2558" t="s">
        <v>2293</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7" t="s">
        <v>1231</v>
      </c>
      <c r="B38" s="104">
        <v>0.02</v>
      </c>
      <c r="C38" s="2558" t="s">
        <v>2293</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0" t="s">
        <v>1232</v>
      </c>
      <c r="B39" s="307">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2308</v>
      </c>
      <c r="B40" s="1011">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6" t="s">
        <v>1233</v>
      </c>
      <c r="B41" s="107">
        <f>B42+B43</f>
        <v>5.5000000000000007E-2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1" t="s">
        <v>1234</v>
      </c>
      <c r="B42" s="108">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1" t="s">
        <v>1235</v>
      </c>
      <c r="B43" s="109">
        <f>B42*(B44+B45+B46)+B47</f>
        <v>5.000000000000001E-3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2" t="s">
        <v>1236</v>
      </c>
      <c r="B44" s="110">
        <v>0.05</v>
      </c>
      <c r="C44" s="2558" t="s">
        <v>2302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2" t="s">
        <v>1237</v>
      </c>
      <c r="B45" s="108">
        <v>0.03</v>
      </c>
      <c r="C45" s="2557" t="s">
        <v>2294</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2" t="s">
        <v>1238</v>
      </c>
      <c r="B46" s="108">
        <v>0.02</v>
      </c>
      <c r="C46" s="2557" t="s">
        <v>2295</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1239</v>
      </c>
      <c r="B47" s="111"/>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4" t="s">
        <v>1240</v>
      </c>
      <c r="B48" s="112">
        <v>0.03</v>
      </c>
      <c r="C48" s="2557" t="s">
        <v>2294</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1241</v>
      </c>
      <c r="B49" s="108">
        <v>5.0000000000000001E-4</v>
      </c>
      <c r="C49" s="2557" t="s">
        <v>2296</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5" t="s">
        <v>1242</v>
      </c>
      <c r="B50" s="113">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1243</v>
      </c>
      <c r="B51" s="114">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5" t="s">
        <v>1244</v>
      </c>
      <c r="B52" s="115">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7" t="s">
        <v>1245</v>
      </c>
      <c r="B53" s="1606" t="s">
        <v>29</v>
      </c>
      <c r="C53" s="2434" t="s">
        <v>1246</v>
      </c>
      <c r="D53" s="2559" t="s">
        <v>2300</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7" t="s">
        <v>1247</v>
      </c>
      <c r="B54" s="72">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7" t="s">
        <v>1248</v>
      </c>
      <c r="B55" s="72">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7" t="s">
        <v>1249</v>
      </c>
      <c r="B56" s="72">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7" t="s">
        <v>1250</v>
      </c>
      <c r="B57" s="72">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7" t="s">
        <v>1251</v>
      </c>
      <c r="B58" s="72">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7" t="s">
        <v>1252</v>
      </c>
      <c r="B59" s="72">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7"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7"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7"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1256</v>
      </c>
      <c r="B63" s="116"/>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0" customFormat="1">
      <c r="A134" s="1611"/>
      <c r="D134" s="1612"/>
      <c r="K134" s="24"/>
      <c r="L134" s="24"/>
    </row>
    <row r="135" spans="1:12" s="120" customFormat="1">
      <c r="A135" s="1611"/>
      <c r="D135" s="1612"/>
      <c r="K135" s="24"/>
      <c r="L135" s="24"/>
    </row>
    <row r="136" spans="1:12" s="120" customFormat="1">
      <c r="A136" s="1611"/>
      <c r="D136" s="1612"/>
      <c r="K136" s="24"/>
      <c r="L136" s="24"/>
    </row>
    <row r="137" spans="1:12" s="120" customFormat="1">
      <c r="A137" s="1611"/>
      <c r="D137" s="1612"/>
      <c r="K137" s="24"/>
      <c r="L137" s="24"/>
    </row>
    <row r="138" spans="1:12" s="120" customFormat="1">
      <c r="A138" s="1611"/>
      <c r="D138" s="1612"/>
      <c r="K138" s="24"/>
      <c r="L138" s="24"/>
    </row>
    <row r="139" spans="1:12" s="120" customFormat="1">
      <c r="A139" s="1611"/>
      <c r="D139" s="1612"/>
      <c r="K139" s="24"/>
      <c r="L139" s="24"/>
    </row>
    <row r="140" spans="1:12" s="120" customFormat="1">
      <c r="A140" s="1611"/>
      <c r="D140" s="1612"/>
      <c r="K140" s="24"/>
      <c r="L140" s="24"/>
    </row>
    <row r="141" spans="1:12" s="120" customFormat="1">
      <c r="A141" s="1611"/>
      <c r="D141" s="1612"/>
      <c r="K141" s="24"/>
      <c r="L141" s="24"/>
    </row>
    <row r="142" spans="1:12" s="120" customFormat="1">
      <c r="A142" s="1611"/>
      <c r="D142" s="1612"/>
      <c r="K142" s="24"/>
      <c r="L142" s="24"/>
    </row>
    <row r="143" spans="1:12" s="120" customFormat="1">
      <c r="A143" s="1611"/>
      <c r="D143" s="1612"/>
      <c r="K143" s="24"/>
      <c r="L143" s="24"/>
    </row>
    <row r="144" spans="1:12" s="120" customFormat="1">
      <c r="A144" s="1611"/>
      <c r="D144" s="1612"/>
      <c r="K144" s="24"/>
      <c r="L144" s="24"/>
    </row>
    <row r="145" spans="1:12" s="120" customFormat="1">
      <c r="A145" s="1611"/>
      <c r="D145" s="1612"/>
      <c r="K145" s="24"/>
      <c r="L145" s="24"/>
    </row>
    <row r="146" spans="1:12" s="120" customFormat="1">
      <c r="A146" s="1611"/>
      <c r="D146" s="1612"/>
      <c r="K146" s="24"/>
      <c r="L146" s="24"/>
    </row>
    <row r="147" spans="1:12" s="120" customFormat="1">
      <c r="A147" s="1611"/>
      <c r="D147" s="1612"/>
      <c r="K147" s="24"/>
      <c r="L147" s="24"/>
    </row>
    <row r="148" spans="1:12" s="120" customFormat="1">
      <c r="A148" s="1611"/>
      <c r="D148" s="1612"/>
      <c r="K148" s="24"/>
      <c r="L148" s="24"/>
    </row>
    <row r="149" spans="1:12" s="120" customFormat="1">
      <c r="A149" s="1611"/>
      <c r="D149" s="1612"/>
      <c r="K149" s="24"/>
      <c r="L149" s="24"/>
    </row>
    <row r="150" spans="1:12" s="120" customFormat="1">
      <c r="A150" s="1611"/>
      <c r="D150" s="1612"/>
      <c r="K150" s="24"/>
      <c r="L150" s="24"/>
    </row>
    <row r="151" spans="1:12" s="120" customFormat="1">
      <c r="A151" s="1611"/>
      <c r="D151" s="1612"/>
      <c r="K151" s="24"/>
      <c r="L151" s="24"/>
    </row>
    <row r="152" spans="1:12" s="120" customFormat="1">
      <c r="A152" s="1611"/>
      <c r="D152" s="1612"/>
      <c r="K152" s="24"/>
      <c r="L152" s="24"/>
    </row>
    <row r="153" spans="1:12" s="120" customFormat="1">
      <c r="A153" s="1611"/>
      <c r="D153" s="1612"/>
      <c r="K153" s="24"/>
      <c r="L153" s="24"/>
    </row>
    <row r="154" spans="1:12" s="120" customFormat="1">
      <c r="A154" s="1611"/>
      <c r="D154" s="1612"/>
      <c r="K154" s="24"/>
      <c r="L154" s="24"/>
    </row>
    <row r="155" spans="1:12" s="120" customFormat="1">
      <c r="A155" s="1611"/>
      <c r="D155" s="1612"/>
      <c r="K155" s="24"/>
      <c r="L155" s="24"/>
    </row>
    <row r="156" spans="1:12" s="120" customFormat="1">
      <c r="A156" s="1611"/>
      <c r="D156" s="1612"/>
      <c r="K156" s="24"/>
      <c r="L156" s="24"/>
    </row>
    <row r="157" spans="1:12" s="120" customFormat="1">
      <c r="A157" s="1611"/>
      <c r="D157" s="1612"/>
      <c r="K157" s="24"/>
      <c r="L157" s="24"/>
    </row>
    <row r="158" spans="1:12" s="120" customFormat="1">
      <c r="A158" s="1611"/>
      <c r="D158" s="1612"/>
      <c r="K158" s="24"/>
      <c r="L158" s="24"/>
    </row>
    <row r="159" spans="1:12" s="120" customFormat="1">
      <c r="A159" s="1611"/>
      <c r="D159" s="1612"/>
      <c r="K159" s="24"/>
      <c r="L159" s="24"/>
    </row>
    <row r="160" spans="1:12" s="120" customFormat="1">
      <c r="A160" s="1611"/>
      <c r="D160" s="1612"/>
      <c r="K160" s="24"/>
      <c r="L160" s="24"/>
    </row>
    <row r="161" spans="1:12" s="120" customFormat="1">
      <c r="A161" s="1611"/>
      <c r="D161" s="1612"/>
      <c r="K161" s="24"/>
      <c r="L161" s="24"/>
    </row>
    <row r="162" spans="1:12" s="120" customFormat="1">
      <c r="A162" s="1611"/>
      <c r="D162" s="1612"/>
      <c r="K162" s="24"/>
      <c r="L162" s="24"/>
    </row>
    <row r="163" spans="1:12" s="120" customFormat="1">
      <c r="A163" s="1611"/>
      <c r="D163" s="1612"/>
      <c r="K163" s="24"/>
      <c r="L163" s="24"/>
    </row>
    <row r="164" spans="1:12" s="120" customFormat="1">
      <c r="A164" s="1611"/>
      <c r="D164" s="1612"/>
      <c r="K164" s="24"/>
      <c r="L164" s="24"/>
    </row>
    <row r="165" spans="1:12" s="120" customFormat="1">
      <c r="A165" s="1611"/>
      <c r="D165" s="1612"/>
      <c r="K165" s="24"/>
      <c r="L165" s="24"/>
    </row>
    <row r="166" spans="1:12" s="120" customFormat="1">
      <c r="A166" s="1611"/>
      <c r="D166" s="1612"/>
      <c r="K166" s="24"/>
      <c r="L166" s="24"/>
    </row>
    <row r="167" spans="1:12" s="120" customFormat="1">
      <c r="A167" s="1611"/>
      <c r="D167" s="1612"/>
      <c r="K167" s="24"/>
      <c r="L167" s="24"/>
    </row>
    <row r="168" spans="1:12" s="120" customFormat="1">
      <c r="A168" s="1611"/>
      <c r="D168" s="1612"/>
      <c r="K168" s="24"/>
      <c r="L168" s="24"/>
    </row>
    <row r="169" spans="1:12" s="120" customFormat="1">
      <c r="A169" s="1611"/>
      <c r="D169" s="1612"/>
      <c r="K169" s="24"/>
      <c r="L169" s="24"/>
    </row>
    <row r="170" spans="1:12" s="120" customFormat="1">
      <c r="A170" s="1611"/>
      <c r="D170" s="1612"/>
      <c r="K170" s="24"/>
      <c r="L170" s="24"/>
    </row>
    <row r="171" spans="1:12" s="120" customFormat="1">
      <c r="A171" s="1611"/>
      <c r="D171" s="1612"/>
      <c r="K171" s="24"/>
      <c r="L171" s="24"/>
    </row>
    <row r="172" spans="1:12" s="120" customFormat="1">
      <c r="A172" s="1611"/>
      <c r="D172" s="1612"/>
      <c r="K172" s="24"/>
      <c r="L172" s="24"/>
    </row>
    <row r="173" spans="1:12" s="120" customFormat="1">
      <c r="A173" s="1611"/>
      <c r="D173" s="1612"/>
      <c r="K173" s="24"/>
      <c r="L173" s="24"/>
    </row>
    <row r="174" spans="1:12" s="120" customFormat="1">
      <c r="A174" s="1611"/>
      <c r="D174" s="1612"/>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7" customWidth="1"/>
    <col min="19" max="29" width="9" style="747"/>
    <col min="30" max="16384" width="9" style="1517"/>
  </cols>
  <sheetData>
    <row r="1" spans="1:29" s="2254" customFormat="1" ht="18.75" thickBot="1">
      <c r="A1" s="3280" t="s">
        <v>2282</v>
      </c>
      <c r="B1" s="3281"/>
      <c r="C1" s="3281"/>
      <c r="D1" s="3281"/>
      <c r="E1" s="3281"/>
      <c r="F1" s="3281"/>
      <c r="G1" s="328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2278</v>
      </c>
      <c r="D2" s="1590"/>
      <c r="E2" s="2255"/>
      <c r="F2" s="2258"/>
      <c r="G2" s="2257" t="s">
        <v>2279</v>
      </c>
      <c r="H2" s="747"/>
      <c r="I2" s="747"/>
      <c r="J2" s="747"/>
      <c r="K2" s="747"/>
      <c r="L2" s="747"/>
      <c r="M2" s="747"/>
      <c r="N2" s="747"/>
      <c r="O2" s="747"/>
      <c r="P2" s="747"/>
      <c r="Q2" s="747"/>
    </row>
    <row r="3" spans="1:29" ht="25.5">
      <c r="A3" s="2242" t="s">
        <v>2280</v>
      </c>
      <c r="B3" s="2259" t="s">
        <v>2252</v>
      </c>
      <c r="C3" s="2260"/>
      <c r="D3" s="2261"/>
      <c r="E3" s="2243" t="s">
        <v>2280</v>
      </c>
      <c r="F3" s="2262" t="s">
        <v>2253</v>
      </c>
      <c r="G3" s="2263" t="s">
        <v>2281</v>
      </c>
      <c r="H3" s="747"/>
      <c r="I3" s="747"/>
      <c r="J3" s="747"/>
      <c r="K3" s="747"/>
      <c r="L3" s="747"/>
      <c r="M3" s="747"/>
      <c r="N3" s="747"/>
      <c r="O3" s="747"/>
      <c r="P3" s="747"/>
      <c r="Q3" s="747"/>
    </row>
    <row r="4" spans="1:29" ht="49.5" customHeight="1">
      <c r="A4" s="2243"/>
      <c r="B4" s="313" t="s">
        <v>2254</v>
      </c>
      <c r="C4" s="3170" t="s">
        <v>3653</v>
      </c>
      <c r="D4" s="2261"/>
      <c r="E4" s="2265"/>
      <c r="F4" s="1276" t="s">
        <v>2255</v>
      </c>
      <c r="G4" s="2266" t="s">
        <v>2256</v>
      </c>
      <c r="H4" s="747"/>
      <c r="I4" s="747"/>
      <c r="J4" s="747"/>
      <c r="K4" s="747"/>
      <c r="L4" s="747"/>
      <c r="M4" s="747"/>
      <c r="N4" s="747"/>
      <c r="O4" s="747"/>
      <c r="P4" s="747"/>
      <c r="Q4" s="747"/>
    </row>
    <row r="5" spans="1:29" ht="24">
      <c r="A5" s="2243"/>
      <c r="B5" s="313" t="s">
        <v>2257</v>
      </c>
      <c r="C5" s="2264"/>
      <c r="D5" s="2261"/>
      <c r="E5" s="2265"/>
      <c r="F5" s="313" t="s">
        <v>2258</v>
      </c>
      <c r="G5" s="2266" t="s">
        <v>2259</v>
      </c>
      <c r="H5" s="747"/>
      <c r="I5" s="747"/>
      <c r="J5" s="747"/>
      <c r="K5" s="747"/>
      <c r="L5" s="747"/>
      <c r="M5" s="747"/>
      <c r="N5" s="747"/>
      <c r="O5" s="747"/>
      <c r="P5" s="747"/>
      <c r="Q5" s="747"/>
    </row>
    <row r="6" spans="1:29" ht="36">
      <c r="A6" s="2243"/>
      <c r="B6" s="313" t="s">
        <v>2260</v>
      </c>
      <c r="C6" s="2266" t="s">
        <v>3649</v>
      </c>
      <c r="D6" s="2261"/>
      <c r="E6" s="2265"/>
      <c r="F6" s="313" t="s">
        <v>2261</v>
      </c>
      <c r="G6" s="2266" t="s">
        <v>2262</v>
      </c>
      <c r="H6" s="747"/>
      <c r="I6" s="747"/>
      <c r="J6" s="747"/>
      <c r="K6" s="747"/>
      <c r="L6" s="747"/>
      <c r="M6" s="747"/>
      <c r="N6" s="747"/>
      <c r="O6" s="747"/>
      <c r="P6" s="747"/>
      <c r="Q6" s="747"/>
    </row>
    <row r="7" spans="1:29" ht="24.75" thickBot="1">
      <c r="A7" s="2243"/>
      <c r="B7" s="313" t="s">
        <v>2258</v>
      </c>
      <c r="C7" s="2266" t="s">
        <v>3650</v>
      </c>
      <c r="D7" s="2240"/>
      <c r="E7" s="2267"/>
      <c r="F7" s="2268" t="s">
        <v>2263</v>
      </c>
      <c r="G7" s="2269" t="s">
        <v>2264</v>
      </c>
      <c r="H7" s="747"/>
      <c r="I7" s="747"/>
      <c r="J7" s="747"/>
      <c r="K7" s="747"/>
      <c r="L7" s="747"/>
      <c r="M7" s="747"/>
      <c r="N7" s="747"/>
      <c r="O7" s="747"/>
      <c r="P7" s="747"/>
      <c r="Q7" s="747"/>
    </row>
    <row r="8" spans="1:29">
      <c r="A8" s="2243"/>
      <c r="B8" s="313" t="s">
        <v>2261</v>
      </c>
      <c r="C8" s="2266" t="s">
        <v>3651</v>
      </c>
      <c r="D8" s="2240"/>
      <c r="E8" s="2240"/>
      <c r="F8" s="119"/>
      <c r="G8" s="119"/>
      <c r="H8" s="747"/>
      <c r="I8" s="747"/>
      <c r="J8" s="747"/>
      <c r="K8" s="747"/>
      <c r="L8" s="747"/>
      <c r="M8" s="747"/>
      <c r="N8" s="747"/>
      <c r="O8" s="747"/>
      <c r="P8" s="747"/>
      <c r="Q8" s="747"/>
    </row>
    <row r="9" spans="1:29" ht="24">
      <c r="A9" s="2243"/>
      <c r="B9" s="313" t="s">
        <v>2265</v>
      </c>
      <c r="C9" s="2264" t="s">
        <v>3652</v>
      </c>
      <c r="D9" s="2261"/>
      <c r="E9" s="2240"/>
      <c r="F9" s="119"/>
      <c r="G9" s="119"/>
      <c r="H9" s="747"/>
      <c r="I9" s="747"/>
      <c r="J9" s="747"/>
      <c r="K9" s="747"/>
      <c r="L9" s="747"/>
      <c r="M9" s="747"/>
      <c r="N9" s="747"/>
      <c r="O9" s="747"/>
      <c r="P9" s="747"/>
      <c r="Q9" s="747"/>
    </row>
    <row r="10" spans="1:29" ht="15" thickBot="1">
      <c r="A10" s="2244"/>
      <c r="B10" s="2270" t="s">
        <v>2266</v>
      </c>
      <c r="C10" s="3176" t="s">
        <v>3654</v>
      </c>
      <c r="D10" s="2261"/>
      <c r="E10" s="2261"/>
      <c r="F10" s="119"/>
      <c r="G10" s="119"/>
      <c r="J10" s="2272"/>
      <c r="M10" s="2272"/>
      <c r="P10" s="2272"/>
      <c r="R10" s="2271"/>
    </row>
    <row r="11" spans="1:29">
      <c r="A11" s="2273"/>
      <c r="B11" s="2240"/>
      <c r="C11" s="2261"/>
      <c r="D11" s="2261"/>
      <c r="E11" s="2261"/>
      <c r="F11" s="2240"/>
      <c r="G11" s="2240"/>
      <c r="J11" s="2272"/>
      <c r="M11" s="2272"/>
      <c r="P11" s="2272"/>
      <c r="R11" s="2271"/>
    </row>
    <row r="12" spans="1:29" s="2254" customFormat="1" ht="18">
      <c r="A12" s="2273"/>
      <c r="B12" s="2240"/>
      <c r="C12" s="2261"/>
      <c r="D12" s="2274"/>
      <c r="E12" s="2261"/>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2283</v>
      </c>
      <c r="B13" s="2274"/>
      <c r="C13" s="2274"/>
      <c r="D13" s="2273"/>
      <c r="E13" s="2274"/>
      <c r="F13" s="2274"/>
      <c r="G13" s="2274"/>
    </row>
    <row r="14" spans="1:29" ht="15" thickBot="1">
      <c r="A14" s="2279"/>
      <c r="B14" s="2279"/>
      <c r="C14" s="2280" t="s">
        <v>2267</v>
      </c>
      <c r="D14" s="2261"/>
      <c r="E14" s="2281"/>
      <c r="F14" s="2281"/>
      <c r="G14" s="2257" t="s">
        <v>2268</v>
      </c>
    </row>
    <row r="15" spans="1:29" ht="25.5">
      <c r="A15" s="2245" t="s">
        <v>2269</v>
      </c>
      <c r="B15" s="2282" t="s">
        <v>2252</v>
      </c>
      <c r="C15" s="2283">
        <f>C3</f>
        <v>0</v>
      </c>
      <c r="D15" s="2261"/>
      <c r="E15" s="2246" t="s">
        <v>2270</v>
      </c>
      <c r="F15" s="2282" t="s">
        <v>2271</v>
      </c>
      <c r="G15" s="2284" t="str">
        <f>G3</f>
        <v>估价对象位于XX开发区，园区建设成熟度XX，产业集聚程度XX</v>
      </c>
    </row>
    <row r="16" spans="1:29" ht="38.25">
      <c r="A16" s="2247"/>
      <c r="B16" s="2285" t="s">
        <v>2254</v>
      </c>
      <c r="C16" s="2286" t="str">
        <f>C4</f>
        <v>位于亦庄，周边商业氛围成熟度一般，人流量较大，商业繁华度一般</v>
      </c>
      <c r="D16" s="2261"/>
      <c r="E16" s="2248"/>
      <c r="F16" s="2287" t="s">
        <v>2255</v>
      </c>
      <c r="G16" s="2288" t="str">
        <f>G4</f>
        <v>估价对象周边道路状况、公共交通通达情况、停车便捷程度，综合评价交通便捷度较好</v>
      </c>
    </row>
    <row r="17" spans="1:17">
      <c r="A17" s="2247"/>
      <c r="B17" s="2285" t="s">
        <v>2257</v>
      </c>
      <c r="C17" s="2286">
        <f>C5</f>
        <v>0</v>
      </c>
      <c r="D17" s="2240"/>
      <c r="E17" s="2248"/>
      <c r="F17" s="2287" t="s">
        <v>2272</v>
      </c>
      <c r="G17" s="2289"/>
    </row>
    <row r="18" spans="1:17" ht="38.25">
      <c r="A18" s="2247"/>
      <c r="B18" s="2287" t="s">
        <v>2260</v>
      </c>
      <c r="C18" s="2288" t="str">
        <f>C6</f>
        <v>估价对象周边道路状况、公共交通通达情况、停车便捷程度，综合评价交通便捷度较好</v>
      </c>
      <c r="D18" s="2240"/>
      <c r="E18" s="2248"/>
      <c r="F18" s="2287" t="s">
        <v>2263</v>
      </c>
      <c r="G18" s="2288" t="str">
        <f>G7</f>
        <v>该园区内是否有污染型企业，绿化情况，卫生条件，整体环境状况判断</v>
      </c>
    </row>
    <row r="19" spans="1:17" ht="25.5">
      <c r="A19" s="2247"/>
      <c r="B19" s="2287" t="s">
        <v>2273</v>
      </c>
      <c r="C19" s="2289"/>
      <c r="D19" s="2261"/>
      <c r="E19" s="2248"/>
      <c r="F19" s="313" t="s">
        <v>2258</v>
      </c>
      <c r="G19" s="2288" t="str">
        <f>G5</f>
        <v>估价对象所在区域公共配套设施齐备情况</v>
      </c>
    </row>
    <row r="20" spans="1:17" ht="25.5">
      <c r="A20" s="2247"/>
      <c r="B20" s="2287" t="s">
        <v>2274</v>
      </c>
      <c r="C20" s="2286" t="str">
        <f>C9</f>
        <v>区域自然环境：；人文环境；综合评价环境状况一般</v>
      </c>
      <c r="D20" s="2240"/>
      <c r="E20" s="2248"/>
      <c r="F20" s="313" t="s">
        <v>2261</v>
      </c>
      <c r="G20" s="2288" t="str">
        <f>G6</f>
        <v>估价对象所在区域基础设施水平</v>
      </c>
    </row>
    <row r="21" spans="1:17" ht="25.5">
      <c r="A21" s="2247"/>
      <c r="B21" s="313" t="s">
        <v>2258</v>
      </c>
      <c r="C21" s="2288" t="str">
        <f>C7</f>
        <v>估价对象所在区域公共配套设施齐备情况</v>
      </c>
      <c r="D21" s="2261"/>
      <c r="E21" s="2248"/>
      <c r="F21" s="2287" t="s">
        <v>2275</v>
      </c>
      <c r="G21" s="2290"/>
    </row>
    <row r="22" spans="1:17" ht="13.5" customHeight="1">
      <c r="A22" s="2247"/>
      <c r="B22" s="313" t="s">
        <v>2261</v>
      </c>
      <c r="C22" s="2288" t="str">
        <f>C8</f>
        <v>估价对象所在区域基础设施水平</v>
      </c>
      <c r="D22" s="2261"/>
      <c r="E22" s="2248"/>
      <c r="F22" s="2287" t="s">
        <v>2266</v>
      </c>
      <c r="G22" s="2289"/>
    </row>
    <row r="23" spans="1:17" s="747" customFormat="1" ht="15" thickBot="1">
      <c r="A23" s="2247"/>
      <c r="B23" s="2287" t="s">
        <v>2275</v>
      </c>
      <c r="C23" s="2290"/>
      <c r="D23" s="1609"/>
      <c r="E23" s="2249"/>
      <c r="F23" s="2291" t="s">
        <v>2276</v>
      </c>
      <c r="G23" s="2292"/>
      <c r="H23" s="2271"/>
      <c r="I23" s="2271"/>
      <c r="J23" s="2271"/>
      <c r="K23" s="2271"/>
      <c r="L23" s="2271"/>
      <c r="M23" s="2271"/>
      <c r="N23" s="2271"/>
      <c r="O23" s="2271"/>
      <c r="P23" s="2271"/>
      <c r="Q23" s="2271"/>
    </row>
    <row r="24" spans="1:17" s="747" customFormat="1" ht="15" thickBot="1">
      <c r="A24" s="2250"/>
      <c r="B24" s="2291" t="s">
        <v>2277</v>
      </c>
      <c r="C24" s="2293" t="str">
        <f>C10</f>
        <v>次干道-兴海路</v>
      </c>
      <c r="D24" s="1609"/>
      <c r="E24" s="2240"/>
      <c r="F24" s="2240"/>
      <c r="G24" s="2240"/>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153794.32</v>
      </c>
      <c r="C1" s="2455"/>
      <c r="D1" s="2455"/>
      <c r="E1" s="2455"/>
      <c r="F1" s="2455"/>
      <c r="G1" s="2456"/>
      <c r="H1" s="2456"/>
      <c r="I1" s="2456"/>
      <c r="J1" s="2456"/>
      <c r="K1" s="2456"/>
    </row>
    <row r="2" spans="1:11" ht="16.5">
      <c r="A2" s="2294" t="s">
        <v>653</v>
      </c>
      <c r="B2" s="2294">
        <f>SUM(C14:C23)</f>
        <v>42136.27</v>
      </c>
      <c r="C2" s="2455"/>
      <c r="D2" s="2455"/>
      <c r="E2" s="2455"/>
      <c r="F2" s="2455"/>
      <c r="G2" s="2456"/>
      <c r="H2" s="2456"/>
      <c r="I2" s="2456"/>
      <c r="J2" s="2456"/>
      <c r="K2" s="2456"/>
    </row>
    <row r="3" spans="1:11" ht="16.5">
      <c r="A3" s="2294" t="s">
        <v>662</v>
      </c>
      <c r="B3" s="2296">
        <f>项目基本情况!D3</f>
        <v>45614</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318326</v>
      </c>
      <c r="C5" s="2294">
        <f ca="1">IF(B5=D14,结果表!H102,ROUND(B5*10000/$B$1,0))</f>
        <v>20698</v>
      </c>
      <c r="D5" s="2294">
        <f ca="1">ROUND(B5*10000/$B$2,0)</f>
        <v>75547</v>
      </c>
      <c r="E5" s="2455"/>
      <c r="F5" s="2456"/>
      <c r="G5" s="2456"/>
      <c r="H5" s="2456"/>
      <c r="I5" s="2456"/>
      <c r="J5" s="2456"/>
      <c r="K5" s="2456"/>
    </row>
    <row r="6" spans="1:11" ht="16.5">
      <c r="A6" s="2294" t="s">
        <v>656</v>
      </c>
      <c r="B6" s="2294">
        <f ca="1">SUM(G14:G23)</f>
        <v>318326</v>
      </c>
      <c r="C6" s="2294">
        <f ca="1">IF(B6=G14,结果表!H108,ROUND(B6*10000/$B$1,0))</f>
        <v>20698</v>
      </c>
      <c r="D6" s="2294">
        <f ca="1">ROUND(B6*10000/$B$2,0)</f>
        <v>75547</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39"/>
      <c r="C9" s="2455"/>
      <c r="D9" s="2455"/>
      <c r="E9" s="2455"/>
      <c r="F9" s="2456"/>
      <c r="G9" s="2456"/>
      <c r="H9" s="2456"/>
      <c r="I9" s="2456"/>
      <c r="J9" s="2456"/>
      <c r="K9" s="2456"/>
    </row>
    <row r="10" spans="1:11" ht="16.5">
      <c r="A10" s="2294" t="s">
        <v>654</v>
      </c>
      <c r="B10" s="2294">
        <f>IF(E10="",0,ROUND(B1*(E10*365/G10)/10000,0))</f>
        <v>0</v>
      </c>
      <c r="C10" s="2294" t="s">
        <v>3354</v>
      </c>
      <c r="D10" s="2294" t="s">
        <v>3355</v>
      </c>
      <c r="E10" s="3130"/>
      <c r="F10" s="3134" t="s">
        <v>3356</v>
      </c>
      <c r="G10" s="3131"/>
      <c r="H10" s="2456"/>
      <c r="I10" s="2456"/>
      <c r="J10" s="2456"/>
      <c r="K10" s="2456"/>
    </row>
    <row r="11" spans="1:11" ht="16.5">
      <c r="A11" s="2294" t="s">
        <v>670</v>
      </c>
      <c r="B11" s="1239"/>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结果表!B118</f>
        <v>153794.32</v>
      </c>
      <c r="C14" s="2300">
        <f>结果表!C118</f>
        <v>42136.27</v>
      </c>
      <c r="D14" s="2300">
        <f ca="1">结果表!H118</f>
        <v>318326</v>
      </c>
      <c r="E14" s="2300">
        <f ca="1">ROUND(D14*10000/B14,0)</f>
        <v>20698</v>
      </c>
      <c r="F14" s="2300">
        <f ca="1">ROUND(D14*10000/C14,0)</f>
        <v>75547</v>
      </c>
      <c r="G14" s="2300">
        <f ca="1">D14</f>
        <v>318326</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39"/>
      <c r="H15" s="1239"/>
      <c r="I15" s="2301"/>
      <c r="J15" s="2456"/>
      <c r="K15" s="2456"/>
    </row>
    <row r="16" spans="1:11" ht="16.5">
      <c r="A16" s="2299" t="s">
        <v>648</v>
      </c>
      <c r="B16" s="2301"/>
      <c r="C16" s="2301"/>
      <c r="D16" s="2301"/>
      <c r="E16" s="2300" t="e">
        <f t="shared" si="0"/>
        <v>#DIV/0!</v>
      </c>
      <c r="F16" s="2300" t="e">
        <f t="shared" si="1"/>
        <v>#DIV/0!</v>
      </c>
      <c r="G16" s="1239"/>
      <c r="H16" s="1239"/>
      <c r="I16" s="2301"/>
      <c r="J16" s="2456"/>
      <c r="K16" s="2456"/>
    </row>
    <row r="17" spans="1:11" ht="16.5">
      <c r="A17" s="2299" t="s">
        <v>647</v>
      </c>
      <c r="B17" s="2301"/>
      <c r="C17" s="2301"/>
      <c r="D17" s="2301"/>
      <c r="E17" s="2300" t="e">
        <f t="shared" si="0"/>
        <v>#DIV/0!</v>
      </c>
      <c r="F17" s="2300" t="e">
        <f t="shared" si="1"/>
        <v>#DIV/0!</v>
      </c>
      <c r="G17" s="1239"/>
      <c r="H17" s="1239"/>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39" t="e">
        <f t="shared" si="0"/>
        <v>#DIV/0!</v>
      </c>
      <c r="F23" s="1239"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5" zoomScaleNormal="100" zoomScaleSheetLayoutView="100" zoomScalePageLayoutView="80" workbookViewId="0">
      <selection activeCell="A128" sqref="A128:I128"/>
    </sheetView>
  </sheetViews>
  <sheetFormatPr defaultColWidth="12.625" defaultRowHeight="21.75" customHeight="1"/>
  <cols>
    <col min="1" max="2" width="12.625" style="1556"/>
    <col min="3" max="4" width="12.625" style="1556" customWidth="1"/>
    <col min="5" max="9" width="12.625" style="1556"/>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t="s">
        <v>3583</v>
      </c>
      <c r="D1" s="642"/>
      <c r="E1" s="642"/>
      <c r="F1" s="1616" t="s">
        <v>1263</v>
      </c>
      <c r="G1" s="1448" t="s">
        <v>3669</v>
      </c>
      <c r="H1" s="1616" t="str">
        <f>IF(G1="现房","——","估价对象范围")</f>
        <v>——</v>
      </c>
      <c r="I1" s="1617" t="s">
        <v>3670</v>
      </c>
    </row>
    <row r="2" spans="1:12" ht="21.75" customHeight="1" thickBot="1">
      <c r="A2" s="3316" t="str">
        <f>项目基本情况!S2</f>
        <v>北京市北京经济技术开发区兴海路1号院1号楼-3至6层商业、地下车库用房房地产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19" t="s">
        <v>1265</v>
      </c>
      <c r="B4" s="1620" t="s">
        <v>1266</v>
      </c>
      <c r="C4" s="1621" t="s">
        <v>3671</v>
      </c>
      <c r="D4" s="1621" t="s">
        <v>3585</v>
      </c>
      <c r="E4" s="3322" t="s">
        <v>1267</v>
      </c>
      <c r="F4" s="3323"/>
      <c r="G4" s="3323"/>
      <c r="H4" s="3323"/>
      <c r="I4" s="332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96" t="s">
        <v>1268</v>
      </c>
      <c r="B5" s="3283">
        <v>25</v>
      </c>
      <c r="C5" s="3299"/>
      <c r="D5" s="3319"/>
      <c r="E5" s="121" t="s">
        <v>1269</v>
      </c>
      <c r="F5" s="1622"/>
      <c r="G5" s="1622"/>
      <c r="H5" s="1622"/>
      <c r="I5" s="1276"/>
    </row>
    <row r="6" spans="1:12" ht="12.75">
      <c r="A6" s="3296"/>
      <c r="B6" s="3283"/>
      <c r="C6" s="3300"/>
      <c r="D6" s="3319"/>
      <c r="E6" s="121" t="s">
        <v>1270</v>
      </c>
      <c r="F6" s="1622"/>
      <c r="G6" s="1622"/>
      <c r="H6" s="1622"/>
      <c r="I6" s="1276"/>
    </row>
    <row r="7" spans="1:12" ht="12.75">
      <c r="A7" s="3296"/>
      <c r="B7" s="3283"/>
      <c r="C7" s="3301"/>
      <c r="D7" s="3319"/>
      <c r="E7" s="121" t="s">
        <v>1271</v>
      </c>
      <c r="F7" s="1622"/>
      <c r="G7" s="1622"/>
      <c r="H7" s="1622"/>
      <c r="I7" s="1276"/>
    </row>
    <row r="8" spans="1:12" ht="12.75">
      <c r="A8" s="3296" t="s">
        <v>1272</v>
      </c>
      <c r="B8" s="3283">
        <v>15</v>
      </c>
      <c r="C8" s="3299"/>
      <c r="D8" s="3319"/>
      <c r="E8" s="121" t="s">
        <v>1273</v>
      </c>
      <c r="F8" s="1622"/>
      <c r="G8" s="1622"/>
      <c r="H8" s="1622"/>
      <c r="I8" s="1276"/>
    </row>
    <row r="9" spans="1:12" ht="12.75">
      <c r="A9" s="3296"/>
      <c r="B9" s="3283"/>
      <c r="C9" s="3301"/>
      <c r="D9" s="3319"/>
      <c r="E9" s="121" t="s">
        <v>1274</v>
      </c>
      <c r="F9" s="1622"/>
      <c r="G9" s="1622"/>
      <c r="H9" s="1622"/>
      <c r="I9" s="1276"/>
    </row>
    <row r="10" spans="1:12" ht="12.75">
      <c r="A10" s="3296" t="s">
        <v>1275</v>
      </c>
      <c r="B10" s="3283">
        <v>15</v>
      </c>
      <c r="C10" s="3299"/>
      <c r="D10" s="3319"/>
      <c r="E10" s="121" t="s">
        <v>1276</v>
      </c>
      <c r="F10" s="1622"/>
      <c r="G10" s="1622"/>
      <c r="H10" s="1622"/>
      <c r="I10" s="1276"/>
    </row>
    <row r="11" spans="1:12" ht="12.75">
      <c r="A11" s="3296"/>
      <c r="B11" s="3283"/>
      <c r="C11" s="3301"/>
      <c r="D11" s="3319"/>
      <c r="E11" s="121" t="s">
        <v>1277</v>
      </c>
      <c r="F11" s="1622"/>
      <c r="G11" s="1622"/>
      <c r="H11" s="1622"/>
      <c r="I11" s="1276"/>
    </row>
    <row r="12" spans="1:12" ht="12.75">
      <c r="A12" s="3296" t="s">
        <v>1278</v>
      </c>
      <c r="B12" s="3283">
        <v>15</v>
      </c>
      <c r="C12" s="3299"/>
      <c r="D12" s="3319"/>
      <c r="E12" s="121" t="s">
        <v>1279</v>
      </c>
      <c r="F12" s="1622"/>
      <c r="G12" s="1622"/>
      <c r="H12" s="1622"/>
      <c r="I12" s="1276"/>
    </row>
    <row r="13" spans="1:12" ht="12.75">
      <c r="A13" s="3296"/>
      <c r="B13" s="3283"/>
      <c r="C13" s="3301"/>
      <c r="D13" s="3319"/>
      <c r="E13" s="121" t="s">
        <v>1280</v>
      </c>
      <c r="F13" s="1622"/>
      <c r="G13" s="1622"/>
      <c r="H13" s="1622"/>
      <c r="I13" s="1276"/>
    </row>
    <row r="14" spans="1:12" ht="12.75">
      <c r="A14" s="3296" t="s">
        <v>1281</v>
      </c>
      <c r="B14" s="3283">
        <v>30</v>
      </c>
      <c r="C14" s="3299">
        <v>5</v>
      </c>
      <c r="D14" s="3319">
        <v>5</v>
      </c>
      <c r="E14" s="121" t="s">
        <v>1282</v>
      </c>
      <c r="F14" s="1622"/>
      <c r="G14" s="1622"/>
      <c r="H14" s="1622"/>
      <c r="I14" s="1276"/>
    </row>
    <row r="15" spans="1:12" ht="12.75">
      <c r="A15" s="3296"/>
      <c r="B15" s="3283"/>
      <c r="C15" s="3300"/>
      <c r="D15" s="3319"/>
      <c r="E15" s="121" t="s">
        <v>1283</v>
      </c>
      <c r="F15" s="1622"/>
      <c r="G15" s="1622"/>
      <c r="H15" s="1622"/>
      <c r="I15" s="1276"/>
    </row>
    <row r="16" spans="1:12" ht="12.75">
      <c r="A16" s="3296"/>
      <c r="B16" s="3283"/>
      <c r="C16" s="3301"/>
      <c r="D16" s="3319"/>
      <c r="E16" s="121" t="s">
        <v>1284</v>
      </c>
      <c r="F16" s="1622"/>
      <c r="G16" s="1622"/>
      <c r="H16" s="1622"/>
      <c r="I16" s="1276"/>
    </row>
    <row r="17" spans="1:36" ht="15">
      <c r="A17" s="1623" t="s">
        <v>1285</v>
      </c>
      <c r="B17" s="54"/>
      <c r="C17" s="122">
        <f>SUM(C5:C16)</f>
        <v>5</v>
      </c>
      <c r="D17" s="122">
        <f>SUM(D5:D16)</f>
        <v>5</v>
      </c>
      <c r="E17" s="119"/>
      <c r="F17" s="119"/>
      <c r="G17" s="119"/>
      <c r="H17" s="119"/>
      <c r="I17" s="119"/>
      <c r="K17" s="292"/>
      <c r="L17" s="292" t="s">
        <v>1286</v>
      </c>
      <c r="M17" s="292" t="s">
        <v>1287</v>
      </c>
    </row>
    <row r="18" spans="1:36" ht="31.9" customHeight="1" thickBot="1">
      <c r="A18" s="1624" t="s">
        <v>1288</v>
      </c>
      <c r="B18" s="1537"/>
      <c r="C18" s="123">
        <f>ROUND(C17/SUM(C17:D17),2)</f>
        <v>0.5</v>
      </c>
      <c r="D18" s="123">
        <f>1-C18</f>
        <v>0.5</v>
      </c>
      <c r="E18" s="3306" t="s">
        <v>2131</v>
      </c>
      <c r="F18" s="3307"/>
      <c r="G18" s="3307"/>
      <c r="H18" s="3307"/>
      <c r="I18" s="3307"/>
      <c r="K18" s="292" t="s">
        <v>1289</v>
      </c>
      <c r="L18" s="292">
        <f>IF(C1="",'数据-汇总表'!E3,SUMIF(项目类型,C1,'数据-汇总表'!E17:E26)+SUMIF(项目类型,C1,'数据-汇总表'!I17:I26))</f>
        <v>154306.03</v>
      </c>
      <c r="M18" s="292">
        <f>IF(C1="",'数据-汇总表'!E3,SUMIF(项目类型,C1,'数据-汇总表'!E17:E26))</f>
        <v>153794.32</v>
      </c>
    </row>
    <row r="19" spans="1:36" ht="15">
      <c r="A19" s="1625" t="s">
        <v>1290</v>
      </c>
      <c r="B19" s="1626" t="s">
        <v>1291</v>
      </c>
      <c r="C19" s="124">
        <f ca="1">SUMIF(INDIRECT("'"&amp;C4&amp;"'"&amp;"!A:A"),结果表!B19,INDIRECT("'"&amp;C4&amp;"'"&amp;"!B:B"))</f>
        <v>382623</v>
      </c>
      <c r="D19" s="125">
        <f ca="1">SUMIF(INDIRECT("'"&amp;D4&amp;"'"&amp;"!A:A"),结果表!B19,INDIRECT("'"&amp;D4&amp;"'"&amp;"!B:B"))</f>
        <v>254029</v>
      </c>
      <c r="E19" s="1625" t="s">
        <v>1292</v>
      </c>
      <c r="F19" s="1626" t="s">
        <v>1291</v>
      </c>
      <c r="G19" s="126">
        <f ca="1">ROUND(C19*$C$18+D19*$D$18,0)</f>
        <v>318326</v>
      </c>
      <c r="H19" s="1627" t="s">
        <v>1293</v>
      </c>
      <c r="I19" s="119"/>
      <c r="K19" s="292" t="s">
        <v>1294</v>
      </c>
      <c r="L19" s="292">
        <f>IF(C1="",'数据-汇总表'!D3,SUMIF(项目类型,C1,'数据-汇总表'!D17:D26)+SUMIF(项目类型,C1,'数据-汇总表'!H17:H27))</f>
        <v>42276.469999999994</v>
      </c>
      <c r="M19" s="292">
        <f>IF(C1="",'数据-汇总表'!D3,SUMIF(项目类型,C1,'数据-汇总表'!D17:D26))</f>
        <v>42136.27</v>
      </c>
    </row>
    <row r="20" spans="1:36" ht="15">
      <c r="A20" s="1628"/>
      <c r="B20" s="43" t="s">
        <v>1295</v>
      </c>
      <c r="C20" s="127">
        <f ca="1">SUMIF(INDIRECT("'"&amp;C4&amp;"'"&amp;"!A:A"),结果表!B20,INDIRECT("'"&amp;C4&amp;"'"&amp;"!B:B"))</f>
        <v>24879</v>
      </c>
      <c r="D20" s="128">
        <f ca="1">SUMIF(INDIRECT("'"&amp;D4&amp;"'"&amp;"!A:A"),结果表!B20,INDIRECT("'"&amp;D4&amp;"'"&amp;"!B:B"))</f>
        <v>16517</v>
      </c>
      <c r="E20" s="1628"/>
      <c r="F20" s="43" t="s">
        <v>1295</v>
      </c>
      <c r="G20" s="129">
        <f ca="1">ROUND(C20*$C$18+D20*$D$18,0)</f>
        <v>20698</v>
      </c>
      <c r="H20" s="756" t="s">
        <v>1296</v>
      </c>
      <c r="I20" s="119"/>
    </row>
    <row r="21" spans="1:36" ht="15" customHeight="1" thickBot="1">
      <c r="A21" s="447"/>
      <c r="B21" s="93" t="s">
        <v>1297</v>
      </c>
      <c r="C21" s="674">
        <f ca="1">ROUND(C19*10000/L19,0)</f>
        <v>90505</v>
      </c>
      <c r="D21" s="675">
        <f ca="1">ROUND(D19*10000/L19,0)</f>
        <v>60088</v>
      </c>
      <c r="E21" s="447"/>
      <c r="F21" s="93" t="s">
        <v>1297</v>
      </c>
      <c r="G21" s="130">
        <f ca="1">ROUND(G19*10000/L19,0)</f>
        <v>75296</v>
      </c>
      <c r="H21" s="1629" t="s">
        <v>1296</v>
      </c>
      <c r="I21" s="119"/>
    </row>
    <row r="22" spans="1:36" ht="15" thickBot="1">
      <c r="A22" s="1559" t="s">
        <v>1298</v>
      </c>
      <c r="B22" s="1630"/>
      <c r="C22" s="1631"/>
      <c r="D22" s="676">
        <f ca="1">IF(C19&lt;D19,D19/C19-1,C19/D19-1)</f>
        <v>0.50621779403139011</v>
      </c>
      <c r="E22" s="119"/>
      <c r="F22" s="119"/>
      <c r="G22" s="119"/>
      <c r="H22" s="119"/>
      <c r="I22" s="119"/>
    </row>
    <row r="23" spans="1:36" ht="13.5" thickBot="1">
      <c r="A23" s="642"/>
      <c r="B23" s="642"/>
      <c r="C23" s="642"/>
      <c r="D23" s="642"/>
      <c r="E23" s="119"/>
      <c r="F23" s="119"/>
      <c r="G23" s="119"/>
      <c r="H23" s="119"/>
      <c r="I23" s="119"/>
    </row>
    <row r="24" spans="1:36" ht="14.25">
      <c r="A24" s="3290" t="s">
        <v>1299</v>
      </c>
      <c r="B24" s="1626" t="s">
        <v>1291</v>
      </c>
      <c r="C24" s="126">
        <f>IF(B30=0,0,D30)</f>
        <v>0</v>
      </c>
      <c r="D24" s="1632"/>
      <c r="E24" s="119"/>
      <c r="F24" s="119"/>
      <c r="G24" s="119"/>
      <c r="H24" s="119"/>
      <c r="I24" s="119"/>
    </row>
    <row r="25" spans="1:36" ht="14.25">
      <c r="A25" s="3291"/>
      <c r="B25" s="43" t="s">
        <v>1295</v>
      </c>
      <c r="C25" s="131">
        <f>IF(B30=0,0,C30)</f>
        <v>0</v>
      </c>
      <c r="D25" s="1633"/>
      <c r="E25" s="119"/>
      <c r="F25" s="119"/>
      <c r="G25" s="119"/>
      <c r="H25" s="119"/>
      <c r="I25" s="119"/>
    </row>
    <row r="26" spans="1:36" ht="13.5" customHeight="1">
      <c r="A26" s="1634" t="s">
        <v>1300</v>
      </c>
      <c r="B26" s="132" t="s">
        <v>1301</v>
      </c>
      <c r="C26" s="132" t="s">
        <v>1302</v>
      </c>
      <c r="D26" s="133" t="s">
        <v>1303</v>
      </c>
      <c r="E26" s="119"/>
      <c r="F26" s="119"/>
      <c r="G26" s="119"/>
      <c r="H26" s="119"/>
      <c r="I26" s="119"/>
    </row>
    <row r="27" spans="1:36" ht="14.25">
      <c r="A27" s="1634"/>
      <c r="B27" s="132">
        <v>0</v>
      </c>
      <c r="C27" s="132">
        <v>0</v>
      </c>
      <c r="D27" s="133">
        <f>ROUND(C27*B27/10000,0)</f>
        <v>0</v>
      </c>
      <c r="E27" s="119"/>
      <c r="F27" s="119"/>
      <c r="G27" s="119"/>
      <c r="H27" s="119"/>
      <c r="I27" s="119"/>
    </row>
    <row r="28" spans="1:36" ht="14.25">
      <c r="A28" s="1634"/>
      <c r="B28" s="132"/>
      <c r="C28" s="132"/>
      <c r="D28" s="133"/>
      <c r="E28" s="119"/>
      <c r="F28" s="119"/>
      <c r="G28" s="119"/>
      <c r="H28" s="119"/>
      <c r="I28" s="119"/>
    </row>
    <row r="29" spans="1:36" ht="14.25">
      <c r="A29" s="1634"/>
      <c r="B29" s="132"/>
      <c r="C29" s="132"/>
      <c r="D29" s="133"/>
      <c r="E29" s="119"/>
      <c r="F29" s="119"/>
      <c r="G29" s="119"/>
      <c r="H29" s="119"/>
      <c r="I29" s="119"/>
    </row>
    <row r="30" spans="1:36" ht="15" thickBot="1">
      <c r="A30" s="132" t="s">
        <v>1304</v>
      </c>
      <c r="B30" s="132"/>
      <c r="C30" s="132"/>
      <c r="D30" s="132"/>
      <c r="E30" s="2122" t="s">
        <v>2132</v>
      </c>
      <c r="F30" s="119"/>
      <c r="G30" s="119"/>
      <c r="H30" s="119"/>
      <c r="I30" s="119"/>
    </row>
    <row r="31" spans="1:36" s="2128" customFormat="1" ht="26.45" customHeight="1" thickTop="1" thickBot="1">
      <c r="A31" s="2123"/>
      <c r="B31" s="2124"/>
      <c r="C31" s="2124"/>
      <c r="D31" s="2124"/>
      <c r="E31" s="2124"/>
      <c r="F31" s="2124"/>
      <c r="G31" s="2124"/>
      <c r="H31" s="2124"/>
      <c r="I31" s="2125" t="s">
        <v>2133</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4">
        <f ca="1">IF(D32="总价",G19-C24,G20-C25)</f>
        <v>318326</v>
      </c>
      <c r="D32" s="1636" t="s">
        <v>3673</v>
      </c>
      <c r="E32" s="119"/>
      <c r="F32" s="119"/>
      <c r="G32" s="119"/>
      <c r="H32" s="119"/>
      <c r="I32" s="119"/>
    </row>
    <row r="33" spans="1:15" ht="15">
      <c r="A33" s="736" t="s">
        <v>1306</v>
      </c>
      <c r="B33" s="121"/>
      <c r="C33" s="1637" t="s">
        <v>3674</v>
      </c>
      <c r="D33" s="1638" t="s">
        <v>3671</v>
      </c>
      <c r="E33" s="1639" t="s">
        <v>1307</v>
      </c>
      <c r="F33" s="1640" t="str">
        <f>IF(D32="楼面单价","取值（单价）","取值（总价）")</f>
        <v>取值（总价）</v>
      </c>
      <c r="G33" s="119"/>
      <c r="H33" s="119"/>
      <c r="I33" s="119"/>
    </row>
    <row r="34" spans="1:15" ht="15">
      <c r="A34" s="1641"/>
      <c r="B34" s="1642" t="s">
        <v>1308</v>
      </c>
      <c r="C34" s="138">
        <f ca="1">IF(C33="自定义",F34,C32-C35)</f>
        <v>188767</v>
      </c>
      <c r="D34" s="804">
        <f ca="1">IF(C33="自定义",ROUND(C34/C32,3),IF(C33="收益比率",SUMIF(INDIRECT("'"&amp;D33&amp;"'"&amp;"!b:b"),"土地收益比率",INDIRECT("'"&amp;D33&amp;"'"&amp;"!c:c")),SUMIF(INDIRECT("'"&amp;D33&amp;"'"&amp;"!b:b"),"土地成本比率",INDIRECT("'"&amp;D33&amp;"'"&amp;"!c:c"))))</f>
        <v>0.59299999999999997</v>
      </c>
      <c r="E34" s="1643" t="s">
        <v>1309</v>
      </c>
      <c r="F34" s="1238"/>
      <c r="G34" s="119"/>
      <c r="H34" s="119"/>
      <c r="I34" s="119"/>
    </row>
    <row r="35" spans="1:15" ht="15.75" thickBot="1">
      <c r="A35" s="1644"/>
      <c r="B35" s="1645" t="s">
        <v>1310</v>
      </c>
      <c r="C35" s="1086">
        <f ca="1">IF(C33="自定义",F35,ROUND(C32*D35,0))</f>
        <v>129559</v>
      </c>
      <c r="D35" s="1087">
        <f ca="1">IF(C33="自定义",ROUND(C35/C32,3),IF(C33="收益比率",SUMIF(INDIRECT("'"&amp;D33&amp;"'"&amp;"!b:b"),"建筑物收益比率",INDIRECT("'"&amp;D33&amp;"'"&amp;"!c:c")),SUMIF(INDIRECT("'"&amp;D33&amp;"'"&amp;"!b:b"),"建筑物成本比率",INDIRECT("'"&amp;D33&amp;"'"&amp;"!c:c"))))</f>
        <v>0.40699999999999997</v>
      </c>
      <c r="E35" s="1646" t="s">
        <v>1311</v>
      </c>
      <c r="F35" s="144"/>
      <c r="G35" s="119"/>
      <c r="H35" s="119"/>
      <c r="I35" s="119"/>
    </row>
    <row r="36" spans="1:15" ht="15.75" thickBot="1">
      <c r="A36" s="3310" t="s">
        <v>1312</v>
      </c>
      <c r="B36" s="1647" t="s">
        <v>1313</v>
      </c>
      <c r="C36" s="135"/>
      <c r="D36" s="1648"/>
      <c r="E36" s="1562"/>
      <c r="F36" s="1649"/>
      <c r="G36" s="119"/>
      <c r="H36" s="119"/>
      <c r="I36" s="119"/>
    </row>
    <row r="37" spans="1:15" ht="15.75" thickBot="1">
      <c r="A37" s="3311"/>
      <c r="B37" s="1550" t="s">
        <v>1314</v>
      </c>
      <c r="C37" s="137"/>
      <c r="D37" s="1067"/>
      <c r="E37" s="1067"/>
      <c r="F37" s="1649"/>
      <c r="G37" s="119"/>
      <c r="H37" s="119"/>
      <c r="I37" s="119"/>
    </row>
    <row r="38" spans="1:15" ht="15.75" thickBot="1">
      <c r="A38" s="3312"/>
      <c r="B38" s="1650" t="s">
        <v>1315</v>
      </c>
      <c r="C38" s="637"/>
      <c r="D38" s="1651" t="s">
        <v>1316</v>
      </c>
      <c r="E38" s="1067"/>
      <c r="F38" s="1649"/>
      <c r="G38" s="119"/>
      <c r="H38" s="119"/>
      <c r="I38" s="119"/>
    </row>
    <row r="39" spans="1:15" ht="15">
      <c r="A39" s="1628" t="s">
        <v>1317</v>
      </c>
      <c r="B39" s="1652" t="s">
        <v>1318</v>
      </c>
      <c r="C39" s="1653" t="s">
        <v>1319</v>
      </c>
      <c r="D39" s="1653" t="s">
        <v>1320</v>
      </c>
      <c r="E39" s="1654" t="s">
        <v>1321</v>
      </c>
      <c r="F39" s="1649"/>
      <c r="G39" s="119"/>
      <c r="H39" s="119"/>
      <c r="I39" s="119"/>
    </row>
    <row r="40" spans="1:15" ht="14.25">
      <c r="A40" s="1655" t="s">
        <v>1322</v>
      </c>
      <c r="B40" s="139"/>
      <c r="C40" s="140"/>
      <c r="D40" s="140"/>
      <c r="E40" s="141"/>
      <c r="F40" s="1649"/>
      <c r="G40" s="119"/>
      <c r="H40" s="119"/>
      <c r="I40" s="119"/>
    </row>
    <row r="41" spans="1:15" ht="14.25">
      <c r="A41" s="1655" t="s">
        <v>1323</v>
      </c>
      <c r="B41" s="139"/>
      <c r="C41" s="140"/>
      <c r="D41" s="140"/>
      <c r="E41" s="141"/>
      <c r="F41" s="1649"/>
      <c r="G41" s="119"/>
      <c r="H41" s="119"/>
      <c r="I41" s="119"/>
    </row>
    <row r="42" spans="1:15" ht="15" thickBot="1">
      <c r="A42" s="1656"/>
      <c r="B42" s="142"/>
      <c r="C42" s="143"/>
      <c r="D42" s="143"/>
      <c r="E42" s="144"/>
      <c r="F42" s="1649"/>
      <c r="G42" s="119"/>
      <c r="H42" s="119"/>
      <c r="I42" s="119"/>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287" t="s">
        <v>1326</v>
      </c>
      <c r="B45" s="3288"/>
      <c r="C45" s="3289"/>
      <c r="D45" s="145">
        <f ca="1">ROUND(H101*F45,0)</f>
        <v>318326</v>
      </c>
      <c r="E45" s="146" t="s">
        <v>1327</v>
      </c>
      <c r="F45" s="147">
        <v>1</v>
      </c>
      <c r="G45" s="148" t="s">
        <v>1328</v>
      </c>
      <c r="H45" s="119"/>
      <c r="I45" s="119"/>
      <c r="J45" s="3365" t="s">
        <v>1329</v>
      </c>
      <c r="K45" s="3365"/>
      <c r="L45" s="3365"/>
      <c r="M45" s="3365"/>
      <c r="N45" s="3365"/>
      <c r="O45" s="3365"/>
    </row>
    <row r="46" spans="1:15" ht="14.25" customHeight="1">
      <c r="A46" s="3284" t="s">
        <v>1330</v>
      </c>
      <c r="B46" s="3285"/>
      <c r="C46" s="3285"/>
      <c r="D46" s="3285"/>
      <c r="E46" s="3285"/>
      <c r="F46" s="3285"/>
      <c r="G46" s="3286"/>
      <c r="H46" s="1663"/>
      <c r="I46" s="149"/>
      <c r="J46" s="2304">
        <v>1</v>
      </c>
      <c r="K46" s="3346" t="s">
        <v>1331</v>
      </c>
      <c r="L46" s="3346"/>
      <c r="M46" s="3366"/>
      <c r="N46" s="3366"/>
      <c r="O46" s="3366"/>
    </row>
    <row r="47" spans="1:15" ht="12" customHeight="1">
      <c r="A47" s="150" t="s">
        <v>1332</v>
      </c>
      <c r="B47" s="151"/>
      <c r="C47" s="152"/>
      <c r="D47" s="1020" t="s">
        <v>1333</v>
      </c>
      <c r="E47" s="292" t="s">
        <v>1334</v>
      </c>
      <c r="F47" s="153" t="s">
        <v>1335</v>
      </c>
      <c r="G47" s="2327" t="s">
        <v>1336</v>
      </c>
      <c r="H47" s="2328"/>
      <c r="I47" s="149"/>
      <c r="J47" s="2304">
        <v>2</v>
      </c>
      <c r="K47" s="3346" t="s">
        <v>1337</v>
      </c>
      <c r="L47" s="3346"/>
      <c r="M47" s="3367">
        <f>'数据-取费表'!B2</f>
        <v>45614</v>
      </c>
      <c r="N47" s="3367"/>
      <c r="O47" s="3367"/>
    </row>
    <row r="48" spans="1:15" ht="25.5">
      <c r="A48" s="3315" t="s">
        <v>1338</v>
      </c>
      <c r="B48" s="3298"/>
      <c r="C48" s="3298"/>
      <c r="D48" s="12" t="b">
        <f>IF(H48="情况1",0,IF(H48="情况2",D52,IF(H48="情况3",D53,IF(H48="情况4",D54))))</f>
        <v>0</v>
      </c>
      <c r="E48" s="1251" t="str">
        <f>IF(H48="情况4","(销售额-原购置价)×税（费）率","销售额×税（费）率")</f>
        <v>销售额×税（费）率</v>
      </c>
      <c r="F48" s="2329">
        <f>IF(H48="情况1","免征",'数据-取费表'!B41)</f>
        <v>5.5000000000000007E-2</v>
      </c>
      <c r="G48" s="2330" t="s">
        <v>1339</v>
      </c>
      <c r="H48" s="2331"/>
      <c r="I48" s="1663"/>
      <c r="J48" s="2304">
        <v>3</v>
      </c>
      <c r="K48" s="3346" t="s">
        <v>1340</v>
      </c>
      <c r="L48" s="3346"/>
      <c r="M48" s="3368">
        <f ca="1">H101</f>
        <v>318326</v>
      </c>
      <c r="N48" s="3368"/>
      <c r="O48" s="3368"/>
    </row>
    <row r="49" spans="1:35" ht="25.5" customHeight="1">
      <c r="A49" s="2147" t="s">
        <v>1341</v>
      </c>
      <c r="B49" s="3282" t="s">
        <v>1342</v>
      </c>
      <c r="C49" s="3282"/>
      <c r="D49" s="1473">
        <v>0</v>
      </c>
      <c r="E49" s="314" t="s">
        <v>1343</v>
      </c>
      <c r="F49" s="2228" t="s">
        <v>28</v>
      </c>
      <c r="G49" s="3352"/>
      <c r="H49" s="2129" t="s">
        <v>2134</v>
      </c>
      <c r="I49" s="2130"/>
      <c r="J49" s="2304">
        <v>4</v>
      </c>
      <c r="K49" s="3346" t="str">
        <f>IF(项目基本情况!E8="房地产抵押价值","房地产抵押价值","抵押担保权已注销时的房地产抵押价值")</f>
        <v>房地产抵押价值</v>
      </c>
      <c r="L49" s="3346"/>
      <c r="M49" s="3368">
        <f ca="1">IF(项目基本情况!E8="房地产抵押价值",H107,H109)</f>
        <v>318326</v>
      </c>
      <c r="N49" s="3368"/>
      <c r="O49" s="3368"/>
    </row>
    <row r="50" spans="1:35" ht="25.5" customHeight="1">
      <c r="A50" s="2332"/>
      <c r="B50" s="3282" t="s">
        <v>1344</v>
      </c>
      <c r="C50" s="3282"/>
      <c r="D50" s="2184"/>
      <c r="E50" s="321"/>
      <c r="F50" s="2228"/>
      <c r="G50" s="3353"/>
      <c r="H50" s="2131" t="s">
        <v>2135</v>
      </c>
      <c r="I50" s="2130"/>
      <c r="J50" s="3365" t="s">
        <v>1345</v>
      </c>
      <c r="K50" s="3365"/>
      <c r="L50" s="3365"/>
      <c r="M50" s="3365"/>
      <c r="N50" s="3365"/>
      <c r="O50" s="3365"/>
    </row>
    <row r="51" spans="1:35" ht="20.45" customHeight="1">
      <c r="A51" s="2333"/>
      <c r="B51" s="3282" t="s">
        <v>1346</v>
      </c>
      <c r="C51" s="3282"/>
      <c r="D51" s="1020"/>
      <c r="E51" s="317"/>
      <c r="F51" s="2228"/>
      <c r="G51" s="3354"/>
      <c r="H51" s="2131" t="s">
        <v>2136</v>
      </c>
      <c r="I51" s="2130"/>
      <c r="J51" s="2305" t="s">
        <v>1347</v>
      </c>
      <c r="K51" s="3346" t="s">
        <v>1348</v>
      </c>
      <c r="L51" s="3346"/>
      <c r="M51" s="2305" t="s">
        <v>1349</v>
      </c>
      <c r="N51" s="2305" t="s">
        <v>1350</v>
      </c>
      <c r="O51" s="2305" t="s">
        <v>1351</v>
      </c>
    </row>
    <row r="52" spans="1:35" ht="24" customHeight="1">
      <c r="A52" s="2148" t="s">
        <v>1352</v>
      </c>
      <c r="B52" s="3282" t="s">
        <v>1353</v>
      </c>
      <c r="C52" s="3282"/>
      <c r="D52" s="1020">
        <f ca="1">ROUND(D45*'数据-取费表'!B41/(1+'数据-取费表'!C42),0)</f>
        <v>16674</v>
      </c>
      <c r="E52" s="1251" t="s">
        <v>1354</v>
      </c>
      <c r="F52" s="2334">
        <f>'数据-取费表'!B41</f>
        <v>5.5000000000000007E-2</v>
      </c>
      <c r="G52" s="2335"/>
      <c r="H52" s="2325"/>
      <c r="I52" s="1664"/>
      <c r="J52" s="2304">
        <v>1</v>
      </c>
      <c r="K52" s="3347" t="s">
        <v>1355</v>
      </c>
      <c r="L52" s="3347"/>
      <c r="M52" s="2306" t="b">
        <f>D48</f>
        <v>0</v>
      </c>
      <c r="N52" s="2304" t="str">
        <f>E48</f>
        <v>销售额×税（费）率</v>
      </c>
      <c r="O52" s="2307">
        <f>F48</f>
        <v>5.5000000000000007E-2</v>
      </c>
    </row>
    <row r="53" spans="1:35" ht="12" customHeight="1">
      <c r="A53" s="2148" t="s">
        <v>1356</v>
      </c>
      <c r="B53" s="3308" t="s">
        <v>2287</v>
      </c>
      <c r="C53" s="3309"/>
      <c r="D53" s="1020">
        <f ca="1">ROUND(D45*'数据-取费表'!B41/(1+'数据-取费表'!C42),0)</f>
        <v>16674</v>
      </c>
      <c r="E53" s="1251" t="s">
        <v>1354</v>
      </c>
      <c r="F53" s="2334">
        <f>'数据-取费表'!B41</f>
        <v>5.5000000000000007E-2</v>
      </c>
      <c r="G53" s="2335"/>
      <c r="H53" s="2325"/>
      <c r="I53" s="1664"/>
      <c r="J53" s="2304">
        <v>2</v>
      </c>
      <c r="K53" s="3347" t="s">
        <v>1357</v>
      </c>
      <c r="L53" s="3347"/>
      <c r="M53" s="2306">
        <f t="shared" ref="M53:O54" ca="1" si="0">D55</f>
        <v>159</v>
      </c>
      <c r="N53" s="2304" t="str">
        <f t="shared" si="0"/>
        <v>销售额×税（费）率</v>
      </c>
      <c r="O53" s="2307" t="str">
        <f t="shared" si="0"/>
        <v>免征</v>
      </c>
    </row>
    <row r="54" spans="1:35" ht="12" customHeight="1">
      <c r="A54" s="2148" t="s">
        <v>1358</v>
      </c>
      <c r="B54" s="3308" t="s">
        <v>2288</v>
      </c>
      <c r="C54" s="3309"/>
      <c r="D54" s="1020">
        <f ca="1">C68</f>
        <v>16674</v>
      </c>
      <c r="E54" s="317" t="s">
        <v>1359</v>
      </c>
      <c r="F54" s="2334">
        <f>'数据-取费表'!B41</f>
        <v>5.5000000000000007E-2</v>
      </c>
      <c r="G54" s="2335"/>
      <c r="H54" s="2336"/>
      <c r="I54" s="1664"/>
      <c r="J54" s="2304">
        <v>3</v>
      </c>
      <c r="K54" s="3347" t="s">
        <v>1360</v>
      </c>
      <c r="L54" s="3347"/>
      <c r="M54" s="2306">
        <f t="shared" ca="1" si="0"/>
        <v>180461</v>
      </c>
      <c r="N54" s="2304" t="str">
        <f t="shared" si="0"/>
        <v>增值额×税（费）率</v>
      </c>
      <c r="O54" s="2308" t="str">
        <f t="shared" si="0"/>
        <v>免征</v>
      </c>
    </row>
    <row r="55" spans="1:35" ht="24" customHeight="1">
      <c r="A55" s="3297" t="s">
        <v>1361</v>
      </c>
      <c r="B55" s="3298"/>
      <c r="C55" s="3298"/>
      <c r="D55" s="12">
        <f ca="1">IF(H55="个人住宅",0,ROUND(D45*I55,0))</f>
        <v>159</v>
      </c>
      <c r="E55" s="1251" t="s">
        <v>1362</v>
      </c>
      <c r="F55" s="2334" t="str">
        <f>IF(H55="正常",I55,"免征")</f>
        <v>免征</v>
      </c>
      <c r="G55" s="2335"/>
      <c r="H55" s="2331"/>
      <c r="I55" s="155">
        <f>'数据-取费表'!B49</f>
        <v>5.0000000000000001E-4</v>
      </c>
      <c r="J55" s="2304">
        <f>IF(H59="非个人房产","",4)</f>
        <v>4</v>
      </c>
      <c r="K55" s="3347" t="str">
        <f>IF(H59="非个人房产","——","个人所得税")</f>
        <v>个人所得税</v>
      </c>
      <c r="L55" s="3347"/>
      <c r="M55" s="2309">
        <f ca="1">D59</f>
        <v>3032</v>
      </c>
      <c r="N55" s="1878" t="str">
        <f>E59</f>
        <v>差额计税</v>
      </c>
      <c r="O55" s="2310">
        <f>F59</f>
        <v>0.01</v>
      </c>
    </row>
    <row r="56" spans="1:35" ht="24.75">
      <c r="A56" s="3297" t="s">
        <v>1363</v>
      </c>
      <c r="B56" s="3298"/>
      <c r="C56" s="3298"/>
      <c r="D56" s="12">
        <f ca="1">IF(H56="个人住宅",D57,D58)</f>
        <v>180461</v>
      </c>
      <c r="E56" s="1251" t="s">
        <v>1364</v>
      </c>
      <c r="F56" s="2334" t="str">
        <f>IF(H56="正常",F58,"免征")</f>
        <v>免征</v>
      </c>
      <c r="G56" s="2337" t="s">
        <v>1365</v>
      </c>
      <c r="H56" s="2338"/>
      <c r="I56" s="1665"/>
      <c r="J56" s="2304" t="str">
        <f>IF(项目基本情况!K6="上海银行",IF(J55="",4,J55+1),"")</f>
        <v/>
      </c>
      <c r="K56" s="3370" t="str">
        <f>IF(项目基本情况!K6="上海银行","其他处置费用","")</f>
        <v/>
      </c>
      <c r="L56" s="3371"/>
      <c r="M56" s="2306" t="str">
        <f>IF(项目基本情况!K6="上海银行",M69,"")</f>
        <v/>
      </c>
      <c r="N56" s="3370" t="str">
        <f>IF(项目基本情况!K6="上海银行","包含处置中涉及的律师、诉讼、拍卖、评估等费用","")</f>
        <v/>
      </c>
      <c r="O56" s="3373"/>
    </row>
    <row r="57" spans="1:35" ht="12.75">
      <c r="A57" s="2148" t="s">
        <v>1341</v>
      </c>
      <c r="B57" s="3308" t="s">
        <v>1366</v>
      </c>
      <c r="C57" s="3309"/>
      <c r="D57" s="1473">
        <v>0</v>
      </c>
      <c r="E57" s="314" t="s">
        <v>1343</v>
      </c>
      <c r="F57" s="292"/>
      <c r="G57" s="2335"/>
      <c r="H57" s="2339"/>
      <c r="I57" s="1665"/>
      <c r="J57" s="3347">
        <f>IF(AND(J55="",J56=""),4,IF(项目基本情况!K6="上海银行",结果表!J56+1,结果表!J55+1))</f>
        <v>5</v>
      </c>
      <c r="K57" s="3347" t="s">
        <v>1367</v>
      </c>
      <c r="L57" s="2311" t="s">
        <v>1368</v>
      </c>
      <c r="M57" s="2312"/>
      <c r="N57" s="2313">
        <f ca="1">SUMIF(M52:M56,"&lt;9e307")</f>
        <v>183652</v>
      </c>
      <c r="O57" s="2314"/>
      <c r="P57" s="2458">
        <f ca="1">N57/M49</f>
        <v>0.57693056803402798</v>
      </c>
    </row>
    <row r="58" spans="1:35" ht="24.75">
      <c r="A58" s="2148" t="s">
        <v>1352</v>
      </c>
      <c r="B58" s="3308" t="s">
        <v>1369</v>
      </c>
      <c r="C58" s="3282"/>
      <c r="D58" s="12">
        <f ca="1">IF(H58="转让取得",C81,C97)</f>
        <v>180461</v>
      </c>
      <c r="E58" s="1251" t="s">
        <v>1364</v>
      </c>
      <c r="F58" s="292" t="s">
        <v>28</v>
      </c>
      <c r="G58" s="2335"/>
      <c r="H58" s="2338"/>
      <c r="I58" s="1665"/>
      <c r="J58" s="3347"/>
      <c r="K58" s="3347"/>
      <c r="L58" s="2311" t="s">
        <v>1370</v>
      </c>
      <c r="M58" s="2315"/>
      <c r="N58" s="2316" t="str">
        <f ca="1">NUMBERSTRING(INT(N57*10000),2)&amp;"元整"</f>
        <v>壹拾捌亿叁仟陆佰伍拾贰万元整</v>
      </c>
      <c r="O58" s="2317"/>
    </row>
    <row r="59" spans="1:35" ht="24.75" thickBot="1">
      <c r="A59" s="3350" t="s">
        <v>1371</v>
      </c>
      <c r="B59" s="3351"/>
      <c r="C59" s="3351"/>
      <c r="D59" s="2340">
        <f ca="1">IF(H59="非个人房产","——",IF(H59="个人住宅（满五唯一有凭证）",0,IF(H59="个人其他（无凭证）",ROUND(D45*F59,0),ROUND(C67*F59,0))))</f>
        <v>3032</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2137</v>
      </c>
      <c r="J59" s="3348">
        <f>J57+1</f>
        <v>6</v>
      </c>
      <c r="K59" s="3347" t="s">
        <v>1372</v>
      </c>
      <c r="L59" s="2304" t="s">
        <v>1368</v>
      </c>
      <c r="M59" s="2318"/>
      <c r="N59" s="2319">
        <f ca="1">M49-N57</f>
        <v>134674</v>
      </c>
      <c r="O59" s="2320"/>
    </row>
    <row r="60" spans="1:35" ht="12" customHeight="1">
      <c r="A60" s="1666"/>
      <c r="B60" s="642"/>
      <c r="C60" s="642"/>
      <c r="D60" s="642"/>
      <c r="E60" s="1461"/>
      <c r="F60" s="1665"/>
      <c r="G60" s="1665"/>
      <c r="H60" s="149"/>
      <c r="I60" s="119"/>
      <c r="J60" s="3349"/>
      <c r="K60" s="3347"/>
      <c r="L60" s="2311" t="s">
        <v>1370</v>
      </c>
      <c r="M60" s="2315"/>
      <c r="N60" s="2316" t="str">
        <f ca="1">NUMBERSTRING(INT(N59*10000),2)&amp;"元整"</f>
        <v>壹拾叁亿肆仟陆佰柒拾肆万元整</v>
      </c>
      <c r="O60" s="2317"/>
    </row>
    <row r="61" spans="1:35" ht="13.5" thickBot="1">
      <c r="A61" s="3295" t="s">
        <v>1373</v>
      </c>
      <c r="B61" s="3295"/>
      <c r="C61" s="3295"/>
      <c r="D61" s="3295"/>
      <c r="E61" s="3295"/>
      <c r="F61" s="1665"/>
      <c r="G61" s="1665"/>
      <c r="H61" s="149"/>
      <c r="I61" s="119"/>
      <c r="J61" s="2304">
        <f>J59+1</f>
        <v>7</v>
      </c>
      <c r="K61" s="3347" t="s">
        <v>1374</v>
      </c>
      <c r="L61" s="3347"/>
      <c r="M61" s="2321"/>
      <c r="N61" s="2322">
        <f ca="1">ROUND(N59*10000/'数据-汇总表'!E3,0)</f>
        <v>8728</v>
      </c>
      <c r="O61" s="2323"/>
    </row>
    <row r="62" spans="1:35" ht="12.75">
      <c r="A62" s="3313" t="s">
        <v>1375</v>
      </c>
      <c r="B62" s="3314"/>
      <c r="C62" s="1860"/>
      <c r="D62" s="1860" t="s">
        <v>1376</v>
      </c>
      <c r="E62" s="156" t="s">
        <v>1377</v>
      </c>
      <c r="F62" s="1665"/>
      <c r="G62" s="1665"/>
      <c r="H62" s="149"/>
      <c r="I62" s="119"/>
    </row>
    <row r="63" spans="1:35" ht="12.75">
      <c r="A63" s="163" t="s">
        <v>330</v>
      </c>
      <c r="B63" s="157" t="s">
        <v>1378</v>
      </c>
      <c r="C63" s="2344">
        <f ca="1">ROUND((C64+C65)/(1+'数据-取费表'!C42),0)</f>
        <v>303168</v>
      </c>
      <c r="D63" s="157"/>
      <c r="E63" s="158"/>
      <c r="F63" s="1665"/>
      <c r="G63" s="1665"/>
      <c r="H63" s="149"/>
      <c r="I63" s="119"/>
      <c r="J63" s="3372" t="s">
        <v>1379</v>
      </c>
      <c r="K63" s="1240" t="s">
        <v>1380</v>
      </c>
      <c r="L63" s="1240">
        <f ca="1">IF(M49&gt;10000,M49*0.5%,IF(AND(M49&gt;1000,M49&lt;=10000),M49*1%,IF(AND(M49&gt;100,M49&lt;=1000),M49*3%,IF(AND(M49&gt;10,M49&lt;=100),M49*5%,M49*8%))))</f>
        <v>1591.63</v>
      </c>
      <c r="M63" s="292">
        <f ca="1">ROUND(L63,1)</f>
        <v>1591.6</v>
      </c>
      <c r="N63" s="2324"/>
      <c r="Z63" s="1618"/>
      <c r="AI63" s="1556"/>
    </row>
    <row r="64" spans="1:35" ht="14.25" customHeight="1">
      <c r="A64" s="159" t="s">
        <v>325</v>
      </c>
      <c r="B64" s="160" t="s">
        <v>1381</v>
      </c>
      <c r="C64" s="2345">
        <f ca="1">D45</f>
        <v>318326</v>
      </c>
      <c r="D64" s="160" t="s">
        <v>26</v>
      </c>
      <c r="E64" s="162"/>
      <c r="F64" s="1665"/>
      <c r="G64" s="1665"/>
      <c r="H64" s="149"/>
      <c r="I64" s="119"/>
      <c r="J64" s="3372"/>
      <c r="K64" s="1240" t="s">
        <v>1382</v>
      </c>
      <c r="L64" s="1240">
        <f ca="1">IF(M49&gt;2000,M49*0.5%,IF(AND(M49&gt;1000,M49&lt;=2000),M49*0.6%,IF(AND(M49&gt;500,M49&lt;=1000),M49*0.7%,IF(AND(M49&gt;200,M49&lt;=500),M49*0.8%,IF(AND(M49&gt;100,M49&lt;=200),M49*0.9%,IF(AND(M49&gt;50,M49&lt;=100),M49*1%,IF(AND(M49&gt;20,M49&lt;=50),M49*1.5%,IF(AND(M49&gt;10,M49&lt;=20),M49*2%,IF(AND(M49&gt;1,M49&lt;=10),M49*2.5%)))))))))</f>
        <v>1591.63</v>
      </c>
      <c r="M64" s="292">
        <f t="shared" ref="M64:M65" ca="1" si="1">ROUND(L64,1)</f>
        <v>1591.6</v>
      </c>
      <c r="N64" s="2325" t="s">
        <v>1383</v>
      </c>
      <c r="Z64" s="1618"/>
      <c r="AI64" s="1556"/>
    </row>
    <row r="65" spans="1:35" ht="14.25" customHeight="1">
      <c r="A65" s="159" t="s">
        <v>326</v>
      </c>
      <c r="B65" s="160" t="s">
        <v>1384</v>
      </c>
      <c r="C65" s="2346"/>
      <c r="D65" s="160"/>
      <c r="E65" s="162"/>
      <c r="F65" s="1665"/>
      <c r="G65" s="1665"/>
      <c r="H65" s="149"/>
      <c r="I65" s="119"/>
      <c r="J65" s="3372"/>
      <c r="K65" s="1240" t="s">
        <v>1385</v>
      </c>
      <c r="L65" s="1240">
        <f ca="1">IF(M49&gt;1000,M49*0.1%,IF(AND(M49&gt;500,M49&lt;=1000),M49*0.5%,IF(AND(M49&gt;50,M49&lt;=500),M49*1%,IF(AND(M49&gt;1,M49&lt;=50),M49*1.5%))))</f>
        <v>318.32600000000002</v>
      </c>
      <c r="M65" s="292">
        <f t="shared" ca="1" si="1"/>
        <v>318.3</v>
      </c>
      <c r="N65" s="2325" t="s">
        <v>1383</v>
      </c>
      <c r="Z65" s="1618"/>
      <c r="AI65" s="1556"/>
    </row>
    <row r="66" spans="1:35" ht="14.25" customHeight="1">
      <c r="A66" s="163" t="s">
        <v>327</v>
      </c>
      <c r="B66" s="164" t="s">
        <v>1386</v>
      </c>
      <c r="C66" s="2347"/>
      <c r="D66" s="164" t="s">
        <v>26</v>
      </c>
      <c r="E66" s="1246" t="s">
        <v>671</v>
      </c>
      <c r="F66" s="1665"/>
      <c r="G66" s="1665"/>
      <c r="H66" s="149"/>
      <c r="I66" s="119"/>
      <c r="J66" s="3372"/>
      <c r="K66" s="1240" t="s">
        <v>1387</v>
      </c>
      <c r="L66" s="1240">
        <f ca="1">M49*0.5%</f>
        <v>1591.63</v>
      </c>
      <c r="M66" s="292">
        <f ca="1">IF(L66&gt;0.5,0.5,ROUND(L66,0))</f>
        <v>0.5</v>
      </c>
      <c r="N66" s="2325" t="s">
        <v>1388</v>
      </c>
      <c r="Z66" s="1618"/>
      <c r="AI66" s="1556"/>
    </row>
    <row r="67" spans="1:35" ht="14.25" customHeight="1">
      <c r="A67" s="163" t="s">
        <v>328</v>
      </c>
      <c r="B67" s="164" t="s">
        <v>1389</v>
      </c>
      <c r="C67" s="2348">
        <f ca="1">C63-C66</f>
        <v>303168</v>
      </c>
      <c r="D67" s="160" t="s">
        <v>26</v>
      </c>
      <c r="E67" s="162"/>
      <c r="F67" s="1665"/>
      <c r="G67" s="1665"/>
      <c r="H67" s="149"/>
      <c r="I67" s="119"/>
      <c r="J67" s="3372"/>
      <c r="K67" s="1240" t="s">
        <v>1390</v>
      </c>
      <c r="L67" s="1240">
        <f ca="1">IF(M49&gt;=10000,(8.25+(M49-10000)*0.01%),IF(AND(M49&gt;=8000,M49&lt;10000),(7.85+(M49-8000)*0.02%),IF(AND(M49&gt;=5000,M49&lt;8000),(6.65+(M49-5000)*0.04%),IF(AND(M49&gt;=2000,M49&lt;5000),(4.25+(PM49-2000)*0.08%),IF(AND(M49&gt;=1000,M49&lt;2000),(2.75+(M49-1000)*0.15%),IF(AND(M49&gt;=100,M49&lt;1000),(0.5+(M49-100)*0.25%),IF(AND(M49&gt;0,M49&lt;100),M49*0.5%)))))))</f>
        <v>39.082599999999999</v>
      </c>
      <c r="M67" s="292">
        <f ca="1">ROUND(L67*0.9,1)</f>
        <v>35.200000000000003</v>
      </c>
      <c r="N67" s="2324"/>
      <c r="Z67" s="1618"/>
      <c r="AI67" s="1556"/>
    </row>
    <row r="68" spans="1:35" ht="14.25" customHeight="1" thickBot="1">
      <c r="A68" s="166" t="s">
        <v>329</v>
      </c>
      <c r="B68" s="167" t="s">
        <v>1391</v>
      </c>
      <c r="C68" s="2349">
        <f ca="1">IF(C67&lt;=0,0,ROUND(C67*D68,0))</f>
        <v>16674</v>
      </c>
      <c r="D68" s="2350">
        <f>'数据-取费表'!B41</f>
        <v>5.5000000000000007E-2</v>
      </c>
      <c r="E68" s="168"/>
      <c r="F68" s="1665"/>
      <c r="G68" s="1665"/>
      <c r="H68" s="149"/>
      <c r="I68" s="119"/>
      <c r="J68" s="3372"/>
      <c r="K68" s="1240" t="s">
        <v>1392</v>
      </c>
      <c r="L68" s="1240">
        <f ca="1">IF(M49&gt;10000,M49*0.5%,IF(AND(M49&gt;5000,M49&lt;=10000),M49*1%,IF(AND(M49&gt;1000,M49&lt;=5000),M49*2%,IF(AND(M49&gt;200,M49&lt;=1000),M49*3%,M49*5%))))</f>
        <v>1591.63</v>
      </c>
      <c r="M68" s="292">
        <f ca="1">ROUND(L68,1)</f>
        <v>1591.6</v>
      </c>
      <c r="N68" s="2324"/>
      <c r="Z68" s="1618"/>
      <c r="AI68" s="1556"/>
    </row>
    <row r="69" spans="1:35" ht="16.5" customHeight="1">
      <c r="A69" s="1667"/>
      <c r="B69" s="1668"/>
      <c r="C69" s="1669"/>
      <c r="D69" s="1670"/>
      <c r="E69" s="1671"/>
      <c r="F69" s="1461"/>
      <c r="G69" s="1461"/>
      <c r="H69" s="1462"/>
      <c r="I69" s="642"/>
      <c r="J69" s="3372"/>
      <c r="K69" s="1240" t="s">
        <v>1393</v>
      </c>
      <c r="L69" s="1240"/>
      <c r="M69" s="292">
        <f ca="1">ROUND(SUM(M63:M68),0)</f>
        <v>5129</v>
      </c>
      <c r="N69" s="2326">
        <f ca="1">M69/M49</f>
        <v>1.6112413060824438E-2</v>
      </c>
      <c r="Z69" s="1618"/>
      <c r="AI69" s="1556"/>
    </row>
    <row r="70" spans="1:35" s="638" customFormat="1" ht="15" thickBot="1">
      <c r="A70" s="3334" t="s">
        <v>1394</v>
      </c>
      <c r="B70" s="3335"/>
      <c r="C70" s="3335"/>
      <c r="D70" s="3335"/>
      <c r="E70" s="3335"/>
      <c r="F70" s="3335"/>
      <c r="G70" s="3335"/>
      <c r="H70" s="3335"/>
      <c r="I70" s="1672"/>
      <c r="J70" s="457"/>
      <c r="K70" s="457"/>
      <c r="L70" s="457"/>
      <c r="M70" s="457"/>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8" customFormat="1" ht="14.25">
      <c r="A71" s="3313" t="s">
        <v>1375</v>
      </c>
      <c r="B71" s="3314"/>
      <c r="C71" s="1860"/>
      <c r="D71" s="1860" t="s">
        <v>1376</v>
      </c>
      <c r="E71" s="169" t="s">
        <v>1377</v>
      </c>
      <c r="F71" s="170"/>
      <c r="G71" s="170"/>
      <c r="H71" s="171"/>
      <c r="I71" s="1675"/>
      <c r="J71" s="457"/>
      <c r="K71" s="457"/>
      <c r="L71" s="457"/>
      <c r="M71" s="457"/>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8" customFormat="1" ht="14.25">
      <c r="A72" s="163" t="s">
        <v>330</v>
      </c>
      <c r="B72" s="164" t="s">
        <v>1395</v>
      </c>
      <c r="C72" s="2348">
        <f ca="1">ROUND(D45/(1+'数据-取费表'!C42),0)</f>
        <v>303168</v>
      </c>
      <c r="D72" s="160" t="s">
        <v>26</v>
      </c>
      <c r="E72" s="1252"/>
      <c r="F72" s="1250"/>
      <c r="G72" s="1250"/>
      <c r="H72" s="172"/>
      <c r="I72" s="1675"/>
      <c r="J72" s="457"/>
      <c r="K72" s="457"/>
      <c r="L72" s="457"/>
      <c r="M72" s="457"/>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8" customFormat="1" ht="14.25">
      <c r="A73" s="163" t="s">
        <v>327</v>
      </c>
      <c r="B73" s="153" t="s">
        <v>1396</v>
      </c>
      <c r="C73" s="2348">
        <f ca="1">C74+C78</f>
        <v>1516</v>
      </c>
      <c r="D73" s="160" t="s">
        <v>26</v>
      </c>
      <c r="E73" s="1252"/>
      <c r="F73" s="1250"/>
      <c r="G73" s="1250"/>
      <c r="H73" s="172"/>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8" customFormat="1" ht="24">
      <c r="A74" s="159" t="s">
        <v>325</v>
      </c>
      <c r="B74" s="160" t="s">
        <v>1397</v>
      </c>
      <c r="C74" s="160">
        <f>ROUND(IF(G77="2016年5月1日后购买",C75/(1+'数据-取费表'!C42)+C76+C77,C75+C76+C77),0)</f>
        <v>0</v>
      </c>
      <c r="D74" s="160" t="s">
        <v>26</v>
      </c>
      <c r="E74" s="1252"/>
      <c r="F74" s="1250"/>
      <c r="G74" s="1250"/>
      <c r="H74" s="172"/>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8" customFormat="1" ht="14.25">
      <c r="A75" s="159" t="s">
        <v>331</v>
      </c>
      <c r="B75" s="160" t="s">
        <v>1398</v>
      </c>
      <c r="C75" s="2351"/>
      <c r="D75" s="160" t="s">
        <v>26</v>
      </c>
      <c r="E75" s="174" t="s">
        <v>1399</v>
      </c>
      <c r="F75" s="2352"/>
      <c r="G75" s="174" t="s">
        <v>1400</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8" customFormat="1" ht="24.75" customHeight="1">
      <c r="A76" s="159" t="s">
        <v>332</v>
      </c>
      <c r="B76" s="175" t="s">
        <v>1401</v>
      </c>
      <c r="C76" s="160">
        <f>IF(F75="购房发票",ROUND(C75*H75*D76,0),0)</f>
        <v>0</v>
      </c>
      <c r="D76" s="2354">
        <v>0.05</v>
      </c>
      <c r="E76" s="3308" t="s">
        <v>1402</v>
      </c>
      <c r="F76" s="3282"/>
      <c r="G76" s="3282"/>
      <c r="H76" s="333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8" customFormat="1" ht="24.75" customHeight="1">
      <c r="A77" s="159" t="s">
        <v>333</v>
      </c>
      <c r="B77" s="160" t="s">
        <v>1403</v>
      </c>
      <c r="C77" s="160">
        <f>ROUND(IF(G77="个人住宅",0,IF(G77="2016年5月1日前购买",C75*D77,C75*D77/(1+'数据-取费表'!C42))),0)</f>
        <v>0</v>
      </c>
      <c r="D77" s="2355">
        <f>'数据-取费表'!B48+'数据-取费表'!B49</f>
        <v>3.0499999999999999E-2</v>
      </c>
      <c r="E77" s="12" t="s">
        <v>1404</v>
      </c>
      <c r="F77" s="176"/>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8" customFormat="1" ht="24.75" customHeight="1">
      <c r="A78" s="159" t="s">
        <v>326</v>
      </c>
      <c r="B78" s="160" t="s">
        <v>1405</v>
      </c>
      <c r="C78" s="2356">
        <f ca="1">ROUND(D45*D78/(1+'数据-取费表'!C42),0)</f>
        <v>1516</v>
      </c>
      <c r="D78" s="2357">
        <f>'数据-取费表'!B43</f>
        <v>5.000000000000001E-3</v>
      </c>
      <c r="E78" s="3292" t="s">
        <v>1406</v>
      </c>
      <c r="F78" s="3293"/>
      <c r="G78" s="3293"/>
      <c r="H78" s="3302"/>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8" customFormat="1" ht="14.25">
      <c r="A79" s="163" t="s">
        <v>334</v>
      </c>
      <c r="B79" s="164" t="s">
        <v>1407</v>
      </c>
      <c r="C79" s="2348">
        <f ca="1">C72-C73</f>
        <v>301652</v>
      </c>
      <c r="D79" s="160" t="s">
        <v>26</v>
      </c>
      <c r="E79" s="1252"/>
      <c r="F79" s="1250"/>
      <c r="G79" s="1250"/>
      <c r="H79" s="172"/>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8" customFormat="1" ht="24">
      <c r="A80" s="163" t="s">
        <v>335</v>
      </c>
      <c r="B80" s="164" t="s">
        <v>1408</v>
      </c>
      <c r="C80" s="2358">
        <f ca="1">IF(C79&lt;=0,0,C79/C73)</f>
        <v>198.97889182058049</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8" customFormat="1" ht="24.75" thickBot="1">
      <c r="A81" s="166" t="s">
        <v>336</v>
      </c>
      <c r="B81" s="167" t="s">
        <v>1409</v>
      </c>
      <c r="C81" s="2359">
        <f ca="1">ROUND(IF(C79&lt;=0,0,IF(C80&gt;=200%,C79*60%-C73*35%,IF(C80&gt;=100%,C79*50%-C73*15%,IF(C80&gt;=50%,C79*40%-C73*5%,IF(C80&lt;50%,C79*30%,0))))),0)</f>
        <v>180461</v>
      </c>
      <c r="D81" s="2360"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8" customFormat="1" ht="7.5" customHeight="1">
      <c r="A82" s="4"/>
      <c r="B82" s="643"/>
      <c r="C82" s="4"/>
      <c r="D82" s="4"/>
      <c r="E82" s="643"/>
      <c r="F82" s="643"/>
      <c r="G82" s="643"/>
      <c r="H82" s="644"/>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8" customFormat="1" ht="15" thickBot="1">
      <c r="A83" s="3334" t="s">
        <v>1410</v>
      </c>
      <c r="B83" s="3335"/>
      <c r="C83" s="3335"/>
      <c r="D83" s="3335"/>
      <c r="E83" s="3335"/>
      <c r="F83" s="3335"/>
      <c r="G83" s="3335"/>
      <c r="H83" s="333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8" customFormat="1" ht="14.25">
      <c r="A84" s="3313" t="s">
        <v>1375</v>
      </c>
      <c r="B84" s="3314"/>
      <c r="C84" s="1860"/>
      <c r="D84" s="1860" t="s">
        <v>1376</v>
      </c>
      <c r="E84" s="169" t="s">
        <v>1377</v>
      </c>
      <c r="F84" s="170"/>
      <c r="G84" s="170"/>
      <c r="H84" s="181"/>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8" customFormat="1" ht="14.25">
      <c r="A85" s="163" t="s">
        <v>330</v>
      </c>
      <c r="B85" s="164" t="s">
        <v>1395</v>
      </c>
      <c r="C85" s="2348">
        <f ca="1">ROUND(D45/(1+'数据-取费表'!C42),0)</f>
        <v>303168</v>
      </c>
      <c r="D85" s="160" t="s">
        <v>26</v>
      </c>
      <c r="E85" s="1252"/>
      <c r="F85" s="1250"/>
      <c r="G85" s="1250"/>
      <c r="H85" s="182"/>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8" customFormat="1" ht="14.25">
      <c r="A86" s="163" t="s">
        <v>327</v>
      </c>
      <c r="B86" s="153" t="s">
        <v>1396</v>
      </c>
      <c r="C86" s="2348">
        <f ca="1">IF(H88="仅含出让金",C87+C90+C91+C92+C93+C94,C87+C91+C92+C93+C94)</f>
        <v>1516</v>
      </c>
      <c r="D86" s="2361"/>
      <c r="E86" s="1252"/>
      <c r="F86" s="1250"/>
      <c r="G86" s="1250"/>
      <c r="H86" s="182"/>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8" customFormat="1" ht="14.25">
      <c r="A87" s="159" t="s">
        <v>325</v>
      </c>
      <c r="B87" s="160" t="s">
        <v>1411</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8" customFormat="1" ht="14.25">
      <c r="A88" s="159" t="s">
        <v>331</v>
      </c>
      <c r="B88" s="160" t="s">
        <v>1412</v>
      </c>
      <c r="C88" s="2362"/>
      <c r="D88" s="2357"/>
      <c r="E88" s="183" t="s">
        <v>1413</v>
      </c>
      <c r="F88" s="2143"/>
      <c r="G88" s="184" t="s">
        <v>1414</v>
      </c>
      <c r="H88" s="1679"/>
      <c r="I88" s="1676"/>
      <c r="J88" s="2302" t="s">
        <v>2284</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8" customFormat="1" ht="14.25">
      <c r="A89" s="159" t="s">
        <v>332</v>
      </c>
      <c r="B89" s="160" t="s">
        <v>1403</v>
      </c>
      <c r="C89" s="2356">
        <f>ROUND(C88*D89,0)</f>
        <v>0</v>
      </c>
      <c r="D89" s="2357">
        <f>'数据-取费表'!B48+'数据-取费表'!B49</f>
        <v>3.0499999999999999E-2</v>
      </c>
      <c r="E89" s="183"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8" customFormat="1" ht="14.25">
      <c r="A90" s="159" t="s">
        <v>326</v>
      </c>
      <c r="B90" s="160" t="s">
        <v>1416</v>
      </c>
      <c r="C90" s="2362"/>
      <c r="D90" s="2357"/>
      <c r="E90" s="183" t="str">
        <f>IF(H88="-","土地取得成本中已包含该笔费用"," ")</f>
        <v xml:space="preserve"> </v>
      </c>
      <c r="F90" s="2143"/>
      <c r="G90" s="3374" t="s">
        <v>2129</v>
      </c>
      <c r="H90" s="3375"/>
      <c r="I90" s="1676"/>
      <c r="J90" s="2302" t="s">
        <v>2285</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8" customFormat="1" ht="27.75" customHeight="1">
      <c r="A91" s="159" t="s">
        <v>1417</v>
      </c>
      <c r="B91" s="160" t="s">
        <v>1418</v>
      </c>
      <c r="C91" s="2356">
        <f>IF(H91="——",成本法!C33,I91)</f>
        <v>0</v>
      </c>
      <c r="D91" s="2357"/>
      <c r="E91" s="3292" t="s">
        <v>1419</v>
      </c>
      <c r="F91" s="3293"/>
      <c r="G91" s="3293"/>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8" customFormat="1" ht="25.5" customHeight="1">
      <c r="A92" s="159" t="s">
        <v>1420</v>
      </c>
      <c r="B92" s="160" t="s">
        <v>1421</v>
      </c>
      <c r="C92" s="2356">
        <f>ROUND((C87+C90+C91)*D92,0)</f>
        <v>0</v>
      </c>
      <c r="D92" s="2363"/>
      <c r="E92" s="3292" t="s">
        <v>1422</v>
      </c>
      <c r="F92" s="3293"/>
      <c r="G92" s="3293"/>
      <c r="H92" s="3302"/>
      <c r="I92" s="1676"/>
      <c r="J92" s="2303" t="s">
        <v>2286</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8" customFormat="1" ht="25.5" customHeight="1">
      <c r="A93" s="159" t="s">
        <v>1423</v>
      </c>
      <c r="B93" s="160" t="s">
        <v>1405</v>
      </c>
      <c r="C93" s="2356">
        <f ca="1">ROUND(D45*D93/(1+'数据-取费表'!C42),0)</f>
        <v>1516</v>
      </c>
      <c r="D93" s="2357">
        <f>'数据-取费表'!B43</f>
        <v>5.000000000000001E-3</v>
      </c>
      <c r="E93" s="3292" t="s">
        <v>1406</v>
      </c>
      <c r="F93" s="3293"/>
      <c r="G93" s="3293"/>
      <c r="H93" s="3302"/>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8" customFormat="1" ht="36.75" customHeight="1">
      <c r="A94" s="159" t="s">
        <v>1424</v>
      </c>
      <c r="B94" s="160" t="s">
        <v>1425</v>
      </c>
      <c r="C94" s="2362">
        <f>ROUND((C87+C90+C91)*D94,0)</f>
        <v>0</v>
      </c>
      <c r="D94" s="2357">
        <v>0.2</v>
      </c>
      <c r="E94" s="3303" t="s">
        <v>1426</v>
      </c>
      <c r="F94" s="3304"/>
      <c r="G94" s="3304"/>
      <c r="H94" s="3305"/>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8" customFormat="1" ht="14.25">
      <c r="A95" s="163" t="s">
        <v>334</v>
      </c>
      <c r="B95" s="164" t="s">
        <v>1407</v>
      </c>
      <c r="C95" s="2348">
        <f ca="1">ROUND(C85-C86,0)</f>
        <v>301652</v>
      </c>
      <c r="D95" s="160" t="s">
        <v>26</v>
      </c>
      <c r="E95" s="1252"/>
      <c r="F95" s="1250"/>
      <c r="G95" s="1250"/>
      <c r="H95" s="182"/>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8" customFormat="1" ht="24">
      <c r="A96" s="163" t="s">
        <v>335</v>
      </c>
      <c r="B96" s="164" t="s">
        <v>1408</v>
      </c>
      <c r="C96" s="2358">
        <f ca="1">IF(C95&lt;=0,0,C95/C86)</f>
        <v>198.97889182058049</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2"/>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8" customFormat="1" ht="24.75" thickBot="1">
      <c r="A97" s="166" t="s">
        <v>336</v>
      </c>
      <c r="B97" s="167" t="s">
        <v>1409</v>
      </c>
      <c r="C97" s="2359">
        <f ca="1">ROUND(IF(C95&lt;=0,0,IF(C96&gt;=200%,C95*60%-C86*35%,IF(C96&gt;=100%,C95*50%-C86*15%,IF(C96&gt;=50%,C95*40%-C86*5%,IF(C96&lt;50%,C95*30%,0))))),0)</f>
        <v>180461</v>
      </c>
      <c r="D97" s="2360"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2"/>
      <c r="C98" s="642"/>
      <c r="D98" s="642"/>
      <c r="E98" s="1461"/>
      <c r="F98" s="1461"/>
      <c r="G98" s="1461"/>
      <c r="H98" s="1462"/>
      <c r="I98" s="119"/>
    </row>
    <row r="99" spans="1:35" ht="21.75" customHeight="1" thickBot="1">
      <c r="A99" s="1459" t="s">
        <v>1427</v>
      </c>
      <c r="B99" s="642"/>
      <c r="C99" s="642"/>
      <c r="D99" s="642"/>
      <c r="E99" s="1461"/>
      <c r="F99" s="1461"/>
      <c r="G99" s="1461"/>
      <c r="H99" s="1462"/>
      <c r="I99" s="119"/>
    </row>
    <row r="100" spans="1:35" ht="18.75" customHeight="1">
      <c r="A100" s="3276" t="s">
        <v>1428</v>
      </c>
      <c r="B100" s="3277"/>
      <c r="C100" s="3277"/>
      <c r="D100" s="3294"/>
      <c r="E100" s="3277" t="s">
        <v>1429</v>
      </c>
      <c r="F100" s="3277"/>
      <c r="G100" s="3277"/>
      <c r="H100" s="3294"/>
      <c r="I100" s="119"/>
    </row>
    <row r="101" spans="1:35" ht="18.75" customHeight="1">
      <c r="A101" s="3355" t="s">
        <v>1430</v>
      </c>
      <c r="B101" s="3356"/>
      <c r="C101" s="2365" t="str">
        <f>C4</f>
        <v>成本法</v>
      </c>
      <c r="D101" s="2366" t="str">
        <f>D4</f>
        <v>收益法</v>
      </c>
      <c r="E101" s="3369" t="s">
        <v>1431</v>
      </c>
      <c r="F101" s="3326"/>
      <c r="G101" s="1682" t="s">
        <v>1432</v>
      </c>
      <c r="H101" s="2375">
        <f ca="1">H118</f>
        <v>318326</v>
      </c>
      <c r="I101" s="119"/>
    </row>
    <row r="102" spans="1:35" ht="18.75" customHeight="1">
      <c r="A102" s="3328" t="s">
        <v>1433</v>
      </c>
      <c r="B102" s="2364" t="s">
        <v>1432</v>
      </c>
      <c r="C102" s="2365">
        <f ca="1">IF(D32="楼面单价",ROUND(C19,0),C19)</f>
        <v>382623</v>
      </c>
      <c r="D102" s="2366">
        <f ca="1">IF(D32="楼面单价",ROUND(D19,0),D19)</f>
        <v>254029</v>
      </c>
      <c r="E102" s="3369"/>
      <c r="F102" s="3326"/>
      <c r="G102" s="1682" t="s">
        <v>1434</v>
      </c>
      <c r="H102" s="2335">
        <f ca="1">I118</f>
        <v>20698</v>
      </c>
      <c r="I102" s="119"/>
    </row>
    <row r="103" spans="1:35" ht="42.75" customHeight="1">
      <c r="A103" s="3328"/>
      <c r="B103" s="2364" t="s">
        <v>1434</v>
      </c>
      <c r="C103" s="2367">
        <f ca="1">C20</f>
        <v>24879</v>
      </c>
      <c r="D103" s="2368">
        <f ca="1">D20</f>
        <v>16517</v>
      </c>
      <c r="E103" s="3363" t="s">
        <v>1435</v>
      </c>
      <c r="F103" s="3364"/>
      <c r="G103" s="1683" t="s">
        <v>1436</v>
      </c>
      <c r="H103" s="2375">
        <f>IF(D36="正常操作",H104+H105+H106,H105+H106)</f>
        <v>0</v>
      </c>
      <c r="I103" s="119"/>
    </row>
    <row r="104" spans="1:35" ht="18.75" customHeight="1">
      <c r="A104" s="3328" t="s">
        <v>1437</v>
      </c>
      <c r="B104" s="2369" t="s">
        <v>1432</v>
      </c>
      <c r="C104" s="2370">
        <f ca="1">H118</f>
        <v>318326</v>
      </c>
      <c r="D104" s="2371"/>
      <c r="E104" s="1550" t="s">
        <v>1438</v>
      </c>
      <c r="F104" s="1543"/>
      <c r="G104" s="1683" t="s">
        <v>1436</v>
      </c>
      <c r="H104" s="2376">
        <f>IF(D36="同一抵押权人同一抵押物续贷",C36&amp;"（续贷，未扣减，详见特别提示）",C36)</f>
        <v>0</v>
      </c>
      <c r="I104" s="119"/>
    </row>
    <row r="105" spans="1:35" ht="18.75" customHeight="1" thickBot="1">
      <c r="A105" s="3329"/>
      <c r="B105" s="2372" t="s">
        <v>1434</v>
      </c>
      <c r="C105" s="2373">
        <f ca="1">I118</f>
        <v>20698</v>
      </c>
      <c r="D105" s="2374"/>
      <c r="E105" s="1550" t="s">
        <v>1439</v>
      </c>
      <c r="F105" s="1543"/>
      <c r="G105" s="1683" t="s">
        <v>1436</v>
      </c>
      <c r="H105" s="2377">
        <f>C37</f>
        <v>0</v>
      </c>
      <c r="I105" s="119"/>
    </row>
    <row r="106" spans="1:35" ht="18.75" customHeight="1">
      <c r="A106" s="642" t="s">
        <v>1440</v>
      </c>
      <c r="B106" s="642"/>
      <c r="C106" s="642"/>
      <c r="D106" s="642"/>
      <c r="E106" s="1684" t="s">
        <v>1441</v>
      </c>
      <c r="F106" s="1543"/>
      <c r="G106" s="1683" t="s">
        <v>1436</v>
      </c>
      <c r="H106" s="2377">
        <f>C38</f>
        <v>0</v>
      </c>
      <c r="I106" s="119"/>
    </row>
    <row r="107" spans="1:35" ht="18.75" customHeight="1">
      <c r="A107" s="119"/>
      <c r="B107" s="119"/>
      <c r="C107" s="119"/>
      <c r="D107" s="119"/>
      <c r="E107" s="3325" t="str">
        <f>IF(项目基本情况!E8="已注销","——","3.房地产抵押价值")</f>
        <v>3.房地产抵押价值</v>
      </c>
      <c r="F107" s="3326"/>
      <c r="G107" s="1682" t="s">
        <v>1432</v>
      </c>
      <c r="H107" s="2375">
        <f ca="1">IF(E107="——","——",H101-H103)</f>
        <v>318326</v>
      </c>
      <c r="I107" s="119"/>
    </row>
    <row r="108" spans="1:35" ht="18.75" customHeight="1">
      <c r="A108" s="119"/>
      <c r="B108" s="119"/>
      <c r="C108" s="119"/>
      <c r="D108" s="119"/>
      <c r="E108" s="3325"/>
      <c r="F108" s="3326"/>
      <c r="G108" s="1682" t="s">
        <v>1434</v>
      </c>
      <c r="H108" s="2335">
        <f ca="1">IF(H107=H101,H102,ROUND(H107*10000/'数据-汇总表'!E3,0))</f>
        <v>20698</v>
      </c>
      <c r="I108" s="119"/>
    </row>
    <row r="109" spans="1:35" ht="18.75" customHeight="1">
      <c r="A109" s="119"/>
      <c r="B109" s="119"/>
      <c r="C109" s="119"/>
      <c r="D109" s="119"/>
      <c r="E109" s="3325" t="str">
        <f>IF(项目基本情况!E8="已注销及未注销","4.抵押担保权已注销时的房地产抵押价值",IF(项目基本情况!E8="已注销","3.抵押担保权已注销时的房地产抵押价值","——"))</f>
        <v>——</v>
      </c>
      <c r="F109" s="3326"/>
      <c r="G109" s="1682" t="s">
        <v>1432</v>
      </c>
      <c r="H109" s="2378" t="str">
        <f>IF(E109="——","——",H101-H105-H106)</f>
        <v>——</v>
      </c>
      <c r="I109" s="119"/>
    </row>
    <row r="110" spans="1:35" ht="18.75" customHeight="1">
      <c r="A110" s="119"/>
      <c r="B110" s="119"/>
      <c r="C110" s="119"/>
      <c r="D110" s="119"/>
      <c r="E110" s="3325"/>
      <c r="F110" s="3326"/>
      <c r="G110" s="1682" t="s">
        <v>1434</v>
      </c>
      <c r="H110" s="2335" t="str">
        <f>IF(H109="——","——",ROUND(H109*10000/'数据-汇总表'!E3,0))</f>
        <v>——</v>
      </c>
      <c r="I110" s="119"/>
    </row>
    <row r="111" spans="1:35" ht="18.75" customHeight="1">
      <c r="A111" s="119"/>
      <c r="B111" s="119"/>
      <c r="C111" s="119"/>
      <c r="D111" s="119"/>
      <c r="E111" s="3357" t="str">
        <f>IF(项目基本情况!E9="抵押净值",IF(OR(项目基本情况!E8="已注销",项目基本情况!E8="房地产抵押价值"),"4.抵押净值","5.抵押净值"),"——")</f>
        <v>——</v>
      </c>
      <c r="F111" s="3327"/>
      <c r="G111" s="1682" t="s">
        <v>1432</v>
      </c>
      <c r="H111" s="2375" t="str">
        <f>IF(E111="——","——",N59)</f>
        <v>——</v>
      </c>
      <c r="I111" s="119"/>
    </row>
    <row r="112" spans="1:35" ht="18.75" customHeight="1" thickBot="1">
      <c r="A112" s="119"/>
      <c r="B112" s="119"/>
      <c r="C112" s="119"/>
      <c r="D112" s="119"/>
      <c r="E112" s="3358"/>
      <c r="F112" s="3359"/>
      <c r="G112" s="1685" t="s">
        <v>1434</v>
      </c>
      <c r="H112" s="2379" t="str">
        <f>IF(E111="——","——",N61)</f>
        <v>——</v>
      </c>
      <c r="I112" s="119"/>
    </row>
    <row r="113" spans="1:27" ht="18.75" customHeight="1">
      <c r="A113" s="119"/>
      <c r="B113" s="119"/>
      <c r="C113" s="119"/>
      <c r="D113" s="119"/>
      <c r="E113" s="3330" t="s">
        <v>1440</v>
      </c>
      <c r="F113" s="3330"/>
      <c r="G113" s="3330"/>
      <c r="H113" s="3330"/>
      <c r="I113" s="119"/>
    </row>
    <row r="114" spans="1:27" ht="3.75" customHeight="1">
      <c r="A114" s="642"/>
      <c r="B114" s="642"/>
      <c r="C114" s="642"/>
      <c r="D114" s="642"/>
      <c r="E114" s="1666"/>
      <c r="F114" s="1666"/>
      <c r="G114" s="1666"/>
      <c r="H114" s="1666"/>
      <c r="I114" s="642"/>
    </row>
    <row r="115" spans="1:27" ht="18.75" customHeight="1">
      <c r="A115" s="3340" t="s">
        <v>1442</v>
      </c>
      <c r="B115" s="3341"/>
      <c r="C115" s="3341"/>
      <c r="D115" s="3341"/>
      <c r="E115" s="3341"/>
      <c r="F115" s="3341"/>
      <c r="G115" s="3341"/>
      <c r="H115" s="3341"/>
      <c r="I115" s="3342"/>
    </row>
    <row r="116" spans="1:27" ht="27" customHeight="1">
      <c r="A116" s="3296" t="s">
        <v>1443</v>
      </c>
      <c r="B116" s="3331" t="s">
        <v>1444</v>
      </c>
      <c r="C116" s="3331" t="s">
        <v>1445</v>
      </c>
      <c r="D116" s="3344" t="s">
        <v>1446</v>
      </c>
      <c r="E116" s="3345"/>
      <c r="F116" s="3339" t="s">
        <v>1447</v>
      </c>
      <c r="G116" s="3339"/>
      <c r="H116" s="3296" t="s">
        <v>1448</v>
      </c>
      <c r="I116" s="3296"/>
    </row>
    <row r="117" spans="1:27" ht="18.75" customHeight="1">
      <c r="A117" s="3296"/>
      <c r="B117" s="3332"/>
      <c r="C117" s="3332"/>
      <c r="D117" s="2145" t="s">
        <v>1449</v>
      </c>
      <c r="E117" s="2145" t="s">
        <v>1450</v>
      </c>
      <c r="F117" s="2145" t="s">
        <v>1449</v>
      </c>
      <c r="G117" s="2145" t="s">
        <v>1451</v>
      </c>
      <c r="H117" s="2145" t="s">
        <v>1449</v>
      </c>
      <c r="I117" s="2145" t="s">
        <v>1451</v>
      </c>
    </row>
    <row r="118" spans="1:27" ht="24.75" customHeight="1">
      <c r="A118" s="2380" t="str">
        <f>项目基本情况!S2</f>
        <v>北京市北京经济技术开发区兴海路1号院1号楼-3至6层商业、地下车库用房房地产</v>
      </c>
      <c r="B118" s="2145">
        <f>M18</f>
        <v>153794.32</v>
      </c>
      <c r="C118" s="2145">
        <f>M19</f>
        <v>42136.27</v>
      </c>
      <c r="D118" s="2145">
        <f ca="1">ROUND(IF(D32="总价",C34,E118*B118/10000),0)</f>
        <v>188767</v>
      </c>
      <c r="E118" s="2145">
        <f ca="1">ROUND(IF(C33="自定义",IF(D32="楼面单价",C34,D118*10000/B118),I118-G118),0)</f>
        <v>12274</v>
      </c>
      <c r="F118" s="2145">
        <f ca="1">ROUND(IF(D32="总价",C35,G118*B118/10000),0)</f>
        <v>129559</v>
      </c>
      <c r="G118" s="2145">
        <f ca="1">ROUND(IF(D32="楼面单价",C35,F118*10000/B118),0)</f>
        <v>8424</v>
      </c>
      <c r="H118" s="2145">
        <f ca="1">ROUND(IF(D32="总价",C32,I118*B118/10000),0)</f>
        <v>318326</v>
      </c>
      <c r="I118" s="2145">
        <f ca="1">ROUND(IF(D32="楼面单价",C32,H118*10000/B118),0)</f>
        <v>20698</v>
      </c>
    </row>
    <row r="119" spans="1:27" ht="18.75" customHeight="1">
      <c r="A119" s="3296" t="s">
        <v>1452</v>
      </c>
      <c r="B119" s="3296"/>
      <c r="C119" s="3296"/>
      <c r="D119" s="3336" t="str">
        <f ca="1">NUMBERSTRING(INT(D118*10000),2)&amp;"元整"</f>
        <v>壹拾捌亿捌仟柒佰陆拾柒万元整</v>
      </c>
      <c r="E119" s="3338"/>
      <c r="F119" s="3336" t="str">
        <f ca="1">NUMBERSTRING(INT(F118*10000),2)&amp;"元整"</f>
        <v>壹拾贰亿玖仟伍佰伍拾玖万元整</v>
      </c>
      <c r="G119" s="3338"/>
      <c r="H119" s="3336" t="str">
        <f ca="1">NUMBERSTRING(INT(H118*10000),2)&amp;"元整"</f>
        <v>叁拾壹亿捌仟叁佰贰拾陆万元整</v>
      </c>
      <c r="I119" s="3338"/>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6" t="s">
        <v>1452</v>
      </c>
      <c r="B121" s="3337"/>
      <c r="C121" s="3338"/>
      <c r="D121" s="3336" t="str">
        <f>IF(D120=0,"零元整",NUMBERSTRING(INT(D120*10000),2)&amp;"元整")</f>
        <v>零元整</v>
      </c>
      <c r="E121" s="3337"/>
      <c r="F121" s="3337"/>
      <c r="G121" s="3337"/>
      <c r="H121" s="3337"/>
      <c r="I121" s="3338"/>
      <c r="AA121" s="680"/>
    </row>
    <row r="122" spans="1:27" ht="18.75" customHeight="1">
      <c r="A122" s="3327" t="str">
        <f>IF(项目基本情况!B9="房地产市场价值","",MID(E107,3,LEN(E107)-2))</f>
        <v>房地产抵押价值</v>
      </c>
      <c r="B122" s="3327"/>
      <c r="C122" s="3327"/>
      <c r="D122" s="3360">
        <f ca="1">H107</f>
        <v>318326</v>
      </c>
      <c r="E122" s="3361"/>
      <c r="F122" s="3361"/>
      <c r="G122" s="3361"/>
      <c r="H122" s="3361"/>
      <c r="I122" s="3362"/>
      <c r="AA122" s="680"/>
    </row>
    <row r="123" spans="1:27" ht="18.75" customHeight="1">
      <c r="A123" s="3296" t="s">
        <v>1452</v>
      </c>
      <c r="B123" s="3296"/>
      <c r="C123" s="3296"/>
      <c r="D123" s="3336" t="str">
        <f ca="1">NUMBERSTRING(INT(D122*10000),2)&amp;"元整"</f>
        <v>叁拾壹亿捌仟叁佰贰拾陆万元整</v>
      </c>
      <c r="E123" s="3337"/>
      <c r="F123" s="3337"/>
      <c r="G123" s="3337"/>
      <c r="H123" s="3337"/>
      <c r="I123" s="3338"/>
      <c r="AA123" s="680"/>
    </row>
    <row r="124" spans="1:27" ht="18.75" customHeight="1">
      <c r="A124" s="3327" t="str">
        <f>IF(项目基本情况!B9="房地产市场价值","",MID(E109,3,LEN(E109)-2))</f>
        <v/>
      </c>
      <c r="B124" s="3327"/>
      <c r="C124" s="3327"/>
      <c r="D124" s="3360" t="str">
        <f>H109</f>
        <v>——</v>
      </c>
      <c r="E124" s="3361"/>
      <c r="F124" s="3361"/>
      <c r="G124" s="3361"/>
      <c r="H124" s="3361"/>
      <c r="I124" s="3362"/>
      <c r="AA124" s="680"/>
    </row>
    <row r="125" spans="1:27" ht="18.75" customHeight="1">
      <c r="A125" s="3296" t="s">
        <v>1452</v>
      </c>
      <c r="B125" s="3296"/>
      <c r="C125" s="3296"/>
      <c r="D125" s="3336" t="e">
        <f>NUMBERSTRING(INT(D124*10000),2)&amp;"元整"</f>
        <v>#VALUE!</v>
      </c>
      <c r="E125" s="3337"/>
      <c r="F125" s="3337"/>
      <c r="G125" s="3337"/>
      <c r="H125" s="3337"/>
      <c r="I125" s="3338"/>
      <c r="AA125" s="680"/>
    </row>
    <row r="126" spans="1:27" ht="18.75" customHeight="1">
      <c r="A126" s="3327" t="str">
        <f>IF(项目基本情况!B9="房地产市场价值","",MID(E111,3,LEN(E111)-2))</f>
        <v/>
      </c>
      <c r="B126" s="3327"/>
      <c r="C126" s="3327"/>
      <c r="D126" s="3360" t="str">
        <f>H111</f>
        <v>——</v>
      </c>
      <c r="E126" s="3361"/>
      <c r="F126" s="3361"/>
      <c r="G126" s="3361"/>
      <c r="H126" s="3361"/>
      <c r="I126" s="3362"/>
      <c r="AA126" s="680"/>
    </row>
    <row r="127" spans="1:27" ht="18.75" customHeight="1">
      <c r="A127" s="3296" t="s">
        <v>1452</v>
      </c>
      <c r="B127" s="3296"/>
      <c r="C127" s="3296"/>
      <c r="D127" s="3336" t="e">
        <f>NUMBERSTRING(INT(D126*10000),2)&amp;"元整"</f>
        <v>#VALUE!</v>
      </c>
      <c r="E127" s="3337"/>
      <c r="F127" s="3337"/>
      <c r="G127" s="3337"/>
      <c r="H127" s="3337"/>
      <c r="I127" s="3338"/>
      <c r="AA127" s="680"/>
    </row>
    <row r="128" spans="1:27" ht="21.75" customHeight="1">
      <c r="A128" s="3343" t="s">
        <v>1453</v>
      </c>
      <c r="B128" s="3343"/>
      <c r="C128" s="3343"/>
      <c r="D128" s="3343"/>
      <c r="E128" s="3343"/>
      <c r="F128" s="3343"/>
      <c r="G128" s="3343"/>
      <c r="H128" s="3343"/>
      <c r="I128" s="3343"/>
      <c r="AA128" s="680"/>
    </row>
    <row r="129" spans="1:35" ht="21.75" customHeight="1">
      <c r="A129" s="1686" t="s">
        <v>1454</v>
      </c>
      <c r="B129" s="1687"/>
      <c r="C129" s="1688" t="s">
        <v>1455</v>
      </c>
      <c r="D129" s="1689"/>
      <c r="E129" s="1689"/>
      <c r="F129" s="1689"/>
      <c r="G129" s="1689"/>
      <c r="H129" s="1690"/>
      <c r="I129" s="1691"/>
      <c r="AA129" s="680"/>
    </row>
    <row r="130" spans="1:35" ht="21.75" customHeight="1">
      <c r="A130" s="1692">
        <v>1</v>
      </c>
      <c r="B130" s="1693"/>
      <c r="C130" s="1693"/>
      <c r="D130" s="684"/>
      <c r="E130" s="684"/>
      <c r="F130" s="684"/>
      <c r="G130" s="684"/>
      <c r="H130" s="683"/>
      <c r="I130" s="1694"/>
      <c r="AA130" s="680"/>
    </row>
    <row r="131" spans="1:35" ht="21.75" customHeight="1">
      <c r="A131" s="1692">
        <v>2</v>
      </c>
      <c r="B131" s="1693"/>
      <c r="C131" s="1693"/>
      <c r="D131" s="684"/>
      <c r="E131" s="684"/>
      <c r="F131" s="684"/>
      <c r="G131" s="684"/>
      <c r="H131" s="683"/>
      <c r="I131" s="1694"/>
      <c r="AA131" s="680"/>
    </row>
    <row r="132" spans="1:35" ht="21.75" customHeight="1">
      <c r="A132" s="1692">
        <v>3</v>
      </c>
      <c r="B132" s="1693"/>
      <c r="C132" s="1693"/>
      <c r="D132" s="684"/>
      <c r="E132" s="684"/>
      <c r="F132" s="684"/>
      <c r="G132" s="684"/>
      <c r="H132" s="683"/>
      <c r="I132" s="1694"/>
      <c r="AA132" s="680"/>
    </row>
    <row r="133" spans="1:35" ht="21.75" customHeight="1">
      <c r="A133" s="1695"/>
      <c r="B133" s="1696"/>
      <c r="C133" s="1696"/>
      <c r="D133" s="1697"/>
      <c r="E133" s="1697"/>
      <c r="F133" s="1697"/>
      <c r="G133" s="1697"/>
      <c r="H133" s="1698"/>
      <c r="I133" s="1699"/>
    </row>
    <row r="134" spans="1:35" ht="21.75" customHeight="1">
      <c r="A134" s="1693"/>
      <c r="B134" s="1693"/>
      <c r="C134" s="1693"/>
      <c r="D134" s="684"/>
      <c r="E134" s="684"/>
      <c r="F134" s="684"/>
      <c r="G134" s="684"/>
      <c r="H134" s="683"/>
      <c r="I134" s="680"/>
    </row>
    <row r="135" spans="1:35" ht="21.75" customHeight="1">
      <c r="A135" s="680"/>
      <c r="B135" s="680"/>
      <c r="C135" s="680"/>
      <c r="D135" s="680"/>
      <c r="E135" s="680"/>
      <c r="F135" s="1700" t="s">
        <v>1456</v>
      </c>
      <c r="G135" s="1701"/>
      <c r="H135" s="1701"/>
      <c r="I135" s="1702" t="s">
        <v>1457</v>
      </c>
    </row>
    <row r="136" spans="1:35" ht="21.75" customHeight="1">
      <c r="A136" s="680"/>
      <c r="B136" s="1703"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1"/>
      <c r="C138" s="1701"/>
      <c r="D138" s="1701"/>
      <c r="E138" s="1701"/>
      <c r="F138" s="1701"/>
      <c r="G138" s="1701"/>
      <c r="H138" s="1701"/>
      <c r="I138" s="1702" t="s">
        <v>1459</v>
      </c>
    </row>
    <row r="139" spans="1:35" ht="21.75" customHeight="1">
      <c r="A139" s="680"/>
      <c r="B139" s="1703" t="s">
        <v>1460</v>
      </c>
      <c r="C139" s="680"/>
      <c r="D139" s="680"/>
      <c r="E139" s="680"/>
      <c r="F139" s="680"/>
      <c r="G139" s="680"/>
      <c r="H139" s="680"/>
      <c r="I139" s="680"/>
    </row>
    <row r="140" spans="1:35" ht="21.75" customHeight="1">
      <c r="A140" s="680"/>
      <c r="B140" s="1703"/>
      <c r="C140" s="680"/>
      <c r="D140" s="680"/>
      <c r="E140" s="680"/>
      <c r="F140" s="680"/>
      <c r="G140" s="680"/>
      <c r="H140" s="680"/>
      <c r="I140" s="680"/>
    </row>
    <row r="141" spans="1:35" ht="21.75" customHeight="1">
      <c r="A141" s="680"/>
      <c r="B141" s="1701"/>
      <c r="C141" s="1701"/>
      <c r="D141" s="1701"/>
      <c r="E141" s="1701"/>
      <c r="F141" s="1701"/>
      <c r="G141" s="1701"/>
      <c r="H141" s="1701"/>
      <c r="I141" s="1702" t="s">
        <v>1459</v>
      </c>
    </row>
    <row r="142" spans="1:35" ht="21.75" customHeight="1">
      <c r="A142" s="680"/>
      <c r="B142" s="1703"/>
      <c r="C142" s="1704"/>
      <c r="D142" s="1705"/>
      <c r="E142" s="1705"/>
      <c r="F142" s="1609"/>
      <c r="G142" s="680"/>
      <c r="H142" s="680"/>
      <c r="I142" s="680"/>
    </row>
    <row r="143" spans="1:35" s="120" customFormat="1" ht="21.75" customHeight="1">
      <c r="A143" s="680"/>
      <c r="B143" s="1703"/>
      <c r="C143" s="1704"/>
      <c r="D143" s="1705"/>
      <c r="E143" s="1705"/>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0"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0"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94" t="str">
        <f>项目基本情况!B1</f>
        <v>北京市北京经济技术开发区兴海路1号院1号楼-3至6层商业、地下车库用房房地产抵押价值预评估</v>
      </c>
      <c r="C37" s="3194"/>
      <c r="D37" s="3194"/>
      <c r="E37" s="3194"/>
      <c r="F37" s="3194"/>
      <c r="G37" s="3194"/>
      <c r="H37" s="3194"/>
      <c r="I37" s="3194"/>
    </row>
    <row r="38" spans="1:9">
      <c r="A38" s="790"/>
      <c r="B38" s="790"/>
    </row>
    <row r="39" spans="1:9">
      <c r="A39" s="788" t="s">
        <v>371</v>
      </c>
      <c r="B39" s="788" t="s">
        <v>373</v>
      </c>
    </row>
    <row r="40" spans="1:9">
      <c r="A40" s="788"/>
      <c r="B40" s="1373">
        <f>项目基本情况!B5</f>
        <v>0</v>
      </c>
    </row>
    <row r="41" spans="1:9">
      <c r="A41" s="788"/>
      <c r="B41" s="788"/>
    </row>
    <row r="42" spans="1:9">
      <c r="A42" s="788" t="s">
        <v>371</v>
      </c>
      <c r="B42" s="788" t="s">
        <v>374</v>
      </c>
    </row>
    <row r="43" spans="1:9">
      <c r="A43" s="788"/>
      <c r="B43" s="1373" t="s">
        <v>375</v>
      </c>
    </row>
    <row r="44" spans="1:9">
      <c r="A44" s="788"/>
      <c r="B44" s="788"/>
    </row>
    <row r="45" spans="1:9">
      <c r="A45" s="788" t="s">
        <v>371</v>
      </c>
      <c r="B45" s="788" t="s">
        <v>376</v>
      </c>
    </row>
    <row r="46" spans="1:9" s="788" customFormat="1" ht="12.75">
      <c r="B46" s="1373" t="str">
        <f ca="1">项目基本情况!K4</f>
        <v>郑燚（注册号：1120070131)、吴薇（注册号：1419970001)</v>
      </c>
    </row>
    <row r="47" spans="1:9">
      <c r="A47" s="788"/>
      <c r="B47" s="788" t="str">
        <f>项目基本情况!K5</f>
        <v>（注册号：0)、（注册号：0)</v>
      </c>
    </row>
    <row r="48" spans="1:9">
      <c r="A48" s="788" t="s">
        <v>371</v>
      </c>
      <c r="B48" s="788"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K42" sqref="K4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f>F65</f>
        <v>145580</v>
      </c>
      <c r="C2" s="850"/>
      <c r="D2" s="850"/>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f>ROUND(IF(D3="",B2*10000/'数据-汇总表'!E3,B2*10000/D3),0)</f>
        <v>9434</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395" t="s">
        <v>1775</v>
      </c>
      <c r="Q4" s="3396"/>
      <c r="R4" s="3401" t="s">
        <v>1771</v>
      </c>
      <c r="S4" s="3402"/>
      <c r="T4" s="3401" t="s">
        <v>1772</v>
      </c>
      <c r="U4" s="3402"/>
      <c r="V4" s="3388" t="s">
        <v>1773</v>
      </c>
      <c r="W4" s="3388"/>
      <c r="X4" s="1260"/>
      <c r="Y4" s="3401" t="s">
        <v>1775</v>
      </c>
      <c r="Z4" s="3402"/>
      <c r="AA4" s="3389" t="s">
        <v>1771</v>
      </c>
      <c r="AB4" s="3390" t="s">
        <v>1772</v>
      </c>
      <c r="AC4" s="3389" t="s">
        <v>1773</v>
      </c>
    </row>
    <row r="5" spans="1:29" ht="58.5" customHeight="1">
      <c r="A5" s="346"/>
      <c r="B5" s="347"/>
      <c r="C5" s="3409" t="s">
        <v>1673</v>
      </c>
      <c r="D5" s="3410"/>
      <c r="E5" s="3416" t="str">
        <f>土地案例!A13</f>
        <v>北京市通州经济开发区西区南扩区 三、五、六期棚户区改造项目 FZX-1102-6002地块 F3其他类多功能用地</v>
      </c>
      <c r="F5" s="3417"/>
      <c r="G5" s="3409" t="str">
        <f>土地案例!A14</f>
        <v>北京市通州经济开发区西区南扩区三、五、六期棚户区改造项目FZX-1102-6219地块F3其他类多功能用地</v>
      </c>
      <c r="H5" s="3410"/>
      <c r="I5" s="3409" t="str">
        <f>土地案例!A15</f>
        <v>北京城市副中心1202街区FZX-1202-0001地块 F3其他类多功能用地</v>
      </c>
      <c r="J5" s="3410"/>
      <c r="K5" s="535"/>
      <c r="L5" s="2480"/>
      <c r="M5" s="2481"/>
      <c r="N5" s="2481"/>
      <c r="O5" s="2481"/>
      <c r="P5" s="3397"/>
      <c r="Q5" s="3398"/>
      <c r="R5" s="3403"/>
      <c r="S5" s="3404"/>
      <c r="T5" s="3403"/>
      <c r="U5" s="3404"/>
      <c r="V5" s="3388"/>
      <c r="W5" s="3388"/>
      <c r="X5" s="1260"/>
      <c r="Y5" s="3403"/>
      <c r="Z5" s="3404"/>
      <c r="AA5" s="3390"/>
      <c r="AB5" s="3390"/>
      <c r="AC5" s="3390"/>
    </row>
    <row r="6" spans="1:29" ht="15.75" thickBot="1">
      <c r="A6" s="348"/>
      <c r="B6" s="349"/>
      <c r="C6" s="3407" t="s">
        <v>1677</v>
      </c>
      <c r="D6" s="3408"/>
      <c r="E6" s="3414" t="s">
        <v>1677</v>
      </c>
      <c r="F6" s="3415"/>
      <c r="G6" s="3407" t="s">
        <v>1677</v>
      </c>
      <c r="H6" s="3408"/>
      <c r="I6" s="3407" t="s">
        <v>1677</v>
      </c>
      <c r="J6" s="3408"/>
      <c r="K6" s="535" t="s">
        <v>1678</v>
      </c>
      <c r="L6" s="2480"/>
      <c r="M6" s="2481"/>
      <c r="N6" s="2481"/>
      <c r="O6" s="2481"/>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t="str">
        <f>土地案例!L13</f>
        <v>2022-08-22</v>
      </c>
      <c r="F7" s="355">
        <f>SUMIF(69:69,YEAR(E7)&amp;"-"&amp;INT((MONTH(E7)+2)/3),70:70)</f>
        <v>100</v>
      </c>
      <c r="G7" s="1817" t="str">
        <f>土地案例!L14</f>
        <v>2022-08-23</v>
      </c>
      <c r="H7" s="353">
        <f>SUMIF(69:69,YEAR(G7)&amp;"-"&amp;INT((MONTH(G7)+2)/3),70:70)</f>
        <v>100</v>
      </c>
      <c r="I7" s="1817" t="str">
        <f>土地案例!L15</f>
        <v>2022-07-19</v>
      </c>
      <c r="J7" s="353">
        <f>SUMIF(69:69,YEAR(I7)&amp;"-"&amp;INT((MONTH(I7)+2)/3),70:70)</f>
        <v>100</v>
      </c>
      <c r="K7" s="38"/>
      <c r="L7" s="2482"/>
      <c r="M7" s="2434"/>
      <c r="N7" s="2434"/>
      <c r="O7" s="2434"/>
      <c r="P7" s="3411" t="s">
        <v>1680</v>
      </c>
      <c r="Q7" s="3413"/>
      <c r="R7" s="660" t="s">
        <v>14</v>
      </c>
      <c r="S7" s="661">
        <f t="shared" ref="S7:S15" si="0">F7</f>
        <v>100</v>
      </c>
      <c r="T7" s="660" t="s">
        <v>14</v>
      </c>
      <c r="U7" s="661">
        <f t="shared" ref="U7:U15" si="1">H7</f>
        <v>100</v>
      </c>
      <c r="V7" s="660" t="s">
        <v>14</v>
      </c>
      <c r="W7" s="661">
        <f t="shared" ref="W7:W15" si="2">J7</f>
        <v>100</v>
      </c>
      <c r="X7" s="662"/>
      <c r="Y7" s="3411" t="s">
        <v>1680</v>
      </c>
      <c r="Z7" s="3412"/>
      <c r="AA7" s="50">
        <f>D7/F7</f>
        <v>1</v>
      </c>
      <c r="AB7" s="50">
        <f>D7/H7</f>
        <v>1</v>
      </c>
      <c r="AC7" s="50">
        <f>D7/J7</f>
        <v>1</v>
      </c>
    </row>
    <row r="8" spans="1:29" s="101" customFormat="1" ht="15.75" thickBot="1">
      <c r="A8" s="350" t="s">
        <v>1681</v>
      </c>
      <c r="B8" s="351"/>
      <c r="C8" s="356" t="s">
        <v>1682</v>
      </c>
      <c r="D8" s="353">
        <v>100</v>
      </c>
      <c r="E8" s="356" t="s">
        <v>3586</v>
      </c>
      <c r="F8" s="355">
        <f>SUMIF(72:72,E8,73:73)-SUMIF(72:72,C8,73:73)+100</f>
        <v>100</v>
      </c>
      <c r="G8" s="356" t="s">
        <v>3586</v>
      </c>
      <c r="H8" s="353">
        <f>SUMIF(72:72,G8,73:73)-SUMIF(72:72,C8,73:73)+100</f>
        <v>100</v>
      </c>
      <c r="I8" s="356" t="s">
        <v>3586</v>
      </c>
      <c r="J8" s="353">
        <f>SUMIF(72:72,I8,73:73)-SUMIF(72:72,C8,73:73)+100</f>
        <v>100</v>
      </c>
      <c r="K8" s="38"/>
      <c r="L8" s="2482"/>
      <c r="M8" s="2434"/>
      <c r="N8" s="2434"/>
      <c r="O8" s="2434"/>
      <c r="P8" s="3411" t="s">
        <v>1683</v>
      </c>
      <c r="Q8" s="3412"/>
      <c r="R8" s="660" t="s">
        <v>14</v>
      </c>
      <c r="S8" s="661">
        <f t="shared" si="0"/>
        <v>100</v>
      </c>
      <c r="T8" s="660" t="s">
        <v>14</v>
      </c>
      <c r="U8" s="661">
        <f t="shared" si="1"/>
        <v>100</v>
      </c>
      <c r="V8" s="660" t="s">
        <v>14</v>
      </c>
      <c r="W8" s="661">
        <f t="shared" si="2"/>
        <v>100</v>
      </c>
      <c r="X8" s="662"/>
      <c r="Y8" s="3411" t="s">
        <v>1683</v>
      </c>
      <c r="Z8" s="3412"/>
      <c r="AA8" s="50">
        <f t="shared" ref="AA8:AA45" si="3">D8/F8</f>
        <v>1</v>
      </c>
      <c r="AB8" s="50">
        <f t="shared" ref="AB8:AB45" si="4">D8/H8</f>
        <v>1</v>
      </c>
      <c r="AC8" s="50">
        <f t="shared" ref="AC8:AC45" si="5">D8/J8</f>
        <v>1</v>
      </c>
    </row>
    <row r="9" spans="1:29" s="101" customFormat="1" ht="15">
      <c r="A9" s="357" t="s">
        <v>1684</v>
      </c>
      <c r="B9" s="60" t="s">
        <v>1685</v>
      </c>
      <c r="C9" s="1820" t="s">
        <v>3626</v>
      </c>
      <c r="D9" s="59">
        <v>100</v>
      </c>
      <c r="E9" s="1820" t="s">
        <v>3627</v>
      </c>
      <c r="F9" s="59">
        <f>SUMIF(74:74,E9,75:75)-SUMIF(74:74,C9,75:75)+100</f>
        <v>95</v>
      </c>
      <c r="G9" s="1820" t="s">
        <v>3627</v>
      </c>
      <c r="H9" s="59">
        <f>SUMIF(74:74,G9,75:75)-SUMIF(74:74,C9,75:75)+100</f>
        <v>95</v>
      </c>
      <c r="I9" s="1820" t="s">
        <v>3627</v>
      </c>
      <c r="J9" s="59">
        <f>SUMIF(74:74,I9,75:75)-SUMIF(74:74,C9,75:75)+100</f>
        <v>95</v>
      </c>
      <c r="K9" s="38"/>
      <c r="L9" s="2482"/>
      <c r="M9" s="2434"/>
      <c r="N9" s="2434"/>
      <c r="O9" s="2534"/>
      <c r="P9" s="3383" t="s">
        <v>1686</v>
      </c>
      <c r="Q9" s="528" t="str">
        <f t="shared" ref="Q9:Q15" si="6">B9</f>
        <v>用途</v>
      </c>
      <c r="R9" s="660" t="s">
        <v>14</v>
      </c>
      <c r="S9" s="661">
        <f t="shared" si="0"/>
        <v>95</v>
      </c>
      <c r="T9" s="660" t="s">
        <v>14</v>
      </c>
      <c r="U9" s="661">
        <f t="shared" si="1"/>
        <v>95</v>
      </c>
      <c r="V9" s="660" t="s">
        <v>14</v>
      </c>
      <c r="W9" s="661">
        <f t="shared" si="2"/>
        <v>95</v>
      </c>
      <c r="X9" s="662"/>
      <c r="Y9" s="3283" t="s">
        <v>1687</v>
      </c>
      <c r="Z9" s="50" t="str">
        <f t="shared" ref="Z9:Z15" si="7">Q9</f>
        <v>用途</v>
      </c>
      <c r="AA9" s="50">
        <f t="shared" si="3"/>
        <v>1.0526315789473684</v>
      </c>
      <c r="AB9" s="50">
        <f t="shared" si="4"/>
        <v>1.0526315789473684</v>
      </c>
      <c r="AC9" s="50">
        <f t="shared" si="5"/>
        <v>1.0526315789473684</v>
      </c>
    </row>
    <row r="10" spans="1:29" s="364" customFormat="1" ht="27">
      <c r="A10" s="361"/>
      <c r="B10" s="362" t="s">
        <v>1688</v>
      </c>
      <c r="C10" s="369"/>
      <c r="D10" s="117">
        <v>100</v>
      </c>
      <c r="E10" s="401"/>
      <c r="F10" s="117">
        <f>ROUND(100/'数据-取费表'!G16,0)</f>
        <v>104</v>
      </c>
      <c r="G10" s="400"/>
      <c r="H10" s="117">
        <f>ROUND(100/'数据-取费表'!G16,0)</f>
        <v>104</v>
      </c>
      <c r="I10" s="400"/>
      <c r="J10" s="117">
        <f>ROUND(100/'数据-取费表'!G16,0)</f>
        <v>104</v>
      </c>
      <c r="K10" s="590"/>
      <c r="L10" s="2483"/>
      <c r="M10" s="2484"/>
      <c r="N10" s="2484"/>
      <c r="O10" s="2535"/>
      <c r="P10" s="3383"/>
      <c r="Q10" s="528" t="str">
        <f t="shared" si="6"/>
        <v>土地使用年限（年）</v>
      </c>
      <c r="R10" s="660" t="s">
        <v>14</v>
      </c>
      <c r="S10" s="661">
        <f t="shared" si="0"/>
        <v>104</v>
      </c>
      <c r="T10" s="660" t="s">
        <v>14</v>
      </c>
      <c r="U10" s="661">
        <f t="shared" si="1"/>
        <v>104</v>
      </c>
      <c r="V10" s="660" t="s">
        <v>14</v>
      </c>
      <c r="W10" s="661">
        <f t="shared" si="2"/>
        <v>104</v>
      </c>
      <c r="X10" s="662"/>
      <c r="Y10" s="3283"/>
      <c r="Z10" s="50" t="str">
        <f t="shared" si="7"/>
        <v>土地使用年限（年）</v>
      </c>
      <c r="AA10" s="50">
        <f t="shared" si="3"/>
        <v>0.96153846153846156</v>
      </c>
      <c r="AB10" s="50">
        <f t="shared" si="4"/>
        <v>0.96153846153846156</v>
      </c>
      <c r="AC10" s="50">
        <f t="shared" si="5"/>
        <v>0.96153846153846156</v>
      </c>
    </row>
    <row r="11" spans="1:29" ht="15.75" thickBot="1">
      <c r="A11" s="365"/>
      <c r="B11" s="362" t="s">
        <v>1689</v>
      </c>
      <c r="C11" s="366">
        <f>'数据-汇总表'!I7</f>
        <v>2</v>
      </c>
      <c r="D11" s="117">
        <v>100</v>
      </c>
      <c r="E11" s="366">
        <v>2.2000000000000002</v>
      </c>
      <c r="F11" s="117">
        <f>LOOKUP(E11,79:79,80:80)-LOOKUP(C11,79:79,80:80)+100</f>
        <v>100</v>
      </c>
      <c r="G11" s="367">
        <v>2.2000000000000002</v>
      </c>
      <c r="H11" s="117">
        <f>LOOKUP(G11,79:79,80:80)-LOOKUP(C11,79:79,80:80)+100</f>
        <v>100</v>
      </c>
      <c r="I11" s="366">
        <v>2</v>
      </c>
      <c r="J11" s="117">
        <f>LOOKUP(I11,79:79,80:80)-LOOKUP(C11,79:79,80:80)+100</f>
        <v>100</v>
      </c>
      <c r="K11" s="591">
        <v>2</v>
      </c>
      <c r="L11" s="2485"/>
      <c r="M11" s="2481"/>
      <c r="N11" s="2481"/>
      <c r="O11" s="2536"/>
      <c r="P11" s="3383"/>
      <c r="Q11" s="528" t="str">
        <f t="shared" si="6"/>
        <v>容积率</v>
      </c>
      <c r="R11" s="660" t="s">
        <v>14</v>
      </c>
      <c r="S11" s="661">
        <f t="shared" si="0"/>
        <v>100</v>
      </c>
      <c r="T11" s="660" t="s">
        <v>14</v>
      </c>
      <c r="U11" s="661">
        <f t="shared" si="1"/>
        <v>100</v>
      </c>
      <c r="V11" s="660" t="s">
        <v>14</v>
      </c>
      <c r="W11" s="661">
        <f t="shared" si="2"/>
        <v>100</v>
      </c>
      <c r="X11" s="662"/>
      <c r="Y11" s="3283"/>
      <c r="Z11" s="50" t="str">
        <f t="shared" si="7"/>
        <v>容积率</v>
      </c>
      <c r="AA11" s="50">
        <f t="shared" si="3"/>
        <v>1</v>
      </c>
      <c r="AB11" s="50">
        <f t="shared" si="4"/>
        <v>1</v>
      </c>
      <c r="AC11" s="50">
        <f t="shared" si="5"/>
        <v>1</v>
      </c>
    </row>
    <row r="12" spans="1:29" s="101" customFormat="1" ht="15.75" thickTop="1">
      <c r="A12" s="368"/>
      <c r="B12" s="445" t="s">
        <v>1870</v>
      </c>
      <c r="C12" s="3173" t="s">
        <v>3630</v>
      </c>
      <c r="D12" s="370">
        <v>100</v>
      </c>
      <c r="E12" s="3173" t="s">
        <v>3628</v>
      </c>
      <c r="F12" s="117">
        <f>SUMIF(81:81,E12,82:82)-SUMIF(81:81,C12,82:82)+100</f>
        <v>120</v>
      </c>
      <c r="G12" s="3173" t="s">
        <v>3628</v>
      </c>
      <c r="H12" s="117">
        <f>SUMIF(81:81,G12,82:82)-SUMIF(81:81,C12,82:82)+100</f>
        <v>120</v>
      </c>
      <c r="I12" s="3173" t="s">
        <v>3630</v>
      </c>
      <c r="J12" s="117">
        <f>SUMIF(81:81,I12,82:82)-SUMIF(81:81,C12,82:82)+100</f>
        <v>100</v>
      </c>
      <c r="K12" s="590"/>
      <c r="L12" s="2482"/>
      <c r="M12" s="2434"/>
      <c r="N12" s="2434"/>
      <c r="O12" s="2534"/>
      <c r="P12" s="3383"/>
      <c r="Q12" s="528" t="str">
        <f t="shared" si="6"/>
        <v>配建</v>
      </c>
      <c r="R12" s="660" t="s">
        <v>14</v>
      </c>
      <c r="S12" s="661">
        <f t="shared" si="0"/>
        <v>120</v>
      </c>
      <c r="T12" s="660" t="s">
        <v>14</v>
      </c>
      <c r="U12" s="661">
        <f t="shared" si="1"/>
        <v>120</v>
      </c>
      <c r="V12" s="660" t="s">
        <v>14</v>
      </c>
      <c r="W12" s="661">
        <f t="shared" si="2"/>
        <v>100</v>
      </c>
      <c r="X12" s="662"/>
      <c r="Y12" s="3283"/>
      <c r="Z12" s="50" t="str">
        <f t="shared" si="7"/>
        <v>配建</v>
      </c>
      <c r="AA12" s="50">
        <f>D12/F12</f>
        <v>0.83333333333333337</v>
      </c>
      <c r="AB12" s="50">
        <f>D12/H12</f>
        <v>0.83333333333333337</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383"/>
      <c r="Q13" s="528">
        <f t="shared" si="6"/>
        <v>111</v>
      </c>
      <c r="R13" s="660" t="s">
        <v>14</v>
      </c>
      <c r="S13" s="661">
        <f t="shared" si="0"/>
        <v>100</v>
      </c>
      <c r="T13" s="660" t="s">
        <v>14</v>
      </c>
      <c r="U13" s="661">
        <f t="shared" si="1"/>
        <v>100</v>
      </c>
      <c r="V13" s="660" t="s">
        <v>14</v>
      </c>
      <c r="W13" s="661">
        <f t="shared" si="2"/>
        <v>100</v>
      </c>
      <c r="X13" s="662"/>
      <c r="Y13" s="3283"/>
      <c r="Z13" s="50">
        <f t="shared" si="7"/>
        <v>111</v>
      </c>
      <c r="AA13" s="50">
        <f>D13/F13</f>
        <v>1</v>
      </c>
      <c r="AB13" s="50">
        <f>D13/H13</f>
        <v>1</v>
      </c>
      <c r="AC13" s="50">
        <f>D13/J13</f>
        <v>1</v>
      </c>
    </row>
    <row r="14" spans="1:29" ht="15.75" thickBot="1">
      <c r="A14" s="373"/>
      <c r="B14" s="1744">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383"/>
      <c r="Q14" s="528">
        <f t="shared" si="6"/>
        <v>111</v>
      </c>
      <c r="R14" s="660" t="s">
        <v>14</v>
      </c>
      <c r="S14" s="661">
        <f t="shared" si="0"/>
        <v>100</v>
      </c>
      <c r="T14" s="660" t="s">
        <v>14</v>
      </c>
      <c r="U14" s="661">
        <f t="shared" si="1"/>
        <v>100</v>
      </c>
      <c r="V14" s="660" t="s">
        <v>14</v>
      </c>
      <c r="W14" s="661">
        <f t="shared" si="2"/>
        <v>100</v>
      </c>
      <c r="X14" s="662"/>
      <c r="Y14" s="3283"/>
      <c r="Z14" s="50">
        <f t="shared" si="7"/>
        <v>111</v>
      </c>
      <c r="AA14" s="50">
        <f>D14/F14</f>
        <v>1</v>
      </c>
      <c r="AB14" s="50">
        <f>D14/H14</f>
        <v>1</v>
      </c>
      <c r="AC14" s="50">
        <f>D14/J14</f>
        <v>1</v>
      </c>
    </row>
    <row r="15" spans="1:29" ht="15">
      <c r="A15" s="377" t="s">
        <v>1690</v>
      </c>
      <c r="B15" s="58" t="s">
        <v>1257</v>
      </c>
      <c r="C15" s="1745">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384" t="s">
        <v>1691</v>
      </c>
      <c r="Q15" s="1258" t="str">
        <f t="shared" si="6"/>
        <v>居住社区成熟度</v>
      </c>
      <c r="R15" s="663" t="s">
        <v>14</v>
      </c>
      <c r="S15" s="664">
        <f t="shared" si="0"/>
        <v>100</v>
      </c>
      <c r="T15" s="663" t="s">
        <v>14</v>
      </c>
      <c r="U15" s="664">
        <f t="shared" si="1"/>
        <v>100</v>
      </c>
      <c r="V15" s="663" t="s">
        <v>14</v>
      </c>
      <c r="W15" s="664">
        <f t="shared" si="2"/>
        <v>100</v>
      </c>
      <c r="X15" s="1260"/>
      <c r="Y15" s="3384" t="s">
        <v>1691</v>
      </c>
      <c r="Z15" s="1259" t="str">
        <f t="shared" si="7"/>
        <v>居住社区成熟度</v>
      </c>
      <c r="AA15" s="1259">
        <f t="shared" si="3"/>
        <v>1</v>
      </c>
      <c r="AB15" s="1259">
        <f t="shared" si="4"/>
        <v>1</v>
      </c>
      <c r="AC15" s="1259">
        <f t="shared" si="5"/>
        <v>1</v>
      </c>
    </row>
    <row r="16" spans="1:29" ht="15">
      <c r="A16" s="365"/>
      <c r="B16" s="383"/>
      <c r="C16" s="384"/>
      <c r="D16" s="385"/>
      <c r="E16" s="1747"/>
      <c r="F16" s="385"/>
      <c r="G16" s="1747"/>
      <c r="H16" s="387"/>
      <c r="I16" s="1746"/>
      <c r="J16" s="385"/>
      <c r="K16" s="590"/>
      <c r="L16" s="2486"/>
      <c r="M16" s="2481"/>
      <c r="N16" s="2481"/>
      <c r="O16" s="2536"/>
      <c r="P16" s="3385"/>
      <c r="Q16" s="1258"/>
      <c r="R16" s="663"/>
      <c r="S16" s="664"/>
      <c r="T16" s="663"/>
      <c r="U16" s="664"/>
      <c r="V16" s="663"/>
      <c r="W16" s="664"/>
      <c r="X16" s="1260"/>
      <c r="Y16" s="3385"/>
      <c r="Z16" s="1259"/>
      <c r="AA16" s="1259">
        <v>1</v>
      </c>
      <c r="AB16" s="1259">
        <v>1</v>
      </c>
      <c r="AC16" s="1259">
        <v>1</v>
      </c>
    </row>
    <row r="17" spans="1:29" ht="71.25">
      <c r="A17" s="365"/>
      <c r="B17" s="388" t="s">
        <v>1777</v>
      </c>
      <c r="C17" s="1801" t="str">
        <f>估价对象房地状况!C16</f>
        <v>位于亦庄，周边商业氛围成熟度一般，人流量较大，商业繁华度一般</v>
      </c>
      <c r="D17" s="387">
        <v>100</v>
      </c>
      <c r="E17" s="389"/>
      <c r="F17" s="387">
        <f>SUMIF(89:89,E18,90:90)-SUMIF(89:89,C18,90:90)+100</f>
        <v>100</v>
      </c>
      <c r="G17" s="389"/>
      <c r="H17" s="392">
        <f>SUMIF(89:89,G18,90:90)-SUMIF(89:89,C18,90:90)+100</f>
        <v>100</v>
      </c>
      <c r="I17" s="391"/>
      <c r="J17" s="392">
        <f>SUMIF(89:89,I18,90:90)-SUMIF(89:89,C18,90:90)+100</f>
        <v>100</v>
      </c>
      <c r="K17" s="591">
        <v>3</v>
      </c>
      <c r="L17" s="2486"/>
      <c r="M17" s="2481"/>
      <c r="N17" s="2481"/>
      <c r="O17" s="2536"/>
      <c r="P17" s="3385"/>
      <c r="Q17" s="1258" t="str">
        <f>B17</f>
        <v>商业繁华度</v>
      </c>
      <c r="R17" s="663" t="s">
        <v>14</v>
      </c>
      <c r="S17" s="664">
        <f>F17</f>
        <v>100</v>
      </c>
      <c r="T17" s="663" t="s">
        <v>14</v>
      </c>
      <c r="U17" s="664">
        <f>H17</f>
        <v>100</v>
      </c>
      <c r="V17" s="663" t="s">
        <v>14</v>
      </c>
      <c r="W17" s="664">
        <f>J17</f>
        <v>100</v>
      </c>
      <c r="X17" s="1260"/>
      <c r="Y17" s="3385"/>
      <c r="Z17" s="1259" t="str">
        <f>Q17</f>
        <v>商业繁华度</v>
      </c>
      <c r="AA17" s="1259">
        <f t="shared" si="3"/>
        <v>1</v>
      </c>
      <c r="AB17" s="1259">
        <f t="shared" si="4"/>
        <v>1</v>
      </c>
      <c r="AC17" s="1259">
        <f t="shared" si="5"/>
        <v>1</v>
      </c>
    </row>
    <row r="18" spans="1:29" ht="15">
      <c r="A18" s="365"/>
      <c r="B18" s="393"/>
      <c r="C18" s="1750" t="s">
        <v>3646</v>
      </c>
      <c r="D18" s="387"/>
      <c r="E18" s="1750" t="s">
        <v>3646</v>
      </c>
      <c r="F18" s="387"/>
      <c r="G18" s="1750" t="s">
        <v>3646</v>
      </c>
      <c r="H18" s="385"/>
      <c r="I18" s="1750" t="s">
        <v>3646</v>
      </c>
      <c r="J18" s="385"/>
      <c r="K18" s="590"/>
      <c r="L18" s="2486"/>
      <c r="M18" s="2481"/>
      <c r="N18" s="2481"/>
      <c r="O18" s="2536"/>
      <c r="P18" s="3385"/>
      <c r="Q18" s="1258"/>
      <c r="R18" s="663"/>
      <c r="S18" s="664"/>
      <c r="T18" s="663"/>
      <c r="U18" s="664"/>
      <c r="V18" s="663"/>
      <c r="W18" s="664"/>
      <c r="X18" s="1260"/>
      <c r="Y18" s="3385"/>
      <c r="Z18" s="1259"/>
      <c r="AA18" s="1259">
        <v>1</v>
      </c>
      <c r="AB18" s="1259">
        <v>1</v>
      </c>
      <c r="AC18" s="1259">
        <v>1</v>
      </c>
    </row>
    <row r="19" spans="1:29" ht="15">
      <c r="A19" s="365"/>
      <c r="B19" s="388" t="s">
        <v>1811</v>
      </c>
      <c r="C19" s="1801">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385"/>
      <c r="Q19" s="1258" t="str">
        <f>B19</f>
        <v>办公集聚程度</v>
      </c>
      <c r="R19" s="663" t="s">
        <v>14</v>
      </c>
      <c r="S19" s="664">
        <f>F19</f>
        <v>100</v>
      </c>
      <c r="T19" s="663" t="s">
        <v>14</v>
      </c>
      <c r="U19" s="664">
        <f>H19</f>
        <v>100</v>
      </c>
      <c r="V19" s="663" t="s">
        <v>14</v>
      </c>
      <c r="W19" s="664">
        <f>J19</f>
        <v>100</v>
      </c>
      <c r="X19" s="1260"/>
      <c r="Y19" s="3385"/>
      <c r="Z19" s="1259" t="str">
        <f>Q19</f>
        <v>办公集聚程度</v>
      </c>
      <c r="AA19" s="1259">
        <f t="shared" si="3"/>
        <v>1</v>
      </c>
      <c r="AB19" s="1259">
        <f t="shared" si="4"/>
        <v>1</v>
      </c>
      <c r="AC19" s="1259">
        <f t="shared" si="5"/>
        <v>1</v>
      </c>
    </row>
    <row r="20" spans="1:29" ht="15">
      <c r="A20" s="365"/>
      <c r="B20" s="393"/>
      <c r="C20" s="384"/>
      <c r="D20" s="385"/>
      <c r="E20" s="1747"/>
      <c r="F20" s="385"/>
      <c r="G20" s="1747"/>
      <c r="H20" s="385"/>
      <c r="I20" s="1746"/>
      <c r="J20" s="385"/>
      <c r="K20" s="590"/>
      <c r="L20" s="2486"/>
      <c r="M20" s="2481"/>
      <c r="N20" s="2481"/>
      <c r="O20" s="2536"/>
      <c r="P20" s="3385"/>
      <c r="Q20" s="1258"/>
      <c r="R20" s="663"/>
      <c r="S20" s="664"/>
      <c r="T20" s="663"/>
      <c r="U20" s="664"/>
      <c r="V20" s="663"/>
      <c r="W20" s="664"/>
      <c r="X20" s="1260"/>
      <c r="Y20" s="3385"/>
      <c r="Z20" s="1259"/>
      <c r="AA20" s="1259">
        <v>1</v>
      </c>
      <c r="AB20" s="1259">
        <v>1</v>
      </c>
      <c r="AC20" s="1259">
        <v>1</v>
      </c>
    </row>
    <row r="21" spans="1:29" ht="85.5">
      <c r="A21" s="365"/>
      <c r="B21" s="388" t="s">
        <v>1833</v>
      </c>
      <c r="C21" s="1749" t="str">
        <f>估价对象房地状况!C18</f>
        <v>估价对象周边道路状况、公共交通通达情况、停车便捷程度，综合评价交通便捷度较好</v>
      </c>
      <c r="D21" s="387">
        <v>100</v>
      </c>
      <c r="E21" s="389"/>
      <c r="F21" s="392">
        <f>SUMIF(93:93,E22,94:94)-SUMIF(93:93,C22,94:94)+100</f>
        <v>97</v>
      </c>
      <c r="G21" s="389"/>
      <c r="H21" s="387">
        <f>SUMIF(93:93,G22,94:94)-SUMIF(93:93,C22,94:94)+100</f>
        <v>97</v>
      </c>
      <c r="I21" s="391"/>
      <c r="J21" s="387">
        <f>SUMIF(93:93,I22,94:94)-SUMIF(93:93,C22,94:94)+100</f>
        <v>100</v>
      </c>
      <c r="K21" s="591">
        <v>3</v>
      </c>
      <c r="L21" s="2486"/>
      <c r="M21" s="2481"/>
      <c r="N21" s="2481"/>
      <c r="O21" s="2536"/>
      <c r="P21" s="3385"/>
      <c r="Q21" s="1258" t="str">
        <f>B21</f>
        <v>交通便捷度</v>
      </c>
      <c r="R21" s="663" t="s">
        <v>14</v>
      </c>
      <c r="S21" s="664">
        <f>F21</f>
        <v>97</v>
      </c>
      <c r="T21" s="663" t="s">
        <v>14</v>
      </c>
      <c r="U21" s="664">
        <f>H21</f>
        <v>97</v>
      </c>
      <c r="V21" s="663" t="s">
        <v>14</v>
      </c>
      <c r="W21" s="664">
        <f>J21</f>
        <v>100</v>
      </c>
      <c r="X21" s="1260"/>
      <c r="Y21" s="3385"/>
      <c r="Z21" s="1259" t="str">
        <f>Q21</f>
        <v>交通便捷度</v>
      </c>
      <c r="AA21" s="1259">
        <f t="shared" si="3"/>
        <v>1.0309278350515463</v>
      </c>
      <c r="AB21" s="1259">
        <f t="shared" si="4"/>
        <v>1.0309278350515463</v>
      </c>
      <c r="AC21" s="1259">
        <f t="shared" si="5"/>
        <v>1</v>
      </c>
    </row>
    <row r="22" spans="1:29" ht="15">
      <c r="A22" s="365"/>
      <c r="B22" s="584"/>
      <c r="C22" s="384" t="s">
        <v>3645</v>
      </c>
      <c r="D22" s="387"/>
      <c r="E22" s="1750" t="s">
        <v>3646</v>
      </c>
      <c r="F22" s="385"/>
      <c r="G22" s="1750" t="s">
        <v>3646</v>
      </c>
      <c r="H22" s="385"/>
      <c r="I22" s="384" t="s">
        <v>3645</v>
      </c>
      <c r="J22" s="385"/>
      <c r="K22" s="590"/>
      <c r="L22" s="2486"/>
      <c r="M22" s="2481"/>
      <c r="N22" s="2481"/>
      <c r="O22" s="2536"/>
      <c r="P22" s="3385"/>
      <c r="Q22" s="1258"/>
      <c r="R22" s="663"/>
      <c r="S22" s="664"/>
      <c r="T22" s="663"/>
      <c r="U22" s="664"/>
      <c r="V22" s="663"/>
      <c r="W22" s="664"/>
      <c r="X22" s="1260"/>
      <c r="Y22" s="3385"/>
      <c r="Z22" s="1259"/>
      <c r="AA22" s="1259">
        <v>1</v>
      </c>
      <c r="AB22" s="1259">
        <v>1</v>
      </c>
      <c r="AC22" s="1259">
        <v>1</v>
      </c>
    </row>
    <row r="23" spans="1:29" ht="15">
      <c r="A23" s="346"/>
      <c r="B23" s="388" t="s">
        <v>1871</v>
      </c>
      <c r="C23" s="1065">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385"/>
      <c r="Q23" s="1258" t="str">
        <f t="shared" ref="Q23:Q37" si="8">B23</f>
        <v>区域土地利用方向</v>
      </c>
      <c r="R23" s="663" t="s">
        <v>14</v>
      </c>
      <c r="S23" s="664">
        <f>F23</f>
        <v>100</v>
      </c>
      <c r="T23" s="663" t="s">
        <v>14</v>
      </c>
      <c r="U23" s="664">
        <f>H23</f>
        <v>100</v>
      </c>
      <c r="V23" s="663" t="s">
        <v>14</v>
      </c>
      <c r="W23" s="664">
        <f>J23</f>
        <v>100</v>
      </c>
      <c r="X23" s="1260"/>
      <c r="Y23" s="3385"/>
      <c r="Z23" s="1259" t="str">
        <f>Q23</f>
        <v>区域土地利用方向</v>
      </c>
      <c r="AA23" s="1259">
        <f t="shared" si="3"/>
        <v>1</v>
      </c>
      <c r="AB23" s="1259">
        <f t="shared" si="4"/>
        <v>1</v>
      </c>
      <c r="AC23" s="1259">
        <f t="shared" si="5"/>
        <v>1</v>
      </c>
    </row>
    <row r="24" spans="1:29" ht="15">
      <c r="A24" s="346"/>
      <c r="B24" s="393"/>
      <c r="C24" s="540" t="s">
        <v>3645</v>
      </c>
      <c r="D24" s="385"/>
      <c r="E24" s="540" t="s">
        <v>3645</v>
      </c>
      <c r="F24" s="385"/>
      <c r="G24" s="540" t="s">
        <v>3645</v>
      </c>
      <c r="H24" s="385"/>
      <c r="I24" s="540" t="s">
        <v>3645</v>
      </c>
      <c r="J24" s="385"/>
      <c r="K24" s="694"/>
      <c r="L24" s="2486"/>
      <c r="M24" s="2481"/>
      <c r="N24" s="2481"/>
      <c r="O24" s="2536"/>
      <c r="P24" s="3385"/>
      <c r="Q24" s="1258"/>
      <c r="R24" s="663"/>
      <c r="S24" s="664"/>
      <c r="T24" s="663"/>
      <c r="U24" s="664"/>
      <c r="V24" s="663"/>
      <c r="W24" s="664"/>
      <c r="X24" s="1260"/>
      <c r="Y24" s="3385"/>
      <c r="Z24" s="1259"/>
      <c r="AA24" s="1259"/>
      <c r="AB24" s="1259"/>
      <c r="AC24" s="1259"/>
    </row>
    <row r="25" spans="1:29" ht="57">
      <c r="A25" s="346"/>
      <c r="B25" s="584" t="s">
        <v>1872</v>
      </c>
      <c r="C25" s="1801" t="str">
        <f>估价对象房地状况!C20</f>
        <v>区域自然环境：；人文环境；综合评价环境状况一般</v>
      </c>
      <c r="D25" s="387">
        <v>100</v>
      </c>
      <c r="E25" s="389"/>
      <c r="F25" s="387">
        <f>SUMIF(97:97,E26,98:98)-SUMIF(97:97,C26,98:98)+100</f>
        <v>102</v>
      </c>
      <c r="G25" s="389"/>
      <c r="H25" s="387">
        <f>SUMIF(97:97,G26,98:98)-SUMIF(97:97,C26,98:98)+100</f>
        <v>102</v>
      </c>
      <c r="I25" s="391"/>
      <c r="J25" s="387">
        <f>SUMIF(97:97,I26,98:98)-SUMIF(97:97,C26,98:98)+100</f>
        <v>102</v>
      </c>
      <c r="K25" s="591">
        <v>2</v>
      </c>
      <c r="L25" s="2486"/>
      <c r="M25" s="2481"/>
      <c r="N25" s="2481"/>
      <c r="O25" s="2536"/>
      <c r="P25" s="3385"/>
      <c r="Q25" s="1258" t="str">
        <f t="shared" si="8"/>
        <v>自然及人文环境状况</v>
      </c>
      <c r="R25" s="663" t="s">
        <v>14</v>
      </c>
      <c r="S25" s="664">
        <f>F25</f>
        <v>102</v>
      </c>
      <c r="T25" s="663" t="s">
        <v>14</v>
      </c>
      <c r="U25" s="664">
        <f>H25</f>
        <v>102</v>
      </c>
      <c r="V25" s="663" t="s">
        <v>14</v>
      </c>
      <c r="W25" s="664">
        <f>J25</f>
        <v>102</v>
      </c>
      <c r="X25" s="1260"/>
      <c r="Y25" s="3385"/>
      <c r="Z25" s="1259" t="str">
        <f>Q25</f>
        <v>自然及人文环境状况</v>
      </c>
      <c r="AA25" s="1259">
        <f t="shared" si="3"/>
        <v>0.98039215686274506</v>
      </c>
      <c r="AB25" s="1259">
        <f t="shared" si="4"/>
        <v>0.98039215686274506</v>
      </c>
      <c r="AC25" s="1259">
        <f t="shared" si="5"/>
        <v>0.98039215686274506</v>
      </c>
    </row>
    <row r="26" spans="1:29" ht="15">
      <c r="A26" s="346"/>
      <c r="B26" s="393"/>
      <c r="C26" s="384" t="s">
        <v>3646</v>
      </c>
      <c r="D26" s="385"/>
      <c r="E26" s="540" t="s">
        <v>3645</v>
      </c>
      <c r="F26" s="385"/>
      <c r="G26" s="540" t="s">
        <v>3645</v>
      </c>
      <c r="H26" s="385"/>
      <c r="I26" s="540" t="s">
        <v>3645</v>
      </c>
      <c r="J26" s="385"/>
      <c r="K26" s="590"/>
      <c r="L26" s="2486"/>
      <c r="M26" s="2481"/>
      <c r="N26" s="2481"/>
      <c r="O26" s="2536"/>
      <c r="P26" s="3385"/>
      <c r="Q26" s="1258"/>
      <c r="R26" s="663"/>
      <c r="S26" s="664"/>
      <c r="T26" s="663"/>
      <c r="U26" s="664"/>
      <c r="V26" s="663"/>
      <c r="W26" s="664"/>
      <c r="X26" s="1260"/>
      <c r="Y26" s="3385"/>
      <c r="Z26" s="1259"/>
      <c r="AA26" s="1259">
        <v>1</v>
      </c>
      <c r="AB26" s="1259">
        <v>1</v>
      </c>
      <c r="AC26" s="1259">
        <v>1</v>
      </c>
    </row>
    <row r="27" spans="1:29" s="101" customFormat="1" ht="42.75">
      <c r="A27" s="441"/>
      <c r="B27" s="584" t="s">
        <v>1778</v>
      </c>
      <c r="C27" s="1749"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v>2</v>
      </c>
      <c r="L27" s="2482"/>
      <c r="M27" s="2434"/>
      <c r="N27" s="2434"/>
      <c r="O27" s="2534"/>
      <c r="P27" s="3385"/>
      <c r="Q27" s="528" t="str">
        <f t="shared" si="8"/>
        <v>公共配套设施</v>
      </c>
      <c r="R27" s="660" t="s">
        <v>14</v>
      </c>
      <c r="S27" s="661">
        <f>F27</f>
        <v>100</v>
      </c>
      <c r="T27" s="660" t="s">
        <v>14</v>
      </c>
      <c r="U27" s="661">
        <f>H27</f>
        <v>100</v>
      </c>
      <c r="V27" s="660" t="s">
        <v>14</v>
      </c>
      <c r="W27" s="661">
        <f>J27</f>
        <v>100</v>
      </c>
      <c r="X27" s="662"/>
      <c r="Y27" s="3385"/>
      <c r="Z27" s="50" t="str">
        <f>Q27</f>
        <v>公共配套设施</v>
      </c>
      <c r="AA27" s="1259">
        <f>D27/F27</f>
        <v>1</v>
      </c>
      <c r="AB27" s="1259">
        <f>D27/H27</f>
        <v>1</v>
      </c>
      <c r="AC27" s="1259">
        <f>D27/J27</f>
        <v>1</v>
      </c>
    </row>
    <row r="28" spans="1:29" s="101" customFormat="1" ht="15">
      <c r="A28" s="441"/>
      <c r="B28" s="393"/>
      <c r="C28" s="1821" t="s">
        <v>3646</v>
      </c>
      <c r="D28" s="385"/>
      <c r="E28" s="1821" t="s">
        <v>3646</v>
      </c>
      <c r="F28" s="385"/>
      <c r="G28" s="1821" t="s">
        <v>3646</v>
      </c>
      <c r="H28" s="385"/>
      <c r="I28" s="1821" t="s">
        <v>3646</v>
      </c>
      <c r="J28" s="385"/>
      <c r="K28" s="590"/>
      <c r="L28" s="2482"/>
      <c r="M28" s="2434"/>
      <c r="N28" s="2434"/>
      <c r="O28" s="2534"/>
      <c r="P28" s="3385"/>
      <c r="Q28" s="528"/>
      <c r="R28" s="660"/>
      <c r="S28" s="661"/>
      <c r="T28" s="660"/>
      <c r="U28" s="661"/>
      <c r="V28" s="660"/>
      <c r="W28" s="661"/>
      <c r="X28" s="662"/>
      <c r="Y28" s="3385"/>
      <c r="Z28" s="50"/>
      <c r="AA28" s="1259">
        <v>1</v>
      </c>
      <c r="AB28" s="1259">
        <v>1</v>
      </c>
      <c r="AC28" s="1259">
        <v>1</v>
      </c>
    </row>
    <row r="29" spans="1:29" s="101" customFormat="1" ht="28.5">
      <c r="A29" s="441"/>
      <c r="B29" s="584" t="s">
        <v>1779</v>
      </c>
      <c r="C29" s="1749"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2"/>
      <c r="M29" s="2434"/>
      <c r="N29" s="2434"/>
      <c r="O29" s="2534"/>
      <c r="P29" s="3385"/>
      <c r="Q29" s="528" t="str">
        <f t="shared" ref="Q29" si="9">B29</f>
        <v>基础设施水平</v>
      </c>
      <c r="R29" s="660" t="s">
        <v>14</v>
      </c>
      <c r="S29" s="661">
        <f>F29</f>
        <v>100</v>
      </c>
      <c r="T29" s="660" t="s">
        <v>14</v>
      </c>
      <c r="U29" s="661">
        <f>H29</f>
        <v>100</v>
      </c>
      <c r="V29" s="660" t="s">
        <v>14</v>
      </c>
      <c r="W29" s="661">
        <f>J29</f>
        <v>100</v>
      </c>
      <c r="X29" s="662"/>
      <c r="Y29" s="3385"/>
      <c r="Z29" s="50" t="str">
        <f>Q29</f>
        <v>基础设施水平</v>
      </c>
      <c r="AA29" s="1259">
        <f>D29/F29</f>
        <v>1</v>
      </c>
      <c r="AB29" s="1259">
        <f>D29/H29</f>
        <v>1</v>
      </c>
      <c r="AC29" s="1259">
        <f>D29/J29</f>
        <v>1</v>
      </c>
    </row>
    <row r="30" spans="1:29" s="101" customFormat="1" ht="15">
      <c r="A30" s="441"/>
      <c r="B30" s="393"/>
      <c r="C30" s="1821" t="s">
        <v>3655</v>
      </c>
      <c r="D30" s="385"/>
      <c r="E30" s="1821" t="s">
        <v>3655</v>
      </c>
      <c r="F30" s="385"/>
      <c r="G30" s="1821" t="s">
        <v>3655</v>
      </c>
      <c r="H30" s="385"/>
      <c r="I30" s="1821" t="s">
        <v>3655</v>
      </c>
      <c r="J30" s="385"/>
      <c r="K30" s="590"/>
      <c r="L30" s="2482"/>
      <c r="M30" s="2434"/>
      <c r="N30" s="2434"/>
      <c r="O30" s="2534"/>
      <c r="P30" s="3385"/>
      <c r="Q30" s="528"/>
      <c r="R30" s="660"/>
      <c r="S30" s="661"/>
      <c r="T30" s="660"/>
      <c r="U30" s="661"/>
      <c r="V30" s="660"/>
      <c r="W30" s="661"/>
      <c r="X30" s="662"/>
      <c r="Y30" s="3385"/>
      <c r="Z30" s="50"/>
      <c r="AA30" s="1259">
        <v>1</v>
      </c>
      <c r="AB30" s="1259">
        <v>1</v>
      </c>
      <c r="AC30" s="1259">
        <v>1</v>
      </c>
    </row>
    <row r="31" spans="1:29" ht="15">
      <c r="A31" s="365"/>
      <c r="B31" s="393" t="s">
        <v>1780</v>
      </c>
      <c r="C31" s="540" t="s">
        <v>3656</v>
      </c>
      <c r="D31" s="372">
        <v>100</v>
      </c>
      <c r="E31" s="556" t="s">
        <v>3661</v>
      </c>
      <c r="F31" s="372">
        <f>SUMIF(103:103,E31,104:104)-SUMIF(103:103,C31,104:104)+100</f>
        <v>97</v>
      </c>
      <c r="G31" s="556" t="s">
        <v>3662</v>
      </c>
      <c r="H31" s="372">
        <f>SUMIF(103:103,G31,104:104)-SUMIF(103:103,C31,104:104)+100</f>
        <v>94</v>
      </c>
      <c r="I31" s="556" t="s">
        <v>3661</v>
      </c>
      <c r="J31" s="372">
        <f>SUMIF(103:103,I31,104:104)-SUMIF(103:103,C31,104:104)+100</f>
        <v>97</v>
      </c>
      <c r="K31" s="591">
        <v>3</v>
      </c>
      <c r="L31" s="2486"/>
      <c r="M31" s="2481"/>
      <c r="N31" s="2481"/>
      <c r="O31" s="2536"/>
      <c r="P31" s="3385"/>
      <c r="Q31" s="1258" t="str">
        <f t="shared" si="8"/>
        <v>临街状况</v>
      </c>
      <c r="R31" s="663" t="s">
        <v>14</v>
      </c>
      <c r="S31" s="664">
        <f t="shared" ref="S31:S45" si="10">F31</f>
        <v>97</v>
      </c>
      <c r="T31" s="663" t="s">
        <v>14</v>
      </c>
      <c r="U31" s="664">
        <f t="shared" ref="U31:U45" si="11">H31</f>
        <v>94</v>
      </c>
      <c r="V31" s="663" t="s">
        <v>14</v>
      </c>
      <c r="W31" s="664">
        <f t="shared" ref="W31:W45" si="12">J31</f>
        <v>97</v>
      </c>
      <c r="X31" s="1260"/>
      <c r="Y31" s="3385"/>
      <c r="Z31" s="1259" t="str">
        <f t="shared" ref="Z31:Z45" si="13">Q31</f>
        <v>临街状况</v>
      </c>
      <c r="AA31" s="1259">
        <f t="shared" si="3"/>
        <v>1.0309278350515463</v>
      </c>
      <c r="AB31" s="1259">
        <f t="shared" si="4"/>
        <v>1.0638297872340425</v>
      </c>
      <c r="AC31" s="1259">
        <f t="shared" si="5"/>
        <v>1.0309278350515463</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v>1</v>
      </c>
      <c r="L32" s="2486"/>
      <c r="M32" s="2481"/>
      <c r="N32" s="2481"/>
      <c r="O32" s="2536"/>
      <c r="P32" s="3385"/>
      <c r="Q32" s="1258" t="str">
        <f t="shared" si="8"/>
        <v>毗邻道路的类型与等级</v>
      </c>
      <c r="R32" s="663" t="s">
        <v>14</v>
      </c>
      <c r="S32" s="664">
        <f t="shared" si="10"/>
        <v>100</v>
      </c>
      <c r="T32" s="663" t="s">
        <v>14</v>
      </c>
      <c r="U32" s="664">
        <f t="shared" si="11"/>
        <v>100</v>
      </c>
      <c r="V32" s="663" t="s">
        <v>14</v>
      </c>
      <c r="W32" s="664">
        <f t="shared" si="12"/>
        <v>100</v>
      </c>
      <c r="X32" s="1260"/>
      <c r="Y32" s="3385"/>
      <c r="Z32" s="1259" t="str">
        <f t="shared" si="13"/>
        <v>毗邻道路的类型与等级</v>
      </c>
      <c r="AA32" s="1259">
        <f t="shared" si="3"/>
        <v>1</v>
      </c>
      <c r="AB32" s="1259">
        <f t="shared" si="4"/>
        <v>1</v>
      </c>
      <c r="AC32" s="1259">
        <f t="shared" si="5"/>
        <v>1</v>
      </c>
    </row>
    <row r="33" spans="1:29" ht="15">
      <c r="A33" s="365"/>
      <c r="B33" s="393"/>
      <c r="C33" s="384" t="s">
        <v>3657</v>
      </c>
      <c r="D33" s="385"/>
      <c r="E33" s="384" t="s">
        <v>3657</v>
      </c>
      <c r="F33" s="385"/>
      <c r="G33" s="384" t="s">
        <v>3657</v>
      </c>
      <c r="H33" s="385"/>
      <c r="I33" s="384" t="s">
        <v>3657</v>
      </c>
      <c r="J33" s="385"/>
      <c r="K33" s="537"/>
      <c r="L33" s="2486"/>
      <c r="M33" s="2481"/>
      <c r="N33" s="2481"/>
      <c r="O33" s="2536"/>
      <c r="P33" s="3385"/>
      <c r="Q33" s="1258"/>
      <c r="R33" s="663"/>
      <c r="S33" s="664"/>
      <c r="T33" s="663"/>
      <c r="U33" s="664"/>
      <c r="V33" s="663"/>
      <c r="W33" s="664"/>
      <c r="X33" s="1260"/>
      <c r="Y33" s="3385"/>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385"/>
      <c r="Q34" s="1258" t="str">
        <f t="shared" si="8"/>
        <v>土地级别</v>
      </c>
      <c r="R34" s="663" t="s">
        <v>14</v>
      </c>
      <c r="S34" s="664">
        <f t="shared" si="10"/>
        <v>100</v>
      </c>
      <c r="T34" s="663" t="s">
        <v>14</v>
      </c>
      <c r="U34" s="664">
        <f t="shared" si="11"/>
        <v>100</v>
      </c>
      <c r="V34" s="663" t="s">
        <v>14</v>
      </c>
      <c r="W34" s="664">
        <f t="shared" si="12"/>
        <v>100</v>
      </c>
      <c r="X34" s="1260"/>
      <c r="Y34" s="3385"/>
      <c r="Z34" s="1259" t="str">
        <f t="shared" si="13"/>
        <v>土地级别</v>
      </c>
      <c r="AA34" s="1259">
        <f t="shared" si="3"/>
        <v>1</v>
      </c>
      <c r="AB34" s="1259">
        <f t="shared" si="4"/>
        <v>1</v>
      </c>
      <c r="AC34" s="1259">
        <f t="shared" si="5"/>
        <v>1</v>
      </c>
    </row>
    <row r="35" spans="1:29" ht="15">
      <c r="A35" s="346"/>
      <c r="B35" s="1062">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385"/>
      <c r="Q35" s="1258">
        <f t="shared" si="8"/>
        <v>111</v>
      </c>
      <c r="R35" s="663" t="s">
        <v>14</v>
      </c>
      <c r="S35" s="664">
        <f t="shared" si="10"/>
        <v>100</v>
      </c>
      <c r="T35" s="663" t="s">
        <v>14</v>
      </c>
      <c r="U35" s="664">
        <f t="shared" si="11"/>
        <v>100</v>
      </c>
      <c r="V35" s="663" t="s">
        <v>14</v>
      </c>
      <c r="W35" s="664">
        <f t="shared" si="12"/>
        <v>100</v>
      </c>
      <c r="X35" s="1260"/>
      <c r="Y35" s="3385"/>
      <c r="Z35" s="1259">
        <f t="shared" si="13"/>
        <v>111</v>
      </c>
      <c r="AA35" s="1259">
        <f t="shared" si="3"/>
        <v>1</v>
      </c>
      <c r="AB35" s="1259">
        <f t="shared" si="4"/>
        <v>1</v>
      </c>
      <c r="AC35" s="1259">
        <f t="shared" si="5"/>
        <v>1</v>
      </c>
    </row>
    <row r="36" spans="1:29" ht="15">
      <c r="A36" s="593"/>
      <c r="B36" s="1063">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386" t="s">
        <v>1696</v>
      </c>
      <c r="Q36" s="1258">
        <f t="shared" si="8"/>
        <v>111</v>
      </c>
      <c r="R36" s="663" t="s">
        <v>14</v>
      </c>
      <c r="S36" s="664">
        <f t="shared" si="10"/>
        <v>100</v>
      </c>
      <c r="T36" s="663" t="s">
        <v>14</v>
      </c>
      <c r="U36" s="664">
        <f t="shared" si="11"/>
        <v>100</v>
      </c>
      <c r="V36" s="663" t="s">
        <v>14</v>
      </c>
      <c r="W36" s="664">
        <f t="shared" si="12"/>
        <v>100</v>
      </c>
      <c r="X36" s="1260"/>
      <c r="Y36" s="3387" t="s">
        <v>1696</v>
      </c>
      <c r="Z36" s="1259">
        <f t="shared" si="13"/>
        <v>111</v>
      </c>
      <c r="AA36" s="1259">
        <f t="shared" si="3"/>
        <v>1</v>
      </c>
      <c r="AB36" s="1259">
        <f t="shared" si="4"/>
        <v>1</v>
      </c>
      <c r="AC36" s="1259">
        <f t="shared" si="5"/>
        <v>1</v>
      </c>
    </row>
    <row r="37" spans="1:29" s="406" customFormat="1" ht="15.75" thickBot="1">
      <c r="A37" s="594"/>
      <c r="B37" s="1064">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387"/>
      <c r="Q37" s="1258">
        <f t="shared" si="8"/>
        <v>111</v>
      </c>
      <c r="R37" s="665" t="s">
        <v>14</v>
      </c>
      <c r="S37" s="666">
        <f t="shared" si="10"/>
        <v>100</v>
      </c>
      <c r="T37" s="665" t="s">
        <v>14</v>
      </c>
      <c r="U37" s="666">
        <f t="shared" si="11"/>
        <v>100</v>
      </c>
      <c r="V37" s="665" t="s">
        <v>14</v>
      </c>
      <c r="W37" s="666">
        <f t="shared" si="12"/>
        <v>100</v>
      </c>
      <c r="X37" s="667"/>
      <c r="Y37" s="3387"/>
      <c r="Z37" s="668">
        <f t="shared" si="13"/>
        <v>111</v>
      </c>
      <c r="AA37" s="1259">
        <f t="shared" si="3"/>
        <v>1</v>
      </c>
      <c r="AB37" s="1259">
        <f t="shared" si="4"/>
        <v>1</v>
      </c>
      <c r="AC37" s="1259">
        <f t="shared" si="5"/>
        <v>1</v>
      </c>
    </row>
    <row r="38" spans="1:29" ht="15">
      <c r="A38" s="407" t="s">
        <v>1694</v>
      </c>
      <c r="B38" s="393" t="s">
        <v>1874</v>
      </c>
      <c r="C38" s="597">
        <f>面积!B5</f>
        <v>42276.47</v>
      </c>
      <c r="D38" s="403">
        <v>100</v>
      </c>
      <c r="E38" s="597">
        <f>土地案例!D13</f>
        <v>10000</v>
      </c>
      <c r="F38" s="403">
        <f>LOOKUP(E38,116:116,117:117)-LOOKUP(C38,116:116,117:117)+100</f>
        <v>96</v>
      </c>
      <c r="G38" s="597">
        <f>土地案例!D14</f>
        <v>5500</v>
      </c>
      <c r="H38" s="403">
        <f>LOOKUP(G38,116:116,117:117)-LOOKUP(C38,116:116,117:117)+100</f>
        <v>94</v>
      </c>
      <c r="I38" s="460">
        <f>土地案例!D21</f>
        <v>15197.52</v>
      </c>
      <c r="J38" s="403">
        <f>LOOKUP(I38,116:116,117:117)-LOOKUP(C38,116:116,117:117)+100</f>
        <v>96</v>
      </c>
      <c r="K38" s="537"/>
      <c r="L38" s="2486"/>
      <c r="M38" s="2481"/>
      <c r="N38" s="2481"/>
      <c r="O38" s="2536"/>
      <c r="P38" s="3387"/>
      <c r="Q38" s="1258" t="str">
        <f>B38</f>
        <v>宗地面积</v>
      </c>
      <c r="R38" s="663" t="s">
        <v>14</v>
      </c>
      <c r="S38" s="664">
        <f t="shared" si="10"/>
        <v>96</v>
      </c>
      <c r="T38" s="663" t="s">
        <v>14</v>
      </c>
      <c r="U38" s="664">
        <f t="shared" si="11"/>
        <v>94</v>
      </c>
      <c r="V38" s="663" t="s">
        <v>14</v>
      </c>
      <c r="W38" s="664">
        <f t="shared" si="12"/>
        <v>96</v>
      </c>
      <c r="X38" s="1260"/>
      <c r="Y38" s="3387"/>
      <c r="Z38" s="1259" t="str">
        <f t="shared" si="13"/>
        <v>宗地面积</v>
      </c>
      <c r="AA38" s="1259">
        <f t="shared" si="3"/>
        <v>1.0416666666666667</v>
      </c>
      <c r="AB38" s="1259">
        <f t="shared" si="4"/>
        <v>1.0638297872340425</v>
      </c>
      <c r="AC38" s="1259">
        <f t="shared" si="5"/>
        <v>1.0416666666666667</v>
      </c>
    </row>
    <row r="39" spans="1:29" ht="15">
      <c r="A39" s="407"/>
      <c r="B39" s="362" t="s">
        <v>1875</v>
      </c>
      <c r="C39" s="1755" t="s">
        <v>3660</v>
      </c>
      <c r="D39" s="372">
        <v>100</v>
      </c>
      <c r="E39" s="1755" t="s">
        <v>3658</v>
      </c>
      <c r="F39" s="372">
        <f>SUMIF(118:118,E39,119:119)-SUMIF(118:118,C39,119:119)+100</f>
        <v>101</v>
      </c>
      <c r="G39" s="1755" t="s">
        <v>3658</v>
      </c>
      <c r="H39" s="372">
        <f>SUMIF(118:118,G39,119:119)-SUMIF(118:118,C39,119:119)+100</f>
        <v>101</v>
      </c>
      <c r="I39" s="1755" t="s">
        <v>3660</v>
      </c>
      <c r="J39" s="372">
        <f>SUMIF(118:118,I39,119:119)-SUMIF(118:118,C39,119:119)+100</f>
        <v>100</v>
      </c>
      <c r="K39" s="536">
        <v>1</v>
      </c>
      <c r="L39" s="2486"/>
      <c r="M39" s="2481"/>
      <c r="N39" s="2481"/>
      <c r="O39" s="2536"/>
      <c r="P39" s="3387"/>
      <c r="Q39" s="1258" t="str">
        <f t="shared" ref="Q39:Q45" si="14">B39</f>
        <v>宗地形状</v>
      </c>
      <c r="R39" s="663" t="s">
        <v>14</v>
      </c>
      <c r="S39" s="664">
        <f t="shared" si="10"/>
        <v>101</v>
      </c>
      <c r="T39" s="663" t="s">
        <v>14</v>
      </c>
      <c r="U39" s="664">
        <f t="shared" si="11"/>
        <v>101</v>
      </c>
      <c r="V39" s="663" t="s">
        <v>14</v>
      </c>
      <c r="W39" s="664">
        <f t="shared" si="12"/>
        <v>100</v>
      </c>
      <c r="X39" s="1260"/>
      <c r="Y39" s="3387"/>
      <c r="Z39" s="1259" t="str">
        <f t="shared" si="13"/>
        <v>宗地形状</v>
      </c>
      <c r="AA39" s="1259">
        <f t="shared" si="3"/>
        <v>0.99009900990099009</v>
      </c>
      <c r="AB39" s="1259">
        <f t="shared" si="4"/>
        <v>0.99009900990099009</v>
      </c>
      <c r="AC39" s="1259">
        <f t="shared" si="5"/>
        <v>1</v>
      </c>
    </row>
    <row r="40" spans="1:29" ht="15">
      <c r="A40" s="407"/>
      <c r="B40" s="362" t="s">
        <v>1876</v>
      </c>
      <c r="C40" s="1755"/>
      <c r="D40" s="372">
        <v>100</v>
      </c>
      <c r="E40" s="1755"/>
      <c r="F40" s="372">
        <f>SUMIF(120:120,E40,121:121)-SUMIF(120:120,C40,121:121)+100</f>
        <v>100</v>
      </c>
      <c r="G40" s="1755"/>
      <c r="H40" s="372">
        <f>SUMIF(120:120,G40,121:121)-SUMIF(120:120,C40,121:121)+100</f>
        <v>100</v>
      </c>
      <c r="I40" s="1755"/>
      <c r="J40" s="372">
        <f>SUMIF(120:120,I40,121:121)-SUMIF(120:120,C40,121:121)+100</f>
        <v>100</v>
      </c>
      <c r="K40" s="536"/>
      <c r="L40" s="2486"/>
      <c r="M40" s="2481"/>
      <c r="N40" s="2481"/>
      <c r="O40" s="2536"/>
      <c r="P40" s="3387"/>
      <c r="Q40" s="1258" t="str">
        <f t="shared" si="14"/>
        <v>临街宽度及深度</v>
      </c>
      <c r="R40" s="663" t="s">
        <v>14</v>
      </c>
      <c r="S40" s="664">
        <f t="shared" si="10"/>
        <v>100</v>
      </c>
      <c r="T40" s="663" t="s">
        <v>14</v>
      </c>
      <c r="U40" s="664">
        <f t="shared" si="11"/>
        <v>100</v>
      </c>
      <c r="V40" s="663" t="s">
        <v>14</v>
      </c>
      <c r="W40" s="664">
        <f t="shared" si="12"/>
        <v>100</v>
      </c>
      <c r="X40" s="1260"/>
      <c r="Y40" s="3387"/>
      <c r="Z40" s="1259" t="str">
        <f t="shared" si="13"/>
        <v>临街宽度及深度</v>
      </c>
      <c r="AA40" s="1259">
        <f t="shared" si="3"/>
        <v>1</v>
      </c>
      <c r="AB40" s="1259">
        <f t="shared" si="4"/>
        <v>1</v>
      </c>
      <c r="AC40" s="1259">
        <f t="shared" si="5"/>
        <v>1</v>
      </c>
    </row>
    <row r="41" spans="1:29" s="101" customFormat="1" ht="15">
      <c r="A41" s="408"/>
      <c r="B41" s="362" t="s">
        <v>1877</v>
      </c>
      <c r="C41" s="1823" t="s">
        <v>3659</v>
      </c>
      <c r="D41" s="117">
        <v>100</v>
      </c>
      <c r="E41" s="1823" t="s">
        <v>3659</v>
      </c>
      <c r="F41" s="372">
        <f>SUMIF(122:122,E41,123:123)-SUMIF(122:122,C41,123:123)+100</f>
        <v>100</v>
      </c>
      <c r="G41" s="1823" t="s">
        <v>3659</v>
      </c>
      <c r="H41" s="372">
        <f>SUMIF(122:122,G41,123:123)-SUMIF(122:122,C41,123:123)+100</f>
        <v>100</v>
      </c>
      <c r="I41" s="1823" t="s">
        <v>3663</v>
      </c>
      <c r="J41" s="372">
        <f>SUMIF(122:122,I41,123:123)-SUMIF(122:122,C41,123:123)+100</f>
        <v>98.5</v>
      </c>
      <c r="K41" s="536">
        <v>0.5</v>
      </c>
      <c r="L41" s="2482"/>
      <c r="M41" s="2434"/>
      <c r="N41" s="2434"/>
      <c r="O41" s="2534"/>
      <c r="P41" s="3387"/>
      <c r="Q41" s="1258" t="str">
        <f t="shared" si="14"/>
        <v>宗地开发程度</v>
      </c>
      <c r="R41" s="660" t="s">
        <v>14</v>
      </c>
      <c r="S41" s="661">
        <f t="shared" si="10"/>
        <v>100</v>
      </c>
      <c r="T41" s="660" t="s">
        <v>14</v>
      </c>
      <c r="U41" s="661">
        <f t="shared" si="11"/>
        <v>100</v>
      </c>
      <c r="V41" s="660" t="s">
        <v>14</v>
      </c>
      <c r="W41" s="661">
        <f t="shared" si="12"/>
        <v>98.5</v>
      </c>
      <c r="X41" s="662"/>
      <c r="Y41" s="3387"/>
      <c r="Z41" s="50" t="str">
        <f t="shared" si="13"/>
        <v>宗地开发程度</v>
      </c>
      <c r="AA41" s="50">
        <f t="shared" si="3"/>
        <v>1</v>
      </c>
      <c r="AB41" s="50">
        <f t="shared" si="4"/>
        <v>1</v>
      </c>
      <c r="AC41" s="50">
        <f t="shared" si="5"/>
        <v>1.015228426395939</v>
      </c>
    </row>
    <row r="42" spans="1:29" ht="15">
      <c r="A42" s="407"/>
      <c r="B42" s="362" t="s">
        <v>1878</v>
      </c>
      <c r="C42" s="1755" t="s">
        <v>3645</v>
      </c>
      <c r="D42" s="372">
        <v>100</v>
      </c>
      <c r="E42" s="1755" t="s">
        <v>3645</v>
      </c>
      <c r="F42" s="372">
        <f>SUMIF(124:124,E42,125:125)-SUMIF(124:124,C42,125:125)+100</f>
        <v>100</v>
      </c>
      <c r="G42" s="1755" t="s">
        <v>3645</v>
      </c>
      <c r="H42" s="372">
        <f>SUMIF(124:124,G42,125:125)-SUMIF(124:124,C42,125:125)+100</f>
        <v>100</v>
      </c>
      <c r="I42" s="1755" t="s">
        <v>3645</v>
      </c>
      <c r="J42" s="372">
        <f>SUMIF(124:124,I42,125:125)-SUMIF(124:124,C42,125:125)+100</f>
        <v>100</v>
      </c>
      <c r="K42" s="536">
        <v>2</v>
      </c>
      <c r="L42" s="2486"/>
      <c r="M42" s="2481"/>
      <c r="N42" s="2481"/>
      <c r="O42" s="2536"/>
      <c r="P42" s="3387" t="s">
        <v>1696</v>
      </c>
      <c r="Q42" s="1258" t="str">
        <f t="shared" si="14"/>
        <v>工程地质条件</v>
      </c>
      <c r="R42" s="663" t="s">
        <v>14</v>
      </c>
      <c r="S42" s="664">
        <f t="shared" si="10"/>
        <v>100</v>
      </c>
      <c r="T42" s="663" t="s">
        <v>14</v>
      </c>
      <c r="U42" s="664">
        <f t="shared" si="11"/>
        <v>100</v>
      </c>
      <c r="V42" s="663" t="s">
        <v>14</v>
      </c>
      <c r="W42" s="664">
        <f t="shared" si="12"/>
        <v>100</v>
      </c>
      <c r="X42" s="1260"/>
      <c r="Y42" s="3387" t="s">
        <v>1696</v>
      </c>
      <c r="Z42" s="1259" t="str">
        <f t="shared" si="13"/>
        <v>工程地质条件</v>
      </c>
      <c r="AA42" s="1259">
        <f t="shared" si="3"/>
        <v>1</v>
      </c>
      <c r="AB42" s="1259">
        <f t="shared" si="4"/>
        <v>1</v>
      </c>
      <c r="AC42" s="1259">
        <f t="shared" si="5"/>
        <v>1</v>
      </c>
    </row>
    <row r="43" spans="1:29" ht="15">
      <c r="A43" s="407"/>
      <c r="B43" s="1063">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387"/>
      <c r="Q43" s="1258">
        <f t="shared" si="14"/>
        <v>111</v>
      </c>
      <c r="R43" s="663" t="s">
        <v>14</v>
      </c>
      <c r="S43" s="664">
        <f t="shared" si="10"/>
        <v>100</v>
      </c>
      <c r="T43" s="663" t="s">
        <v>14</v>
      </c>
      <c r="U43" s="664">
        <f t="shared" si="11"/>
        <v>100</v>
      </c>
      <c r="V43" s="663" t="s">
        <v>14</v>
      </c>
      <c r="W43" s="664">
        <f t="shared" si="12"/>
        <v>100</v>
      </c>
      <c r="X43" s="1260"/>
      <c r="Y43" s="3387"/>
      <c r="Z43" s="1259">
        <f t="shared" si="13"/>
        <v>111</v>
      </c>
      <c r="AA43" s="1259">
        <f t="shared" si="3"/>
        <v>1</v>
      </c>
      <c r="AB43" s="1259">
        <f t="shared" si="4"/>
        <v>1</v>
      </c>
      <c r="AC43" s="1259">
        <f t="shared" si="5"/>
        <v>1</v>
      </c>
    </row>
    <row r="44" spans="1:29" ht="15">
      <c r="A44" s="407"/>
      <c r="B44" s="1063">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387"/>
      <c r="Q44" s="1258">
        <f t="shared" si="14"/>
        <v>111</v>
      </c>
      <c r="R44" s="663" t="s">
        <v>14</v>
      </c>
      <c r="S44" s="664">
        <f t="shared" si="10"/>
        <v>100</v>
      </c>
      <c r="T44" s="663" t="s">
        <v>14</v>
      </c>
      <c r="U44" s="664">
        <f t="shared" si="11"/>
        <v>100</v>
      </c>
      <c r="V44" s="663" t="s">
        <v>14</v>
      </c>
      <c r="W44" s="664">
        <f t="shared" si="12"/>
        <v>100</v>
      </c>
      <c r="X44" s="1260"/>
      <c r="Y44" s="3387"/>
      <c r="Z44" s="1259">
        <f t="shared" si="13"/>
        <v>111</v>
      </c>
      <c r="AA44" s="1259">
        <f t="shared" si="3"/>
        <v>1</v>
      </c>
      <c r="AB44" s="1259">
        <f t="shared" si="4"/>
        <v>1</v>
      </c>
      <c r="AC44" s="1259">
        <f t="shared" si="5"/>
        <v>1</v>
      </c>
    </row>
    <row r="45" spans="1:29" s="406" customFormat="1" ht="15.75" thickBot="1">
      <c r="A45" s="404"/>
      <c r="B45" s="1063">
        <v>111</v>
      </c>
      <c r="C45" s="1824"/>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387"/>
      <c r="Q45" s="1258">
        <f t="shared" si="14"/>
        <v>111</v>
      </c>
      <c r="R45" s="665" t="s">
        <v>14</v>
      </c>
      <c r="S45" s="666">
        <f t="shared" si="10"/>
        <v>100</v>
      </c>
      <c r="T45" s="665" t="s">
        <v>14</v>
      </c>
      <c r="U45" s="666">
        <f t="shared" si="11"/>
        <v>100</v>
      </c>
      <c r="V45" s="665" t="s">
        <v>14</v>
      </c>
      <c r="W45" s="666">
        <f t="shared" si="12"/>
        <v>100</v>
      </c>
      <c r="X45" s="667"/>
      <c r="Y45" s="3387"/>
      <c r="Z45" s="668">
        <f t="shared" si="13"/>
        <v>111</v>
      </c>
      <c r="AA45" s="1259">
        <f t="shared" si="3"/>
        <v>1</v>
      </c>
      <c r="AB45" s="1259">
        <f t="shared" si="4"/>
        <v>1</v>
      </c>
      <c r="AC45" s="1259">
        <f t="shared" si="5"/>
        <v>1</v>
      </c>
    </row>
    <row r="46" spans="1:29" ht="15">
      <c r="A46" s="414" t="s">
        <v>1844</v>
      </c>
      <c r="B46" s="1825" t="s">
        <v>1879</v>
      </c>
      <c r="C46" s="600" t="s">
        <v>0</v>
      </c>
      <c r="D46" s="416"/>
      <c r="E46" s="417">
        <f>土地案例!S13</f>
        <v>16545</v>
      </c>
      <c r="F46" s="418"/>
      <c r="G46" s="419">
        <f>土地案例!S14</f>
        <v>16529</v>
      </c>
      <c r="H46" s="420"/>
      <c r="I46" s="417">
        <f>土地案例!S15</f>
        <v>16835</v>
      </c>
      <c r="J46" s="420"/>
      <c r="K46" s="670"/>
      <c r="L46" s="2488"/>
      <c r="M46" s="2481"/>
      <c r="N46" s="2481"/>
      <c r="O46" s="2481"/>
      <c r="P46" s="3383" t="str">
        <f>A46</f>
        <v>成交单价</v>
      </c>
      <c r="Q46" s="3383"/>
      <c r="R46" s="3388">
        <f>E46</f>
        <v>16545</v>
      </c>
      <c r="S46" s="3388"/>
      <c r="T46" s="3388">
        <f>G46</f>
        <v>16529</v>
      </c>
      <c r="U46" s="3388"/>
      <c r="V46" s="3388">
        <f>I46</f>
        <v>16835</v>
      </c>
      <c r="W46" s="3388"/>
      <c r="X46" s="383"/>
      <c r="Y46" s="669"/>
      <c r="Z46" s="383"/>
      <c r="AA46" s="383"/>
      <c r="AB46" s="383"/>
      <c r="AC46" s="383"/>
    </row>
    <row r="47" spans="1:29" ht="15.75" thickBot="1">
      <c r="A47" s="421" t="s">
        <v>1793</v>
      </c>
      <c r="B47" s="601"/>
      <c r="C47" s="424">
        <f>R48</f>
        <v>16333</v>
      </c>
      <c r="D47" s="2136" t="s">
        <v>2138</v>
      </c>
      <c r="E47" s="424">
        <f>R47</f>
        <v>14997</v>
      </c>
      <c r="F47" s="2137"/>
      <c r="G47" s="423">
        <f>T47</f>
        <v>15789</v>
      </c>
      <c r="H47" s="2137"/>
      <c r="I47" s="424">
        <f>V47</f>
        <v>18213</v>
      </c>
      <c r="J47" s="2137"/>
      <c r="K47" s="2139">
        <f>F47+H47+J47</f>
        <v>0</v>
      </c>
      <c r="L47" s="2488"/>
      <c r="M47" s="2481"/>
      <c r="N47" s="2481"/>
      <c r="O47" s="2481"/>
      <c r="P47" s="3383" t="str">
        <f>A47</f>
        <v>比较价值（元/平方米）</v>
      </c>
      <c r="Q47" s="3383"/>
      <c r="R47" s="3376">
        <f>ROUND(PRODUCT(R46,AA7:AA45),0)</f>
        <v>14997</v>
      </c>
      <c r="S47" s="3376"/>
      <c r="T47" s="3376">
        <f>ROUND(PRODUCT(T46,AB7:AB45),0)</f>
        <v>15789</v>
      </c>
      <c r="U47" s="3376"/>
      <c r="V47" s="3376">
        <f>ROUND(PRODUCT(V46,AC7:AC45),0)</f>
        <v>18213</v>
      </c>
      <c r="W47" s="3376"/>
      <c r="X47" s="383"/>
      <c r="Y47" s="383"/>
      <c r="Z47" s="383"/>
      <c r="AA47" s="383"/>
      <c r="AB47" s="383"/>
      <c r="AC47" s="383"/>
    </row>
    <row r="48" spans="1:29" ht="15.75" thickBot="1">
      <c r="A48" s="425" t="s">
        <v>1880</v>
      </c>
      <c r="B48" s="426"/>
      <c r="C48" s="427">
        <f>R48</f>
        <v>16333</v>
      </c>
      <c r="D48" s="427"/>
      <c r="E48" s="427"/>
      <c r="F48" s="427"/>
      <c r="G48" s="427"/>
      <c r="H48" s="427"/>
      <c r="I48" s="427"/>
      <c r="J48" s="427"/>
      <c r="K48" s="671"/>
      <c r="L48" s="2488"/>
      <c r="M48" s="2481"/>
      <c r="N48" s="2481"/>
      <c r="O48" s="2481"/>
      <c r="P48" s="3377" t="str">
        <f>A48</f>
        <v>估价对象XX用房的比较价值（楼面单价，元/平方米）</v>
      </c>
      <c r="Q48" s="3378"/>
      <c r="R48" s="3379">
        <f>ROUND(IF(D47="简单平均",AVERAGE(R47:W47),R47*F47+T47*H47+V47*J47),0)</f>
        <v>16333</v>
      </c>
      <c r="S48" s="3379"/>
      <c r="T48" s="3379"/>
      <c r="U48" s="3379"/>
      <c r="V48" s="3379"/>
      <c r="W48" s="3379"/>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1795</v>
      </c>
      <c r="D51" s="431"/>
      <c r="E51" s="432">
        <f>IF(E46&lt;E47,E47/E46-1,E46/E47-1)</f>
        <v>0.1032206441288257</v>
      </c>
      <c r="F51" s="433" t="str">
        <f>IF(OR(E51&gt;=0.3,E51&lt;=-0.3),"超过30%","")</f>
        <v/>
      </c>
      <c r="G51" s="432">
        <f>IF(G46&lt;G47,G47/G46-1,G46/G47-1)</f>
        <v>4.6868072708847963E-2</v>
      </c>
      <c r="H51" s="433" t="str">
        <f>IF(OR(G51&gt;=0.3,G51&lt;=-0.3),"超过30%","")</f>
        <v/>
      </c>
      <c r="I51" s="432">
        <f>IF(I46&lt;I47,I47/I46-1,I46/I47-1)</f>
        <v>8.1853281853281779E-2</v>
      </c>
      <c r="J51" s="433"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1796</v>
      </c>
      <c r="D52" s="434"/>
      <c r="E52" s="432">
        <f>IF(E47&lt;G47,G47/E47-1,E47/G47-1)</f>
        <v>5.281056211242241E-2</v>
      </c>
      <c r="F52" s="433" t="str">
        <f>IF(OR(E52&gt;=0.2,E52&lt;=-0.2),"超过20%","")</f>
        <v/>
      </c>
      <c r="G52" s="432">
        <f>IF(G47&lt;I47,I47/G47-1,G47/I47-1)</f>
        <v>0.15352460573817206</v>
      </c>
      <c r="H52" s="433" t="str">
        <f>IF(OR(G52&gt;=0.2,G52&lt;=-0.2),"超过20%","")</f>
        <v/>
      </c>
      <c r="I52" s="432">
        <f>IF(I47&lt;E47,E47/I47-1,I47/E47-1)</f>
        <v>0.21444288857771565</v>
      </c>
      <c r="J52" s="433" t="str">
        <f>IF(OR(I52&gt;=0.2,I52&lt;=-0.2),"超过20%","")</f>
        <v>超过20%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1797</v>
      </c>
      <c r="D53" s="434"/>
      <c r="E53" s="432">
        <f>IF(E46&lt;G46,G46/E46-1,E46/G46-1)</f>
        <v>9.6799564401961469E-4</v>
      </c>
      <c r="F53" s="433" t="str">
        <f>IF(OR(E53&gt;=0.3,E53&lt;=-0.3),"超过30%","")</f>
        <v/>
      </c>
      <c r="G53" s="432">
        <f>IF(G46&lt;I46,I46/G46-1,G46/I46-1)</f>
        <v>1.8512916691874937E-2</v>
      </c>
      <c r="H53" s="433" t="str">
        <f>IF(OR(G53&gt;=0.3,G53&lt;=-0.3),"超过30%","")</f>
        <v/>
      </c>
      <c r="I53" s="432">
        <f>IF(I46&lt;E46,E46/I46-1,I46/E46-1)</f>
        <v>1.7527954064672002E-2</v>
      </c>
      <c r="J53" s="433"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6" t="s">
        <v>1883</v>
      </c>
      <c r="D55" s="1827" t="s">
        <v>1884</v>
      </c>
      <c r="E55" s="604" t="s">
        <v>1885</v>
      </c>
      <c r="F55" s="833" t="s">
        <v>1886</v>
      </c>
      <c r="G55" s="3380" t="s">
        <v>1887</v>
      </c>
      <c r="H55" s="3381"/>
      <c r="I55" s="125" t="s">
        <v>1888</v>
      </c>
      <c r="J55" s="1828">
        <f>项目基本情况!F35</f>
        <v>0</v>
      </c>
      <c r="K55" s="1829"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f>C48</f>
        <v>16333</v>
      </c>
      <c r="C56" s="608">
        <v>1</v>
      </c>
      <c r="D56" s="886">
        <v>1</v>
      </c>
      <c r="E56" s="608">
        <f>'数据-汇总表'!E8+'数据-汇总表'!E9</f>
        <v>83916.17</v>
      </c>
      <c r="F56" s="829">
        <f t="shared" ref="F56:F64" si="15">ROUND(B56*E56/10000,0)</f>
        <v>137060</v>
      </c>
      <c r="G56" s="3382"/>
      <c r="H56" s="3383"/>
      <c r="I56" s="834">
        <v>1</v>
      </c>
      <c r="J56" s="837">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8">
        <f>ROUND($C$48*C57*D57,0)</f>
        <v>2450</v>
      </c>
      <c r="C57" s="161">
        <f t="shared" ref="C57:C64" si="16">IF($C$55="北京市系数",I57,J57)</f>
        <v>0.6</v>
      </c>
      <c r="D57" s="887">
        <v>0.25</v>
      </c>
      <c r="E57" s="612">
        <f>'数据-基础表'!K13</f>
        <v>23083.830000000005</v>
      </c>
      <c r="F57" s="829">
        <f t="shared" si="15"/>
        <v>5656</v>
      </c>
      <c r="G57" s="2744" t="s">
        <v>1892</v>
      </c>
      <c r="H57" s="830" t="str">
        <f>项目基本情况!B37</f>
        <v>七级</v>
      </c>
      <c r="I57" s="834">
        <f>SUMIF(修正!A57:A68,H57,修正!B57:B68)</f>
        <v>0.6</v>
      </c>
      <c r="J57" s="838"/>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8">
        <f t="shared" ref="B58:B64" si="17">ROUND($C$48*C58*D58,0)</f>
        <v>1225</v>
      </c>
      <c r="C58" s="161">
        <f t="shared" si="16"/>
        <v>0.3</v>
      </c>
      <c r="D58" s="887">
        <v>0.25</v>
      </c>
      <c r="E58" s="612"/>
      <c r="F58" s="829">
        <f t="shared" si="15"/>
        <v>0</v>
      </c>
      <c r="G58" s="2745"/>
      <c r="H58" s="830" t="str">
        <f>项目基本情况!B37</f>
        <v>七级</v>
      </c>
      <c r="I58" s="834">
        <f>SUMIF(修正!A57:A68,H58,修正!C57:C68)</f>
        <v>0.3</v>
      </c>
      <c r="J58" s="838"/>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8">
        <f t="shared" si="17"/>
        <v>1021</v>
      </c>
      <c r="C59" s="161">
        <f t="shared" si="16"/>
        <v>0.25</v>
      </c>
      <c r="D59" s="887">
        <v>0.25</v>
      </c>
      <c r="E59" s="612"/>
      <c r="F59" s="829">
        <f t="shared" si="15"/>
        <v>0</v>
      </c>
      <c r="G59" s="2745"/>
      <c r="H59" s="830" t="str">
        <f>项目基本情况!B37</f>
        <v>七级</v>
      </c>
      <c r="I59" s="834">
        <f>SUMIF(修正!A57:A68,H59,修正!D57:D68)</f>
        <v>0.25</v>
      </c>
      <c r="J59" s="838"/>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8">
        <f t="shared" si="17"/>
        <v>1021</v>
      </c>
      <c r="C60" s="161">
        <f t="shared" si="16"/>
        <v>0.25</v>
      </c>
      <c r="D60" s="887">
        <v>0.25</v>
      </c>
      <c r="E60" s="207">
        <f>'数据-汇总表'!E11</f>
        <v>0</v>
      </c>
      <c r="F60" s="829">
        <f t="shared" si="15"/>
        <v>0</v>
      </c>
      <c r="G60" s="1830" t="s">
        <v>1896</v>
      </c>
      <c r="H60" s="830" t="str">
        <f>项目基本情况!C37</f>
        <v>七级</v>
      </c>
      <c r="I60" s="834">
        <f>SUMIF(修正!A57:A68,H60,修正!E57:E68)</f>
        <v>0.25</v>
      </c>
      <c r="J60" s="838"/>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8">
        <f t="shared" si="17"/>
        <v>1021</v>
      </c>
      <c r="C61" s="161">
        <f t="shared" si="16"/>
        <v>0.25</v>
      </c>
      <c r="D61" s="887">
        <v>0.25</v>
      </c>
      <c r="E61" s="207">
        <f>'数据-汇总表'!E12</f>
        <v>0</v>
      </c>
      <c r="F61" s="829">
        <f t="shared" si="15"/>
        <v>0</v>
      </c>
      <c r="G61" s="835" t="s">
        <v>1898</v>
      </c>
      <c r="H61" s="830" t="str">
        <f>IF(G61="商业",项目基本情况!B37,IF(G61="办公",项目基本情况!C37,IF(G61="住宅",项目基本情况!D37,项目基本情况!E37)))</f>
        <v>七级</v>
      </c>
      <c r="I61" s="834">
        <f>SUMIF(修正!A57:A68,H61,修正!F57:F68)</f>
        <v>0.25</v>
      </c>
      <c r="J61" s="838"/>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8">
        <f t="shared" si="17"/>
        <v>612</v>
      </c>
      <c r="C62" s="161">
        <f t="shared" si="16"/>
        <v>0.15</v>
      </c>
      <c r="D62" s="887">
        <v>0.25</v>
      </c>
      <c r="E62" s="207">
        <f>'数据-汇总表'!E13</f>
        <v>46794.319999999992</v>
      </c>
      <c r="F62" s="829">
        <f t="shared" si="15"/>
        <v>2864</v>
      </c>
      <c r="G62" s="835" t="s">
        <v>1900</v>
      </c>
      <c r="H62" s="830" t="str">
        <f>IF(G62="商业",项目基本情况!B37,IF(G62="办公",项目基本情况!C37,IF(G62="住宅",项目基本情况!D37,项目基本情况!E37)))</f>
        <v>七级</v>
      </c>
      <c r="I62" s="834">
        <f>SUMIF(修正!A57:A68,H62,修正!G57:G68)</f>
        <v>0.15</v>
      </c>
      <c r="J62" s="838"/>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8">
        <f t="shared" si="17"/>
        <v>612</v>
      </c>
      <c r="C63" s="161">
        <f t="shared" si="16"/>
        <v>0.15</v>
      </c>
      <c r="D63" s="887">
        <v>0.25</v>
      </c>
      <c r="E63" s="207">
        <f>'数据-汇总表'!E14</f>
        <v>0</v>
      </c>
      <c r="F63" s="829">
        <f t="shared" si="15"/>
        <v>0</v>
      </c>
      <c r="G63" s="1830" t="s">
        <v>1892</v>
      </c>
      <c r="H63" s="830" t="str">
        <f>项目基本情况!B37</f>
        <v>七级</v>
      </c>
      <c r="I63" s="834">
        <f>SUMIF(修正!A57:A68,H63,修正!G57:G68)</f>
        <v>0.15</v>
      </c>
      <c r="J63" s="838"/>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8">
        <f t="shared" si="17"/>
        <v>612</v>
      </c>
      <c r="C64" s="161">
        <f t="shared" si="16"/>
        <v>0.15</v>
      </c>
      <c r="D64" s="887">
        <v>0.25</v>
      </c>
      <c r="E64" s="207">
        <f>'数据-汇总表'!E15</f>
        <v>0</v>
      </c>
      <c r="F64" s="829">
        <f t="shared" si="15"/>
        <v>0</v>
      </c>
      <c r="G64" s="1831" t="s">
        <v>1896</v>
      </c>
      <c r="H64" s="840" t="str">
        <f>项目基本情况!C37</f>
        <v>七级</v>
      </c>
      <c r="I64" s="836">
        <f>SUMIF(修正!A57:A68,H64,修正!G57:G68)</f>
        <v>0.15</v>
      </c>
      <c r="J64" s="839"/>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153794.32</v>
      </c>
      <c r="F65" s="615">
        <f>IF(B46="楼面地价",SUM(F56:F64),ROUND(C48*E65/10000,0))</f>
        <v>145580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2"/>
      <c r="C66" s="653"/>
      <c r="D66" s="383"/>
      <c r="E66" s="383"/>
      <c r="F66" s="383"/>
      <c r="G66" s="383"/>
      <c r="H66" s="383"/>
      <c r="I66" s="383"/>
      <c r="J66" s="857"/>
      <c r="K66" s="831"/>
      <c r="L66" s="832"/>
      <c r="M66" s="857"/>
      <c r="N66" s="857"/>
      <c r="O66" s="857"/>
      <c r="P66" s="2481"/>
      <c r="Q66" s="2481"/>
      <c r="R66" s="2481"/>
      <c r="S66" s="2481"/>
      <c r="T66" s="2481"/>
      <c r="U66" s="2481"/>
      <c r="V66" s="2481"/>
      <c r="W66" s="2481"/>
      <c r="X66" s="2481"/>
      <c r="Y66" s="2481"/>
      <c r="Z66" s="2481"/>
      <c r="AA66" s="2481"/>
      <c r="AB66" s="2481"/>
      <c r="AC66" s="2481"/>
    </row>
    <row r="67" spans="1:29">
      <c r="A67" s="383"/>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81"/>
      <c r="Q67" s="2481"/>
      <c r="R67" s="2481"/>
      <c r="S67" s="2481"/>
      <c r="T67" s="2481"/>
      <c r="U67" s="2481"/>
      <c r="V67" s="2481"/>
      <c r="W67" s="2481"/>
      <c r="X67" s="2481"/>
      <c r="Y67" s="2481"/>
      <c r="Z67" s="2481"/>
      <c r="AA67" s="2481"/>
      <c r="AB67" s="2481"/>
      <c r="AC67" s="2481"/>
    </row>
    <row r="68" spans="1:29" ht="21.75" thickBot="1">
      <c r="A68" s="654" t="s">
        <v>1798</v>
      </c>
      <c r="B68" s="383"/>
      <c r="C68" s="655"/>
      <c r="D68" s="655"/>
      <c r="E68" s="655"/>
      <c r="F68" s="656"/>
      <c r="G68" s="656"/>
      <c r="H68" s="655"/>
      <c r="I68" s="655"/>
      <c r="J68" s="882"/>
      <c r="K68" s="883"/>
      <c r="L68" s="884"/>
      <c r="M68" s="882"/>
      <c r="N68" s="2531"/>
      <c r="O68" s="2531"/>
      <c r="P68" s="2531"/>
      <c r="Q68" s="2502"/>
      <c r="R68" s="2481"/>
      <c r="S68" s="2481"/>
      <c r="T68" s="2481"/>
      <c r="U68" s="2481"/>
      <c r="V68" s="2481"/>
      <c r="W68" s="2481"/>
      <c r="X68" s="2481"/>
      <c r="Y68" s="2481"/>
      <c r="Z68" s="2481"/>
      <c r="AA68" s="2481"/>
      <c r="AB68" s="2481"/>
      <c r="AC68" s="2481"/>
    </row>
    <row r="69" spans="1:29" s="440" customFormat="1" ht="15">
      <c r="A69" s="1625" t="s">
        <v>1904</v>
      </c>
      <c r="B69" s="1042"/>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4"/>
      <c r="Q69" s="2504"/>
      <c r="R69" s="2504"/>
      <c r="S69" s="2504"/>
      <c r="T69" s="2504"/>
      <c r="U69" s="2504"/>
      <c r="V69" s="2504"/>
      <c r="W69" s="2504"/>
      <c r="X69" s="2504"/>
      <c r="Y69" s="2504"/>
      <c r="Z69" s="2504"/>
      <c r="AA69" s="2504"/>
      <c r="AB69" s="2504"/>
      <c r="AC69" s="2504"/>
    </row>
    <row r="70" spans="1:29" s="101" customFormat="1" ht="30" customHeight="1">
      <c r="A70" s="1832" t="s">
        <v>1905</v>
      </c>
      <c r="B70" s="278" t="str">
        <f>"北京市平均增长率"&amp;TEXT(SUMIF(基准地价修正!N25:N29,A70,基准地价修正!P25:P29),"0.00%")</f>
        <v>北京市平均增长率0.00%</v>
      </c>
      <c r="C70" s="528">
        <v>100</v>
      </c>
      <c r="D70" s="6">
        <f>C70</f>
        <v>100</v>
      </c>
      <c r="E70" s="6">
        <f t="shared" ref="E70:K70" si="20">D70</f>
        <v>100</v>
      </c>
      <c r="F70" s="6">
        <f t="shared" si="20"/>
        <v>100</v>
      </c>
      <c r="G70" s="6">
        <f t="shared" si="20"/>
        <v>100</v>
      </c>
      <c r="H70" s="6">
        <f t="shared" si="20"/>
        <v>100</v>
      </c>
      <c r="I70" s="6">
        <f t="shared" si="20"/>
        <v>100</v>
      </c>
      <c r="J70" s="6">
        <f t="shared" si="20"/>
        <v>100</v>
      </c>
      <c r="K70" s="6">
        <f t="shared" si="20"/>
        <v>100</v>
      </c>
      <c r="L70" s="6">
        <f t="shared" ref="L70" si="21">K70</f>
        <v>100</v>
      </c>
      <c r="M70" s="6">
        <f t="shared" ref="M70" si="22">L70</f>
        <v>100</v>
      </c>
      <c r="N70" s="6">
        <f t="shared" ref="N70" si="23">M70</f>
        <v>100</v>
      </c>
      <c r="O70" s="6">
        <f t="shared" ref="O70" si="24">N70</f>
        <v>100</v>
      </c>
      <c r="P70" s="2502"/>
      <c r="Q70" s="2434"/>
      <c r="R70" s="2434"/>
      <c r="S70" s="2434"/>
      <c r="T70" s="2434"/>
      <c r="U70" s="2434"/>
      <c r="V70" s="2434"/>
      <c r="W70" s="2434"/>
      <c r="X70" s="2434"/>
      <c r="Y70" s="2434"/>
      <c r="Z70" s="2434"/>
      <c r="AA70" s="2434"/>
      <c r="AB70" s="2434"/>
      <c r="AC70" s="2434"/>
    </row>
    <row r="71" spans="1:29" s="101" customFormat="1" ht="15.75" thickBot="1">
      <c r="A71" s="447" t="s">
        <v>1716</v>
      </c>
      <c r="B71" s="448"/>
      <c r="C71" s="449"/>
      <c r="D71" s="450"/>
      <c r="E71" s="450"/>
      <c r="F71" s="450"/>
      <c r="G71" s="450"/>
      <c r="H71" s="450"/>
      <c r="I71" s="450"/>
      <c r="J71" s="450"/>
      <c r="K71" s="450"/>
      <c r="L71" s="450"/>
      <c r="M71" s="451"/>
      <c r="N71" s="450"/>
      <c r="O71" s="885"/>
      <c r="P71" s="2502"/>
      <c r="Q71" s="2502"/>
      <c r="R71" s="2434"/>
      <c r="S71" s="2434"/>
      <c r="T71" s="2434"/>
      <c r="U71" s="2434"/>
      <c r="V71" s="2434"/>
      <c r="W71" s="2434"/>
      <c r="X71" s="2434"/>
      <c r="Y71" s="2434"/>
      <c r="Z71" s="2434"/>
      <c r="AA71" s="2434"/>
      <c r="AB71" s="2434"/>
      <c r="AC71" s="2434"/>
    </row>
    <row r="72" spans="1:29" s="101" customFormat="1" ht="15">
      <c r="A72" s="453" t="s">
        <v>1681</v>
      </c>
      <c r="B72" s="442"/>
      <c r="C72" s="454" t="s">
        <v>1776</v>
      </c>
      <c r="D72" s="31"/>
      <c r="E72" s="31"/>
      <c r="F72" s="31"/>
      <c r="G72" s="31"/>
      <c r="H72" s="31"/>
      <c r="I72" s="31"/>
      <c r="J72" s="31"/>
      <c r="K72" s="31"/>
      <c r="L72" s="455"/>
      <c r="M72" s="456"/>
      <c r="N72" s="2514"/>
      <c r="O72" s="2514"/>
      <c r="P72" s="2538"/>
      <c r="Q72" s="2502"/>
      <c r="R72" s="2434"/>
      <c r="S72" s="2434"/>
      <c r="T72" s="2434"/>
      <c r="U72" s="2434"/>
      <c r="V72" s="2434"/>
      <c r="W72" s="2434"/>
      <c r="X72" s="2434"/>
      <c r="Y72" s="2434"/>
      <c r="Z72" s="2434"/>
      <c r="AA72" s="2434"/>
      <c r="AB72" s="2434"/>
      <c r="AC72" s="2434"/>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4"/>
      <c r="S73" s="2434"/>
      <c r="T73" s="2434"/>
      <c r="U73" s="2434"/>
      <c r="V73" s="2434"/>
      <c r="W73" s="2434"/>
      <c r="X73" s="2434"/>
      <c r="Y73" s="2434"/>
      <c r="Z73" s="2434"/>
      <c r="AA73" s="2434"/>
      <c r="AB73" s="2434"/>
      <c r="AC73" s="2434"/>
    </row>
    <row r="74" spans="1:29">
      <c r="A74" s="377" t="s">
        <v>1719</v>
      </c>
      <c r="B74" s="458" t="s">
        <v>1685</v>
      </c>
      <c r="C74" s="460" t="s">
        <v>3587</v>
      </c>
      <c r="D74" s="460" t="s">
        <v>3588</v>
      </c>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v>100</v>
      </c>
      <c r="D75" s="465">
        <v>95</v>
      </c>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0（含）-0.5</v>
      </c>
      <c r="D78" s="476" t="str">
        <f t="shared" ref="D78:L78" si="25">D79&amp;"（含）"&amp;"-"&amp;E79</f>
        <v>0.5（含）-1</v>
      </c>
      <c r="E78" s="476" t="str">
        <f t="shared" si="25"/>
        <v>1（含）-1.5</v>
      </c>
      <c r="F78" s="476" t="str">
        <f t="shared" si="25"/>
        <v>1.5（含）-2</v>
      </c>
      <c r="G78" s="476" t="str">
        <f t="shared" si="25"/>
        <v>2（含）-2.5</v>
      </c>
      <c r="H78" s="476" t="str">
        <f t="shared" si="25"/>
        <v>2.5（含）-3</v>
      </c>
      <c r="I78" s="476" t="str">
        <f t="shared" si="25"/>
        <v>3（含）-3.5</v>
      </c>
      <c r="J78" s="476" t="str">
        <f t="shared" si="25"/>
        <v>3.5（含）-</v>
      </c>
      <c r="K78" s="476" t="str">
        <f t="shared" si="25"/>
        <v>（含）-</v>
      </c>
      <c r="L78" s="476" t="str">
        <f t="shared" si="25"/>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v>0</v>
      </c>
      <c r="D79" s="478">
        <f>C79+0.5</f>
        <v>0.5</v>
      </c>
      <c r="E79" s="478">
        <f t="shared" ref="E79:J79" si="26">D79+0.5</f>
        <v>1</v>
      </c>
      <c r="F79" s="478">
        <f t="shared" si="26"/>
        <v>1.5</v>
      </c>
      <c r="G79" s="478">
        <f t="shared" si="26"/>
        <v>2</v>
      </c>
      <c r="H79" s="478">
        <f t="shared" si="26"/>
        <v>2.5</v>
      </c>
      <c r="I79" s="478">
        <f t="shared" si="26"/>
        <v>3</v>
      </c>
      <c r="J79" s="478">
        <f t="shared" si="26"/>
        <v>3.5</v>
      </c>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7">IF($B$46="单位面积地价",C80+$K11,C80-$K11)</f>
        <v>98</v>
      </c>
      <c r="E80" s="473">
        <f t="shared" si="27"/>
        <v>96</v>
      </c>
      <c r="F80" s="473">
        <f t="shared" si="27"/>
        <v>94</v>
      </c>
      <c r="G80" s="473">
        <f t="shared" si="27"/>
        <v>92</v>
      </c>
      <c r="H80" s="473">
        <f t="shared" si="27"/>
        <v>90</v>
      </c>
      <c r="I80" s="473">
        <f t="shared" si="27"/>
        <v>88</v>
      </c>
      <c r="J80" s="473">
        <f t="shared" si="27"/>
        <v>86</v>
      </c>
      <c r="K80" s="473">
        <f t="shared" si="27"/>
        <v>84</v>
      </c>
      <c r="L80" s="473">
        <f t="shared" si="27"/>
        <v>82</v>
      </c>
      <c r="M80" s="473">
        <f t="shared" si="27"/>
        <v>80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3173" t="s">
        <v>3628</v>
      </c>
      <c r="D81" s="3172" t="s">
        <v>3629</v>
      </c>
      <c r="E81" s="3173" t="s">
        <v>3630</v>
      </c>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v>100</v>
      </c>
      <c r="D82" s="465">
        <v>95</v>
      </c>
      <c r="E82" s="465">
        <v>80</v>
      </c>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1720</v>
      </c>
      <c r="C87" s="502" t="s">
        <v>1721</v>
      </c>
      <c r="D87" s="502" t="s">
        <v>1722</v>
      </c>
      <c r="E87" s="502" t="s">
        <v>1723</v>
      </c>
      <c r="F87" s="502" t="s">
        <v>1724</v>
      </c>
      <c r="G87" s="502" t="s">
        <v>1725</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1906</v>
      </c>
      <c r="C89" s="507" t="s">
        <v>1721</v>
      </c>
      <c r="D89" s="507" t="s">
        <v>1722</v>
      </c>
      <c r="E89" s="507" t="s">
        <v>1723</v>
      </c>
      <c r="F89" s="507" t="s">
        <v>1724</v>
      </c>
      <c r="G89" s="507" t="s">
        <v>1725</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97</v>
      </c>
      <c r="E90" s="473">
        <f>D90-$K17</f>
        <v>94</v>
      </c>
      <c r="F90" s="473">
        <f>E90-$K17</f>
        <v>91</v>
      </c>
      <c r="G90" s="473">
        <f>F90-$K17</f>
        <v>88</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1821</v>
      </c>
      <c r="C91" s="507" t="s">
        <v>1721</v>
      </c>
      <c r="D91" s="507" t="s">
        <v>1722</v>
      </c>
      <c r="E91" s="507" t="s">
        <v>1723</v>
      </c>
      <c r="F91" s="507" t="s">
        <v>1724</v>
      </c>
      <c r="G91" s="507" t="s">
        <v>1725</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1726</v>
      </c>
      <c r="C93" s="507" t="s">
        <v>1721</v>
      </c>
      <c r="D93" s="507" t="s">
        <v>1722</v>
      </c>
      <c r="E93" s="507" t="s">
        <v>1723</v>
      </c>
      <c r="F93" s="507" t="s">
        <v>1724</v>
      </c>
      <c r="G93" s="507" t="s">
        <v>1725</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97</v>
      </c>
      <c r="E94" s="473">
        <f>D94-$K21</f>
        <v>94</v>
      </c>
      <c r="F94" s="473">
        <f>E94-$K21</f>
        <v>91</v>
      </c>
      <c r="G94" s="473">
        <f>F94-$K21</f>
        <v>88</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4"/>
      <c r="O95" s="2514"/>
      <c r="P95" s="2514"/>
      <c r="Q95" s="2502"/>
      <c r="R95" s="2434"/>
      <c r="S95" s="2434"/>
      <c r="T95" s="2434"/>
      <c r="U95" s="2434"/>
      <c r="V95" s="2434"/>
      <c r="W95" s="2434"/>
      <c r="X95" s="2434"/>
      <c r="Y95" s="2434"/>
      <c r="Z95" s="2434"/>
      <c r="AA95" s="2434"/>
      <c r="AB95" s="2434"/>
      <c r="AC95" s="2434"/>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4"/>
      <c r="S96" s="2434"/>
      <c r="T96" s="2434"/>
      <c r="U96" s="2434"/>
      <c r="V96" s="2434"/>
      <c r="W96" s="2434"/>
      <c r="X96" s="2434"/>
      <c r="Y96" s="2434"/>
      <c r="Z96" s="2434"/>
      <c r="AA96" s="2434"/>
      <c r="AB96" s="2434"/>
      <c r="AC96" s="2434"/>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4"/>
      <c r="O97" s="2514"/>
      <c r="P97" s="2514"/>
      <c r="Q97" s="2502"/>
      <c r="R97" s="2434"/>
      <c r="S97" s="2434"/>
      <c r="T97" s="2434"/>
      <c r="U97" s="2434"/>
      <c r="V97" s="2434"/>
      <c r="W97" s="2434"/>
      <c r="X97" s="2434"/>
      <c r="Y97" s="2434"/>
      <c r="Z97" s="2434"/>
      <c r="AA97" s="2434"/>
      <c r="AB97" s="2434"/>
      <c r="AC97" s="2434"/>
    </row>
    <row r="98" spans="1:29" s="101" customFormat="1" ht="15.75" thickBot="1">
      <c r="A98" s="368"/>
      <c r="B98" s="472"/>
      <c r="C98" s="473">
        <v>100</v>
      </c>
      <c r="D98" s="473">
        <f>C98-$K25</f>
        <v>98</v>
      </c>
      <c r="E98" s="473">
        <f>D98-$K25</f>
        <v>96</v>
      </c>
      <c r="F98" s="473">
        <f>E98-$K25</f>
        <v>94</v>
      </c>
      <c r="G98" s="473">
        <f>F98-$K25</f>
        <v>92</v>
      </c>
      <c r="H98" s="473"/>
      <c r="I98" s="473"/>
      <c r="J98" s="473"/>
      <c r="K98" s="473"/>
      <c r="L98" s="473"/>
      <c r="M98" s="474"/>
      <c r="N98" s="2516"/>
      <c r="O98" s="2516"/>
      <c r="P98" s="2514"/>
      <c r="Q98" s="2502"/>
      <c r="R98" s="2434"/>
      <c r="S98" s="2434"/>
      <c r="T98" s="2434"/>
      <c r="U98" s="2434"/>
      <c r="V98" s="2434"/>
      <c r="W98" s="2434"/>
      <c r="X98" s="2434"/>
      <c r="Y98" s="2434"/>
      <c r="Z98" s="2434"/>
      <c r="AA98" s="2434"/>
      <c r="AB98" s="2434"/>
      <c r="AC98" s="2434"/>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1"/>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1"/>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8">C104-$K31</f>
        <v>97</v>
      </c>
      <c r="E104" s="473">
        <f t="shared" si="28"/>
        <v>94</v>
      </c>
      <c r="F104" s="473">
        <f t="shared" si="28"/>
        <v>91</v>
      </c>
      <c r="G104" s="473">
        <f t="shared" si="28"/>
        <v>88</v>
      </c>
      <c r="H104" s="473">
        <f t="shared" si="28"/>
        <v>85</v>
      </c>
      <c r="I104" s="473">
        <f t="shared" si="28"/>
        <v>82</v>
      </c>
      <c r="J104" s="473">
        <f t="shared" si="28"/>
        <v>79</v>
      </c>
      <c r="K104" s="473">
        <f t="shared" si="28"/>
        <v>76</v>
      </c>
      <c r="L104" s="473">
        <f t="shared" si="28"/>
        <v>73</v>
      </c>
      <c r="M104" s="473">
        <f t="shared" si="28"/>
        <v>70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1815</v>
      </c>
      <c r="C105" s="3173" t="s">
        <v>3631</v>
      </c>
      <c r="D105" s="3173" t="s">
        <v>3632</v>
      </c>
      <c r="E105" s="3173" t="s">
        <v>3633</v>
      </c>
      <c r="F105" s="3173" t="s">
        <v>3634</v>
      </c>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9">C106-$K32</f>
        <v>99</v>
      </c>
      <c r="E106" s="473">
        <f t="shared" si="29"/>
        <v>98</v>
      </c>
      <c r="F106" s="473">
        <f t="shared" si="29"/>
        <v>97</v>
      </c>
      <c r="G106" s="473">
        <f t="shared" si="29"/>
        <v>96</v>
      </c>
      <c r="H106" s="473">
        <f t="shared" si="29"/>
        <v>95</v>
      </c>
      <c r="I106" s="473">
        <f t="shared" si="29"/>
        <v>94</v>
      </c>
      <c r="J106" s="473">
        <f t="shared" si="29"/>
        <v>93</v>
      </c>
      <c r="K106" s="473">
        <f t="shared" si="29"/>
        <v>92</v>
      </c>
      <c r="L106" s="473">
        <f t="shared" si="29"/>
        <v>91</v>
      </c>
      <c r="M106" s="473">
        <f t="shared" si="29"/>
        <v>90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1873</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30">C108-$K34</f>
        <v>100</v>
      </c>
      <c r="E108" s="473">
        <f t="shared" si="30"/>
        <v>100</v>
      </c>
      <c r="F108" s="473">
        <f t="shared" si="30"/>
        <v>100</v>
      </c>
      <c r="G108" s="473">
        <f t="shared" si="30"/>
        <v>100</v>
      </c>
      <c r="H108" s="473">
        <f t="shared" si="30"/>
        <v>100</v>
      </c>
      <c r="I108" s="473">
        <f t="shared" si="30"/>
        <v>100</v>
      </c>
      <c r="J108" s="473">
        <f t="shared" si="30"/>
        <v>100</v>
      </c>
      <c r="K108" s="473">
        <f t="shared" si="30"/>
        <v>100</v>
      </c>
      <c r="L108" s="473">
        <f t="shared" si="30"/>
        <v>100</v>
      </c>
      <c r="M108" s="473">
        <f t="shared" si="30"/>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28.5">
      <c r="A115" s="377" t="s">
        <v>1694</v>
      </c>
      <c r="B115" s="458" t="s">
        <v>1913</v>
      </c>
      <c r="C115" s="459" t="str">
        <f>C116&amp;"(含)"&amp;"-"&amp;D116</f>
        <v>0(含)-10000</v>
      </c>
      <c r="D115" s="459" t="str">
        <f t="shared" ref="D115:M115" si="31">D116&amp;"(含)"&amp;"-"&amp;E116</f>
        <v>10000(含)-20000</v>
      </c>
      <c r="E115" s="459" t="str">
        <f t="shared" si="31"/>
        <v>20000(含)-40000</v>
      </c>
      <c r="F115" s="459" t="str">
        <f t="shared" si="31"/>
        <v>40000(含)-60000</v>
      </c>
      <c r="G115" s="459" t="str">
        <f t="shared" si="31"/>
        <v>60000(含)-</v>
      </c>
      <c r="H115" s="459" t="str">
        <f t="shared" si="31"/>
        <v>(含)-</v>
      </c>
      <c r="I115" s="459" t="str">
        <f t="shared" si="31"/>
        <v>(含)-</v>
      </c>
      <c r="J115" s="459" t="str">
        <f t="shared" si="31"/>
        <v>(含)-</v>
      </c>
      <c r="K115" s="459" t="str">
        <f t="shared" si="31"/>
        <v>(含)-</v>
      </c>
      <c r="L115" s="459" t="str">
        <f t="shared" si="31"/>
        <v>(含)-</v>
      </c>
      <c r="M115" s="459" t="str">
        <f t="shared" si="31"/>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v>0</v>
      </c>
      <c r="D116" s="6">
        <v>10000</v>
      </c>
      <c r="E116" s="6">
        <v>20000</v>
      </c>
      <c r="F116" s="6">
        <v>40000</v>
      </c>
      <c r="G116" s="6">
        <v>60000</v>
      </c>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v>100</v>
      </c>
      <c r="D117" s="519">
        <f>C117+2</f>
        <v>102</v>
      </c>
      <c r="E117" s="519">
        <f t="shared" ref="E117:G117" si="32">D117+2</f>
        <v>104</v>
      </c>
      <c r="F117" s="519">
        <f t="shared" si="32"/>
        <v>106</v>
      </c>
      <c r="G117" s="519">
        <f t="shared" si="32"/>
        <v>108</v>
      </c>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1914</v>
      </c>
      <c r="C118" s="3171" t="s">
        <v>3635</v>
      </c>
      <c r="D118" s="3171" t="s">
        <v>3636</v>
      </c>
      <c r="E118" s="3171" t="s">
        <v>3637</v>
      </c>
      <c r="F118" s="3171" t="s">
        <v>3638</v>
      </c>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33">C119-$K39</f>
        <v>99</v>
      </c>
      <c r="E119" s="473">
        <f t="shared" si="33"/>
        <v>98</v>
      </c>
      <c r="F119" s="473">
        <f t="shared" si="33"/>
        <v>97</v>
      </c>
      <c r="G119" s="473">
        <f t="shared" si="33"/>
        <v>96</v>
      </c>
      <c r="H119" s="473">
        <f t="shared" si="33"/>
        <v>95</v>
      </c>
      <c r="I119" s="473">
        <f t="shared" si="33"/>
        <v>94</v>
      </c>
      <c r="J119" s="473">
        <f t="shared" si="33"/>
        <v>93</v>
      </c>
      <c r="K119" s="473">
        <f t="shared" si="33"/>
        <v>92</v>
      </c>
      <c r="L119" s="473">
        <f t="shared" si="33"/>
        <v>91</v>
      </c>
      <c r="M119" s="474">
        <f t="shared" si="33"/>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1915</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34">C121-$K40</f>
        <v>100</v>
      </c>
      <c r="E121" s="473">
        <f t="shared" si="34"/>
        <v>100</v>
      </c>
      <c r="F121" s="473">
        <f t="shared" si="34"/>
        <v>100</v>
      </c>
      <c r="G121" s="473">
        <f t="shared" si="34"/>
        <v>100</v>
      </c>
      <c r="H121" s="473">
        <f t="shared" si="34"/>
        <v>100</v>
      </c>
      <c r="I121" s="473">
        <f t="shared" si="34"/>
        <v>100</v>
      </c>
      <c r="J121" s="473">
        <f t="shared" si="34"/>
        <v>100</v>
      </c>
      <c r="K121" s="473">
        <f t="shared" si="34"/>
        <v>100</v>
      </c>
      <c r="L121" s="473">
        <f t="shared" si="34"/>
        <v>100</v>
      </c>
      <c r="M121" s="474">
        <f t="shared" si="34"/>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1916</v>
      </c>
      <c r="C122" s="3173" t="s">
        <v>3639</v>
      </c>
      <c r="D122" s="3173" t="s">
        <v>3640</v>
      </c>
      <c r="E122" s="3173" t="s">
        <v>3641</v>
      </c>
      <c r="F122" s="3173" t="s">
        <v>3642</v>
      </c>
      <c r="G122" s="3173" t="s">
        <v>3643</v>
      </c>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35">C123-$K41</f>
        <v>99.5</v>
      </c>
      <c r="E123" s="473">
        <f t="shared" si="35"/>
        <v>99</v>
      </c>
      <c r="F123" s="473">
        <f t="shared" si="35"/>
        <v>98.5</v>
      </c>
      <c r="G123" s="473">
        <f t="shared" si="35"/>
        <v>98</v>
      </c>
      <c r="H123" s="473">
        <f t="shared" si="35"/>
        <v>97.5</v>
      </c>
      <c r="I123" s="473">
        <f t="shared" si="35"/>
        <v>97</v>
      </c>
      <c r="J123" s="473">
        <f t="shared" si="35"/>
        <v>96.5</v>
      </c>
      <c r="K123" s="473">
        <f t="shared" si="35"/>
        <v>96</v>
      </c>
      <c r="L123" s="473">
        <f t="shared" si="35"/>
        <v>95.5</v>
      </c>
      <c r="M123" s="474">
        <f t="shared" si="35"/>
        <v>95</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1917</v>
      </c>
      <c r="C124" s="483" t="s">
        <v>3644</v>
      </c>
      <c r="D124" s="483" t="s">
        <v>3645</v>
      </c>
      <c r="E124" s="511" t="s">
        <v>3646</v>
      </c>
      <c r="F124" s="511" t="s">
        <v>3647</v>
      </c>
      <c r="G124" s="511" t="s">
        <v>3648</v>
      </c>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36">C125-$K42</f>
        <v>98</v>
      </c>
      <c r="E125" s="473">
        <f t="shared" si="36"/>
        <v>96</v>
      </c>
      <c r="F125" s="473">
        <f t="shared" si="36"/>
        <v>94</v>
      </c>
      <c r="G125" s="473">
        <f t="shared" si="36"/>
        <v>92</v>
      </c>
      <c r="H125" s="473">
        <f t="shared" si="36"/>
        <v>90</v>
      </c>
      <c r="I125" s="473">
        <f t="shared" si="36"/>
        <v>88</v>
      </c>
      <c r="J125" s="473">
        <f t="shared" si="36"/>
        <v>86</v>
      </c>
      <c r="K125" s="473">
        <f t="shared" si="36"/>
        <v>84</v>
      </c>
      <c r="L125" s="473">
        <f t="shared" si="36"/>
        <v>82</v>
      </c>
      <c r="M125" s="474">
        <f t="shared" si="36"/>
        <v>80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D133-A631-4961-A8EB-D74D19F61854}">
  <dimension ref="A1:T25"/>
  <sheetViews>
    <sheetView topLeftCell="B1" workbookViewId="0">
      <selection activeCell="I8" sqref="I8"/>
    </sheetView>
  </sheetViews>
  <sheetFormatPr defaultRowHeight="13.5"/>
  <cols>
    <col min="1" max="1" width="20.625" customWidth="1"/>
  </cols>
  <sheetData>
    <row r="1" spans="1:20" s="1151" customFormat="1">
      <c r="A1" s="1151" t="s">
        <v>3386</v>
      </c>
      <c r="B1" s="1151" t="s">
        <v>3387</v>
      </c>
      <c r="C1" s="1151" t="s">
        <v>3388</v>
      </c>
      <c r="D1" s="1151" t="s">
        <v>3389</v>
      </c>
      <c r="E1" s="1151" t="s">
        <v>3390</v>
      </c>
      <c r="F1" s="1151" t="s">
        <v>3391</v>
      </c>
      <c r="G1" s="1151" t="s">
        <v>3392</v>
      </c>
      <c r="H1" s="1151" t="s">
        <v>3393</v>
      </c>
      <c r="I1" s="1151" t="s">
        <v>3394</v>
      </c>
      <c r="J1" s="1151" t="s">
        <v>3395</v>
      </c>
      <c r="K1" s="1151" t="s">
        <v>3396</v>
      </c>
      <c r="L1" s="1151" t="s">
        <v>3397</v>
      </c>
      <c r="M1" s="1151" t="s">
        <v>3398</v>
      </c>
      <c r="N1" s="1151" t="s">
        <v>3399</v>
      </c>
      <c r="O1" s="1151" t="s">
        <v>3400</v>
      </c>
      <c r="P1" s="1151" t="s">
        <v>3401</v>
      </c>
      <c r="Q1" s="1151" t="s">
        <v>3402</v>
      </c>
      <c r="R1" s="1151" t="s">
        <v>3403</v>
      </c>
      <c r="S1" s="1151" t="s">
        <v>3404</v>
      </c>
      <c r="T1" s="1151" t="s">
        <v>3405</v>
      </c>
    </row>
    <row r="2" spans="1:20" s="1151" customFormat="1">
      <c r="A2" s="1151" t="s">
        <v>3406</v>
      </c>
      <c r="B2" s="1151" t="s">
        <v>3407</v>
      </c>
      <c r="C2" s="1151" t="s">
        <v>3408</v>
      </c>
      <c r="D2" s="1151">
        <v>41129.769999999997</v>
      </c>
      <c r="E2" s="1151">
        <v>90485.49</v>
      </c>
      <c r="F2" s="1151" t="s">
        <v>3409</v>
      </c>
      <c r="G2" s="1151" t="s">
        <v>3410</v>
      </c>
      <c r="H2" s="1151" t="s">
        <v>3411</v>
      </c>
      <c r="I2" s="1151" t="s">
        <v>3412</v>
      </c>
      <c r="J2" s="1151" t="s">
        <v>3413</v>
      </c>
      <c r="K2" s="1151" t="s">
        <v>3412</v>
      </c>
      <c r="L2" s="1151" t="s">
        <v>3414</v>
      </c>
      <c r="M2" s="1151" t="s">
        <v>3415</v>
      </c>
      <c r="N2" s="1151" t="s">
        <v>3416</v>
      </c>
      <c r="O2" s="1151">
        <v>16200</v>
      </c>
      <c r="P2" s="1151">
        <v>80900</v>
      </c>
      <c r="Q2" s="1151">
        <v>19669.45</v>
      </c>
      <c r="R2" s="1151">
        <v>1311.3</v>
      </c>
      <c r="S2" s="1151">
        <v>8941</v>
      </c>
      <c r="T2" s="1151">
        <v>0</v>
      </c>
    </row>
    <row r="3" spans="1:20" s="1151" customFormat="1">
      <c r="A3" s="1151" t="s">
        <v>3417</v>
      </c>
      <c r="B3" s="1151" t="s">
        <v>3407</v>
      </c>
      <c r="C3" s="1151" t="s">
        <v>3418</v>
      </c>
      <c r="D3" s="1151">
        <v>32423.18</v>
      </c>
      <c r="E3" s="1151">
        <v>42150</v>
      </c>
      <c r="F3" s="1151" t="s">
        <v>3409</v>
      </c>
      <c r="G3" s="1151" t="s">
        <v>3410</v>
      </c>
      <c r="H3" s="1151" t="s">
        <v>3419</v>
      </c>
      <c r="I3" s="1151" t="s">
        <v>3412</v>
      </c>
      <c r="J3" s="1151" t="s">
        <v>3413</v>
      </c>
      <c r="K3" s="1151" t="s">
        <v>3412</v>
      </c>
      <c r="L3" s="1151" t="s">
        <v>3420</v>
      </c>
      <c r="M3" s="1151" t="s">
        <v>3415</v>
      </c>
      <c r="N3" s="1151" t="s">
        <v>3421</v>
      </c>
      <c r="O3" s="1151">
        <v>4700</v>
      </c>
      <c r="P3" s="1151">
        <v>23500</v>
      </c>
      <c r="Q3" s="1151">
        <v>7247.9</v>
      </c>
      <c r="R3" s="1151">
        <v>483.19</v>
      </c>
      <c r="S3" s="1151">
        <v>5575</v>
      </c>
      <c r="T3" s="1151">
        <v>0</v>
      </c>
    </row>
    <row r="4" spans="1:20" s="1151" customFormat="1">
      <c r="A4" s="1151" t="s">
        <v>3422</v>
      </c>
      <c r="B4" s="1151" t="s">
        <v>3407</v>
      </c>
      <c r="C4" s="1151" t="s">
        <v>3423</v>
      </c>
      <c r="D4" s="1151">
        <v>48824.83</v>
      </c>
      <c r="E4" s="1151">
        <v>122062.08</v>
      </c>
      <c r="F4" s="1151" t="s">
        <v>3409</v>
      </c>
      <c r="G4" s="1151" t="s">
        <v>3424</v>
      </c>
      <c r="H4" s="1151" t="s">
        <v>3425</v>
      </c>
      <c r="I4" s="1151" t="s">
        <v>3412</v>
      </c>
      <c r="J4" s="1151" t="s">
        <v>3413</v>
      </c>
      <c r="K4" s="1151" t="s">
        <v>3412</v>
      </c>
      <c r="L4" s="1151" t="s">
        <v>3426</v>
      </c>
      <c r="M4" s="1151" t="s">
        <v>3415</v>
      </c>
      <c r="N4" s="1151" t="s">
        <v>3427</v>
      </c>
      <c r="O4" s="1151">
        <v>19000</v>
      </c>
      <c r="P4" s="1151">
        <v>93000</v>
      </c>
      <c r="Q4" s="1151">
        <v>19047.68</v>
      </c>
      <c r="R4" s="1151">
        <v>1269.8499999999999</v>
      </c>
      <c r="S4" s="1151">
        <v>7619</v>
      </c>
      <c r="T4" s="1151">
        <v>0</v>
      </c>
    </row>
    <row r="5" spans="1:20" s="1151" customFormat="1">
      <c r="A5" s="1151" t="s">
        <v>3428</v>
      </c>
      <c r="B5" s="1151" t="s">
        <v>3407</v>
      </c>
      <c r="C5" s="1151" t="s">
        <v>3429</v>
      </c>
      <c r="D5" s="1151">
        <v>19810.400000000001</v>
      </c>
      <c r="E5" s="1151">
        <v>700</v>
      </c>
      <c r="F5" s="1151" t="s">
        <v>3409</v>
      </c>
      <c r="G5" s="1151" t="s">
        <v>3430</v>
      </c>
      <c r="H5" s="1151" t="s">
        <v>3431</v>
      </c>
      <c r="I5" s="1151" t="s">
        <v>3412</v>
      </c>
      <c r="J5" s="1151" t="s">
        <v>3413</v>
      </c>
      <c r="K5" s="1151" t="s">
        <v>3412</v>
      </c>
      <c r="L5" s="1151" t="s">
        <v>3432</v>
      </c>
      <c r="M5" s="1151" t="s">
        <v>3415</v>
      </c>
      <c r="N5" s="1151" t="s">
        <v>3433</v>
      </c>
      <c r="O5" s="1151">
        <v>1400</v>
      </c>
      <c r="P5" s="1151">
        <v>6600</v>
      </c>
      <c r="Q5" s="1151">
        <v>3331.58</v>
      </c>
      <c r="R5" s="1151">
        <v>222.11</v>
      </c>
      <c r="S5" s="1151">
        <v>94286</v>
      </c>
      <c r="T5" s="1151">
        <v>0</v>
      </c>
    </row>
    <row r="6" spans="1:20" s="1151" customFormat="1">
      <c r="A6" s="1151" t="s">
        <v>3434</v>
      </c>
      <c r="B6" s="1151" t="s">
        <v>3407</v>
      </c>
      <c r="C6" s="1151" t="s">
        <v>3435</v>
      </c>
      <c r="D6" s="1151">
        <v>22774.400000000001</v>
      </c>
      <c r="E6" s="1151">
        <v>40993.919999999998</v>
      </c>
      <c r="F6" s="1151" t="s">
        <v>3409</v>
      </c>
      <c r="G6" s="1151" t="s">
        <v>3410</v>
      </c>
      <c r="H6" s="1151" t="s">
        <v>3436</v>
      </c>
      <c r="I6" s="1151" t="s">
        <v>3412</v>
      </c>
      <c r="J6" s="1151" t="s">
        <v>3413</v>
      </c>
      <c r="K6" s="1151" t="s">
        <v>3412</v>
      </c>
      <c r="L6" s="1151" t="s">
        <v>3412</v>
      </c>
      <c r="M6" s="1151" t="s">
        <v>3437</v>
      </c>
      <c r="N6" s="1151" t="s">
        <v>3412</v>
      </c>
      <c r="O6" s="1151">
        <v>10000</v>
      </c>
      <c r="P6" s="1151" t="s">
        <v>3412</v>
      </c>
      <c r="Q6" s="1151" t="s">
        <v>3412</v>
      </c>
      <c r="R6" s="1151" t="s">
        <v>3412</v>
      </c>
      <c r="S6" s="1151" t="s">
        <v>3412</v>
      </c>
      <c r="T6" s="1151">
        <v>0</v>
      </c>
    </row>
    <row r="7" spans="1:20" s="1151" customFormat="1">
      <c r="A7" s="1151" t="s">
        <v>3438</v>
      </c>
      <c r="B7" s="1151" t="s">
        <v>3407</v>
      </c>
      <c r="C7" s="1151" t="s">
        <v>3439</v>
      </c>
      <c r="D7" s="1151">
        <v>9632.01</v>
      </c>
      <c r="E7" s="1151">
        <v>15025.93</v>
      </c>
      <c r="F7" s="1151" t="s">
        <v>3409</v>
      </c>
      <c r="G7" s="1151" t="s">
        <v>3410</v>
      </c>
      <c r="H7" s="1151" t="s">
        <v>3440</v>
      </c>
      <c r="I7" s="1151" t="s">
        <v>3412</v>
      </c>
      <c r="J7" s="1151" t="s">
        <v>3413</v>
      </c>
      <c r="K7" s="1151" t="s">
        <v>3412</v>
      </c>
      <c r="L7" s="1151" t="s">
        <v>3441</v>
      </c>
      <c r="M7" s="1151" t="s">
        <v>3415</v>
      </c>
      <c r="N7" s="1151" t="s">
        <v>3442</v>
      </c>
      <c r="O7" s="1151">
        <v>3000</v>
      </c>
      <c r="P7" s="1151">
        <v>13700</v>
      </c>
      <c r="Q7" s="1151">
        <v>14223.4</v>
      </c>
      <c r="R7" s="1151">
        <v>948.23</v>
      </c>
      <c r="S7" s="1151">
        <v>9118</v>
      </c>
      <c r="T7" s="1151">
        <v>0</v>
      </c>
    </row>
    <row r="8" spans="1:20" s="1151" customFormat="1">
      <c r="A8" s="1151" t="s">
        <v>3443</v>
      </c>
      <c r="B8" s="1151" t="s">
        <v>3407</v>
      </c>
      <c r="C8" s="1151" t="s">
        <v>3444</v>
      </c>
      <c r="D8" s="1151">
        <v>15459.22</v>
      </c>
      <c r="E8" s="1151">
        <v>52599.12</v>
      </c>
      <c r="F8" s="1151" t="s">
        <v>3409</v>
      </c>
      <c r="G8" s="1151" t="s">
        <v>3424</v>
      </c>
      <c r="H8" s="1151" t="s">
        <v>3445</v>
      </c>
      <c r="I8" s="1151" t="s">
        <v>3412</v>
      </c>
      <c r="J8" s="1151" t="s">
        <v>3413</v>
      </c>
      <c r="K8" s="1151" t="s">
        <v>3412</v>
      </c>
      <c r="L8" s="1151" t="s">
        <v>3446</v>
      </c>
      <c r="M8" s="1151" t="s">
        <v>3415</v>
      </c>
      <c r="N8" s="1151" t="s">
        <v>3442</v>
      </c>
      <c r="O8" s="1151">
        <v>11000</v>
      </c>
      <c r="P8" s="1151">
        <v>53100</v>
      </c>
      <c r="Q8" s="1151">
        <v>34348.43</v>
      </c>
      <c r="R8" s="1151">
        <v>2289.9</v>
      </c>
      <c r="S8" s="1151">
        <v>10095</v>
      </c>
      <c r="T8" s="1151">
        <v>0</v>
      </c>
    </row>
    <row r="9" spans="1:20" s="1151" customFormat="1">
      <c r="A9" s="1151" t="s">
        <v>3447</v>
      </c>
      <c r="B9" s="1151" t="s">
        <v>3407</v>
      </c>
      <c r="C9" s="1151" t="s">
        <v>3448</v>
      </c>
      <c r="D9" s="1151">
        <v>5500.65</v>
      </c>
      <c r="E9" s="1151">
        <v>15401.81</v>
      </c>
      <c r="F9" s="1151" t="s">
        <v>3409</v>
      </c>
      <c r="G9" s="1151" t="s">
        <v>3449</v>
      </c>
      <c r="H9" s="1151" t="s">
        <v>3450</v>
      </c>
      <c r="I9" s="1151" t="s">
        <v>3412</v>
      </c>
      <c r="J9" s="1151" t="s">
        <v>3413</v>
      </c>
      <c r="K9" s="1151" t="s">
        <v>3412</v>
      </c>
      <c r="L9" s="1151" t="s">
        <v>3451</v>
      </c>
      <c r="M9" s="1151" t="s">
        <v>3415</v>
      </c>
      <c r="N9" s="1151" t="s">
        <v>3452</v>
      </c>
      <c r="O9" s="1151">
        <v>4000</v>
      </c>
      <c r="P9" s="1151">
        <v>17000</v>
      </c>
      <c r="Q9" s="1151">
        <v>30905.43</v>
      </c>
      <c r="R9" s="1151">
        <v>2060.36</v>
      </c>
      <c r="S9" s="1151">
        <v>11038</v>
      </c>
      <c r="T9" s="1151">
        <v>0</v>
      </c>
    </row>
    <row r="10" spans="1:20" s="1151" customFormat="1">
      <c r="A10" s="1151" t="s">
        <v>3453</v>
      </c>
      <c r="B10" s="1151" t="s">
        <v>3407</v>
      </c>
      <c r="C10" s="1151" t="s">
        <v>3454</v>
      </c>
      <c r="D10" s="1151">
        <v>82500</v>
      </c>
      <c r="E10" s="1151">
        <v>165000</v>
      </c>
      <c r="F10" s="1151" t="s">
        <v>3409</v>
      </c>
      <c r="G10" s="1151" t="s">
        <v>3455</v>
      </c>
      <c r="H10" s="1151" t="s">
        <v>3456</v>
      </c>
      <c r="I10" s="1151" t="s">
        <v>3412</v>
      </c>
      <c r="J10" s="1151" t="s">
        <v>3413</v>
      </c>
      <c r="K10" s="1151" t="s">
        <v>3412</v>
      </c>
      <c r="L10" s="1151" t="s">
        <v>3457</v>
      </c>
      <c r="M10" s="1151" t="s">
        <v>3415</v>
      </c>
      <c r="N10" s="1151" t="s">
        <v>3458</v>
      </c>
      <c r="O10" s="1151">
        <v>78000</v>
      </c>
      <c r="P10" s="1151">
        <v>260700</v>
      </c>
      <c r="Q10" s="1151">
        <v>31600</v>
      </c>
      <c r="R10" s="1151">
        <v>2106.67</v>
      </c>
      <c r="S10" s="1151">
        <v>15800</v>
      </c>
      <c r="T10" s="1151">
        <v>0</v>
      </c>
    </row>
    <row r="11" spans="1:20" s="1151" customFormat="1">
      <c r="A11" s="1151" t="s">
        <v>3459</v>
      </c>
      <c r="B11" s="1151" t="s">
        <v>3407</v>
      </c>
      <c r="C11" s="1151" t="s">
        <v>3460</v>
      </c>
      <c r="D11" s="1151">
        <v>54885.73</v>
      </c>
      <c r="E11" s="1151">
        <v>109771.46</v>
      </c>
      <c r="F11" s="1151" t="s">
        <v>3409</v>
      </c>
      <c r="G11" s="1151" t="s">
        <v>3455</v>
      </c>
      <c r="H11" s="1151" t="s">
        <v>3456</v>
      </c>
      <c r="I11" s="1151" t="s">
        <v>3412</v>
      </c>
      <c r="J11" s="1151" t="s">
        <v>3413</v>
      </c>
      <c r="K11" s="1151" t="s">
        <v>3412</v>
      </c>
      <c r="L11" s="1151" t="s">
        <v>3412</v>
      </c>
      <c r="M11" s="1151" t="s">
        <v>3461</v>
      </c>
      <c r="N11" s="1151" t="s">
        <v>3412</v>
      </c>
      <c r="O11" s="1151">
        <v>52000</v>
      </c>
      <c r="P11" s="1151" t="s">
        <v>3412</v>
      </c>
      <c r="Q11" s="1151" t="s">
        <v>3412</v>
      </c>
      <c r="R11" s="1151" t="s">
        <v>3412</v>
      </c>
      <c r="S11" s="1151" t="s">
        <v>3412</v>
      </c>
      <c r="T11" s="1151">
        <v>0</v>
      </c>
    </row>
    <row r="12" spans="1:20" s="1151" customFormat="1">
      <c r="A12" s="1151" t="s">
        <v>3462</v>
      </c>
      <c r="B12" s="1151" t="s">
        <v>3407</v>
      </c>
      <c r="C12" s="1151" t="s">
        <v>3463</v>
      </c>
      <c r="D12" s="1151">
        <v>4800</v>
      </c>
      <c r="E12" s="1151">
        <v>1920</v>
      </c>
      <c r="F12" s="1151" t="s">
        <v>3409</v>
      </c>
      <c r="G12" s="1151" t="s">
        <v>3464</v>
      </c>
      <c r="H12" s="1151" t="s">
        <v>3465</v>
      </c>
      <c r="I12" s="1151" t="s">
        <v>3412</v>
      </c>
      <c r="J12" s="1151" t="s">
        <v>3413</v>
      </c>
      <c r="K12" s="1151" t="s">
        <v>3412</v>
      </c>
      <c r="L12" s="1151" t="s">
        <v>3466</v>
      </c>
      <c r="M12" s="1151" t="s">
        <v>3415</v>
      </c>
      <c r="N12" s="1151" t="s">
        <v>3467</v>
      </c>
      <c r="O12" s="1151">
        <v>1200</v>
      </c>
      <c r="P12" s="1151">
        <v>5800</v>
      </c>
      <c r="Q12" s="1151">
        <v>12083.33</v>
      </c>
      <c r="R12" s="1151">
        <v>805.56</v>
      </c>
      <c r="S12" s="1151">
        <v>30208</v>
      </c>
      <c r="T12" s="1151">
        <v>0</v>
      </c>
    </row>
    <row r="13" spans="1:20" s="3138" customFormat="1">
      <c r="A13" s="3138" t="s">
        <v>3468</v>
      </c>
      <c r="B13" s="3138" t="s">
        <v>3407</v>
      </c>
      <c r="C13" s="3138" t="s">
        <v>3469</v>
      </c>
      <c r="D13" s="3138">
        <v>10000</v>
      </c>
      <c r="E13" s="3138">
        <v>22000</v>
      </c>
      <c r="F13" s="3138" t="s">
        <v>3409</v>
      </c>
      <c r="G13" s="3138" t="s">
        <v>3410</v>
      </c>
      <c r="H13" s="3138" t="s">
        <v>3470</v>
      </c>
      <c r="I13" s="3138" t="s">
        <v>3412</v>
      </c>
      <c r="J13" s="3138" t="s">
        <v>3413</v>
      </c>
      <c r="K13" s="3138" t="s">
        <v>3412</v>
      </c>
      <c r="L13" s="3138" t="s">
        <v>3471</v>
      </c>
      <c r="M13" s="3138" t="s">
        <v>3415</v>
      </c>
      <c r="N13" s="3138" t="s">
        <v>3472</v>
      </c>
      <c r="O13" s="3138">
        <v>7300</v>
      </c>
      <c r="P13" s="3138">
        <v>36400</v>
      </c>
      <c r="Q13" s="3138">
        <v>36400</v>
      </c>
      <c r="R13" s="3138">
        <v>2426.67</v>
      </c>
      <c r="S13" s="3138">
        <v>16545</v>
      </c>
      <c r="T13" s="3138">
        <v>0</v>
      </c>
    </row>
    <row r="14" spans="1:20" s="3138" customFormat="1">
      <c r="A14" s="3138" t="s">
        <v>3473</v>
      </c>
      <c r="B14" s="3138" t="s">
        <v>3407</v>
      </c>
      <c r="C14" s="3138" t="s">
        <v>3474</v>
      </c>
      <c r="D14" s="3138">
        <v>5500</v>
      </c>
      <c r="E14" s="3138">
        <v>12100</v>
      </c>
      <c r="F14" s="3138" t="s">
        <v>3409</v>
      </c>
      <c r="G14" s="3138" t="s">
        <v>3410</v>
      </c>
      <c r="H14" s="3138" t="s">
        <v>3470</v>
      </c>
      <c r="I14" s="3138" t="s">
        <v>3412</v>
      </c>
      <c r="J14" s="3138" t="s">
        <v>3413</v>
      </c>
      <c r="K14" s="3138" t="s">
        <v>3412</v>
      </c>
      <c r="L14" s="3138" t="s">
        <v>3475</v>
      </c>
      <c r="M14" s="3138" t="s">
        <v>3415</v>
      </c>
      <c r="N14" s="3138" t="s">
        <v>3476</v>
      </c>
      <c r="O14" s="3138">
        <v>4000</v>
      </c>
      <c r="P14" s="3138">
        <v>20000</v>
      </c>
      <c r="Q14" s="3138">
        <v>36363.629999999997</v>
      </c>
      <c r="R14" s="3138">
        <v>2424.2399999999998</v>
      </c>
      <c r="S14" s="3138">
        <v>16529</v>
      </c>
      <c r="T14" s="3138">
        <v>0</v>
      </c>
    </row>
    <row r="15" spans="1:20" s="3138" customFormat="1">
      <c r="A15" s="3138" t="s">
        <v>3477</v>
      </c>
      <c r="B15" s="3138" t="s">
        <v>3407</v>
      </c>
      <c r="C15" s="3138" t="s">
        <v>3478</v>
      </c>
      <c r="D15" s="3138">
        <v>16122.82</v>
      </c>
      <c r="E15" s="3138">
        <v>45143.91</v>
      </c>
      <c r="F15" s="3138" t="s">
        <v>3409</v>
      </c>
      <c r="G15" s="3138" t="s">
        <v>3410</v>
      </c>
      <c r="H15" s="3138" t="s">
        <v>3450</v>
      </c>
      <c r="I15" s="3138" t="s">
        <v>3412</v>
      </c>
      <c r="J15" s="3138" t="s">
        <v>3413</v>
      </c>
      <c r="K15" s="3138" t="s">
        <v>3412</v>
      </c>
      <c r="L15" s="3138" t="s">
        <v>3479</v>
      </c>
      <c r="M15" s="3138" t="s">
        <v>3415</v>
      </c>
      <c r="N15" s="3138" t="s">
        <v>3480</v>
      </c>
      <c r="O15" s="3138">
        <v>16000</v>
      </c>
      <c r="P15" s="3138">
        <v>76000</v>
      </c>
      <c r="Q15" s="3138">
        <v>47138.15</v>
      </c>
      <c r="R15" s="3138">
        <v>3142.54</v>
      </c>
      <c r="S15" s="3138">
        <v>16835</v>
      </c>
      <c r="T15" s="3138">
        <v>0</v>
      </c>
    </row>
    <row r="16" spans="1:20" s="1151" customFormat="1">
      <c r="A16" s="1151" t="s">
        <v>3481</v>
      </c>
      <c r="B16" s="1151" t="s">
        <v>3407</v>
      </c>
      <c r="C16" s="1151" t="s">
        <v>3482</v>
      </c>
      <c r="D16" s="1151">
        <v>17308.8</v>
      </c>
      <c r="E16" s="1151">
        <v>86544</v>
      </c>
      <c r="F16" s="1151" t="s">
        <v>3409</v>
      </c>
      <c r="G16" s="1151" t="s">
        <v>3410</v>
      </c>
      <c r="H16" s="1151" t="s">
        <v>3483</v>
      </c>
      <c r="I16" s="1151" t="s">
        <v>3412</v>
      </c>
      <c r="J16" s="1151" t="s">
        <v>3413</v>
      </c>
      <c r="K16" s="1151" t="s">
        <v>3412</v>
      </c>
      <c r="L16" s="1151" t="s">
        <v>3484</v>
      </c>
      <c r="M16" s="1151" t="s">
        <v>3415</v>
      </c>
      <c r="N16" s="1151" t="s">
        <v>3485</v>
      </c>
      <c r="O16" s="1151">
        <v>18300</v>
      </c>
      <c r="P16" s="1151">
        <v>91400</v>
      </c>
      <c r="Q16" s="1151">
        <v>52805.5</v>
      </c>
      <c r="R16" s="1151">
        <v>3520.37</v>
      </c>
      <c r="S16" s="1151">
        <v>10561</v>
      </c>
      <c r="T16" s="1151">
        <v>0</v>
      </c>
    </row>
    <row r="17" spans="1:20" s="1151" customFormat="1">
      <c r="A17" s="1151" t="s">
        <v>3486</v>
      </c>
      <c r="B17" s="1151" t="s">
        <v>3407</v>
      </c>
      <c r="C17" s="1151" t="s">
        <v>3487</v>
      </c>
      <c r="D17" s="1151">
        <v>59169.74</v>
      </c>
      <c r="E17" s="1151">
        <v>130173.43</v>
      </c>
      <c r="F17" s="1151" t="s">
        <v>3409</v>
      </c>
      <c r="G17" s="1151" t="s">
        <v>3410</v>
      </c>
      <c r="H17" s="1151" t="s">
        <v>3470</v>
      </c>
      <c r="I17" s="1151" t="s">
        <v>3412</v>
      </c>
      <c r="J17" s="1151" t="s">
        <v>3413</v>
      </c>
      <c r="K17" s="1151" t="s">
        <v>3412</v>
      </c>
      <c r="L17" s="1151" t="s">
        <v>3488</v>
      </c>
      <c r="M17" s="1151" t="s">
        <v>3415</v>
      </c>
      <c r="N17" s="1151" t="s">
        <v>3489</v>
      </c>
      <c r="O17" s="1151">
        <v>27000</v>
      </c>
      <c r="P17" s="1151">
        <v>131600</v>
      </c>
      <c r="Q17" s="1151">
        <v>22241.09</v>
      </c>
      <c r="R17" s="1151">
        <v>1482.74</v>
      </c>
      <c r="S17" s="1151">
        <v>10110</v>
      </c>
      <c r="T17" s="1151">
        <v>0</v>
      </c>
    </row>
    <row r="18" spans="1:20" s="1151" customFormat="1">
      <c r="A18" s="1151" t="s">
        <v>3589</v>
      </c>
      <c r="B18" s="1151" t="s">
        <v>3407</v>
      </c>
      <c r="C18" s="1151" t="s">
        <v>3590</v>
      </c>
      <c r="D18" s="1151">
        <v>12066.9</v>
      </c>
      <c r="E18" s="1151">
        <v>18100.349999999999</v>
      </c>
      <c r="F18" s="1151" t="s">
        <v>3409</v>
      </c>
      <c r="G18" s="1151" t="s">
        <v>3449</v>
      </c>
      <c r="H18" s="1151" t="s">
        <v>3591</v>
      </c>
      <c r="I18" s="1151" t="s">
        <v>3412</v>
      </c>
      <c r="J18" s="1151" t="s">
        <v>3413</v>
      </c>
      <c r="K18" s="1151" t="s">
        <v>3412</v>
      </c>
      <c r="L18" s="1151" t="s">
        <v>3592</v>
      </c>
      <c r="M18" s="1151" t="s">
        <v>3415</v>
      </c>
      <c r="N18" s="1151" t="s">
        <v>3489</v>
      </c>
      <c r="O18" s="1151">
        <v>1900</v>
      </c>
      <c r="P18" s="1151">
        <v>9400</v>
      </c>
      <c r="Q18" s="1151">
        <v>7789.9</v>
      </c>
      <c r="R18" s="1151">
        <v>519.33000000000004</v>
      </c>
      <c r="S18" s="1151">
        <v>5193</v>
      </c>
      <c r="T18" s="1151">
        <v>0</v>
      </c>
    </row>
    <row r="19" spans="1:20" s="1151" customFormat="1">
      <c r="A19" s="1151" t="s">
        <v>3593</v>
      </c>
      <c r="B19" s="1151" t="s">
        <v>3407</v>
      </c>
      <c r="C19" s="1151" t="s">
        <v>3594</v>
      </c>
      <c r="D19" s="1151">
        <v>15178.6</v>
      </c>
      <c r="E19" s="1151">
        <v>45535.8</v>
      </c>
      <c r="F19" s="1151" t="s">
        <v>3409</v>
      </c>
      <c r="G19" s="1151" t="s">
        <v>3410</v>
      </c>
      <c r="H19" s="1151" t="s">
        <v>3595</v>
      </c>
      <c r="I19" s="1151" t="s">
        <v>3412</v>
      </c>
      <c r="J19" s="1151" t="s">
        <v>3413</v>
      </c>
      <c r="K19" s="1151" t="s">
        <v>3412</v>
      </c>
      <c r="L19" s="1151" t="s">
        <v>3596</v>
      </c>
      <c r="M19" s="1151" t="s">
        <v>3415</v>
      </c>
      <c r="N19" s="1151" t="s">
        <v>3597</v>
      </c>
      <c r="O19" s="1151">
        <v>11700</v>
      </c>
      <c r="P19" s="1151">
        <v>58400</v>
      </c>
      <c r="Q19" s="1151">
        <v>38475.22</v>
      </c>
      <c r="R19" s="1151">
        <v>2565.0100000000002</v>
      </c>
      <c r="S19" s="1151">
        <v>12825</v>
      </c>
      <c r="T19" s="1151">
        <v>0</v>
      </c>
    </row>
    <row r="20" spans="1:20" s="1151" customFormat="1">
      <c r="A20" s="1151" t="s">
        <v>3598</v>
      </c>
      <c r="B20" s="1151" t="s">
        <v>3407</v>
      </c>
      <c r="C20" s="1151" t="s">
        <v>3599</v>
      </c>
      <c r="D20" s="1151">
        <v>29991.73</v>
      </c>
      <c r="E20" s="1151">
        <v>119966.93</v>
      </c>
      <c r="F20" s="1151" t="s">
        <v>3409</v>
      </c>
      <c r="G20" s="1151" t="s">
        <v>3410</v>
      </c>
      <c r="H20" s="1151" t="s">
        <v>3600</v>
      </c>
      <c r="I20" s="1151" t="s">
        <v>3412</v>
      </c>
      <c r="J20" s="1151" t="s">
        <v>3413</v>
      </c>
      <c r="K20" s="1151" t="s">
        <v>3412</v>
      </c>
      <c r="L20" s="1151" t="s">
        <v>3601</v>
      </c>
      <c r="M20" s="1151" t="s">
        <v>3415</v>
      </c>
      <c r="N20" s="1151" t="s">
        <v>3602</v>
      </c>
      <c r="O20" s="1151">
        <v>33100</v>
      </c>
      <c r="P20" s="1151">
        <v>165300</v>
      </c>
      <c r="Q20" s="1151">
        <v>55115.19</v>
      </c>
      <c r="R20" s="1151">
        <v>3674.35</v>
      </c>
      <c r="S20" s="1151">
        <v>13779</v>
      </c>
      <c r="T20" s="1151">
        <v>0</v>
      </c>
    </row>
    <row r="21" spans="1:20" s="1151" customFormat="1">
      <c r="A21" s="1151" t="s">
        <v>3603</v>
      </c>
      <c r="B21" s="1151" t="s">
        <v>3407</v>
      </c>
      <c r="C21" s="1151" t="s">
        <v>3604</v>
      </c>
      <c r="D21" s="1151">
        <v>15197.52</v>
      </c>
      <c r="E21" s="1151">
        <v>30395.05</v>
      </c>
      <c r="F21" s="1151" t="s">
        <v>3409</v>
      </c>
      <c r="G21" s="1151" t="s">
        <v>3605</v>
      </c>
      <c r="H21" s="1151" t="s">
        <v>3456</v>
      </c>
      <c r="I21" s="1151" t="s">
        <v>3412</v>
      </c>
      <c r="J21" s="1151" t="s">
        <v>3413</v>
      </c>
      <c r="K21" s="1151" t="s">
        <v>3606</v>
      </c>
      <c r="L21" s="1151" t="s">
        <v>3607</v>
      </c>
      <c r="M21" s="1151" t="s">
        <v>3415</v>
      </c>
      <c r="N21" s="1151" t="s">
        <v>3608</v>
      </c>
      <c r="O21" s="1151">
        <v>8600</v>
      </c>
      <c r="P21" s="1151">
        <v>42600</v>
      </c>
      <c r="Q21" s="1151">
        <v>28030.880000000001</v>
      </c>
      <c r="R21" s="1151">
        <v>1868.73</v>
      </c>
      <c r="S21" s="1151">
        <v>14015</v>
      </c>
      <c r="T21" s="1151">
        <v>0</v>
      </c>
    </row>
    <row r="22" spans="1:20" s="1151" customFormat="1">
      <c r="A22" s="1151" t="s">
        <v>3609</v>
      </c>
      <c r="B22" s="1151" t="s">
        <v>3407</v>
      </c>
      <c r="C22" s="1151" t="s">
        <v>3610</v>
      </c>
      <c r="D22" s="1151">
        <v>204418.11</v>
      </c>
      <c r="E22" s="1151">
        <v>302000</v>
      </c>
      <c r="F22" s="1151" t="s">
        <v>3409</v>
      </c>
      <c r="G22" s="1151" t="s">
        <v>3410</v>
      </c>
      <c r="H22" s="1151" t="s">
        <v>3591</v>
      </c>
      <c r="I22" s="1151" t="s">
        <v>3412</v>
      </c>
      <c r="J22" s="1151" t="s">
        <v>3413</v>
      </c>
      <c r="K22" s="1151" t="s">
        <v>3412</v>
      </c>
      <c r="L22" s="1151" t="s">
        <v>3611</v>
      </c>
      <c r="M22" s="1151" t="s">
        <v>3415</v>
      </c>
      <c r="N22" s="1151" t="s">
        <v>3612</v>
      </c>
      <c r="O22" s="1151">
        <v>101400</v>
      </c>
      <c r="P22" s="1151">
        <v>506700</v>
      </c>
      <c r="Q22" s="1151">
        <v>24787.43</v>
      </c>
      <c r="R22" s="1151">
        <v>1652.5</v>
      </c>
      <c r="S22" s="1151">
        <v>16778</v>
      </c>
      <c r="T22" s="1151">
        <v>0</v>
      </c>
    </row>
    <row r="23" spans="1:20" s="1151" customFormat="1">
      <c r="A23" s="1151" t="s">
        <v>3613</v>
      </c>
      <c r="B23" s="1151" t="s">
        <v>3407</v>
      </c>
      <c r="C23" s="1151" t="s">
        <v>3614</v>
      </c>
      <c r="D23" s="1151">
        <v>12209.06</v>
      </c>
      <c r="E23" s="1151">
        <v>121000</v>
      </c>
      <c r="F23" s="1151" t="s">
        <v>3409</v>
      </c>
      <c r="G23" s="1151" t="s">
        <v>3410</v>
      </c>
      <c r="H23" s="1151" t="s">
        <v>3615</v>
      </c>
      <c r="I23" s="1151" t="s">
        <v>3412</v>
      </c>
      <c r="J23" s="1151" t="s">
        <v>3413</v>
      </c>
      <c r="K23" s="1151" t="s">
        <v>3412</v>
      </c>
      <c r="L23" s="1151" t="s">
        <v>3412</v>
      </c>
      <c r="M23" s="1151" t="s">
        <v>3437</v>
      </c>
      <c r="N23" s="1151" t="s">
        <v>3412</v>
      </c>
      <c r="O23" s="1151">
        <v>47000</v>
      </c>
      <c r="P23" s="1151" t="s">
        <v>3412</v>
      </c>
      <c r="Q23" s="1151" t="s">
        <v>3412</v>
      </c>
      <c r="R23" s="1151" t="s">
        <v>3412</v>
      </c>
      <c r="S23" s="1151" t="s">
        <v>3412</v>
      </c>
      <c r="T23" s="1151">
        <v>0</v>
      </c>
    </row>
    <row r="24" spans="1:20" s="1151" customFormat="1">
      <c r="A24" s="1151" t="s">
        <v>3616</v>
      </c>
      <c r="B24" s="1151" t="s">
        <v>3407</v>
      </c>
      <c r="C24" s="1151" t="s">
        <v>3617</v>
      </c>
      <c r="D24" s="1151">
        <v>17147.95</v>
      </c>
      <c r="E24" s="1151">
        <v>53158.65</v>
      </c>
      <c r="F24" s="1151" t="s">
        <v>3409</v>
      </c>
      <c r="G24" s="1151" t="s">
        <v>3618</v>
      </c>
      <c r="H24" s="1151" t="s">
        <v>3619</v>
      </c>
      <c r="I24" s="1151" t="s">
        <v>3412</v>
      </c>
      <c r="J24" s="1151" t="s">
        <v>3413</v>
      </c>
      <c r="K24" s="1151" t="s">
        <v>3412</v>
      </c>
      <c r="L24" s="1151" t="s">
        <v>3620</v>
      </c>
      <c r="M24" s="1151" t="s">
        <v>3415</v>
      </c>
      <c r="N24" s="1151" t="s">
        <v>3433</v>
      </c>
      <c r="O24" s="1151">
        <v>14000</v>
      </c>
      <c r="P24" s="1151">
        <v>69200</v>
      </c>
      <c r="Q24" s="1151">
        <v>40354.68</v>
      </c>
      <c r="R24" s="1151">
        <v>2690.31</v>
      </c>
      <c r="S24" s="1151">
        <v>13018</v>
      </c>
      <c r="T24" s="1151">
        <v>0</v>
      </c>
    </row>
    <row r="25" spans="1:20" s="1151" customFormat="1">
      <c r="A25" s="1151" t="s">
        <v>3621</v>
      </c>
      <c r="B25" s="1151" t="s">
        <v>3407</v>
      </c>
      <c r="C25" s="1151" t="s">
        <v>3622</v>
      </c>
      <c r="D25" s="1151">
        <v>22058.78</v>
      </c>
      <c r="E25" s="1151">
        <v>47390</v>
      </c>
      <c r="F25" s="1151" t="s">
        <v>3409</v>
      </c>
      <c r="G25" s="1151" t="s">
        <v>3410</v>
      </c>
      <c r="H25" s="1151" t="s">
        <v>3623</v>
      </c>
      <c r="I25" s="1151" t="s">
        <v>3412</v>
      </c>
      <c r="J25" s="1151" t="s">
        <v>3413</v>
      </c>
      <c r="K25" s="1151" t="s">
        <v>3412</v>
      </c>
      <c r="L25" s="1151" t="s">
        <v>3624</v>
      </c>
      <c r="M25" s="1151" t="s">
        <v>3415</v>
      </c>
      <c r="N25" s="1151" t="s">
        <v>3625</v>
      </c>
      <c r="O25" s="1151">
        <v>6600</v>
      </c>
      <c r="P25" s="1151">
        <v>32700</v>
      </c>
      <c r="Q25" s="1151">
        <v>14824.02</v>
      </c>
      <c r="R25" s="1151">
        <v>988.27</v>
      </c>
      <c r="S25" s="1151">
        <v>6900</v>
      </c>
      <c r="T25" s="1151">
        <v>0</v>
      </c>
    </row>
  </sheetData>
  <phoneticPr fontId="1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t="s">
        <v>3583</v>
      </c>
      <c r="C1" s="188"/>
      <c r="D1" s="188"/>
      <c r="E1" s="188"/>
      <c r="F1" s="188"/>
      <c r="G1" s="1058">
        <f>MATCH(B1,'数据-取费表'!A6:A16,0)+5</f>
        <v>6</v>
      </c>
    </row>
    <row r="2" spans="1:9" s="190" customFormat="1" ht="18" customHeight="1">
      <c r="A2" s="191" t="s">
        <v>1462</v>
      </c>
      <c r="B2" s="192">
        <f ca="1">IF(D2="——",C52,C52-E2)</f>
        <v>382623</v>
      </c>
      <c r="C2" s="189" t="s">
        <v>1463</v>
      </c>
      <c r="D2" s="1706" t="s">
        <v>43</v>
      </c>
      <c r="E2" s="1085" t="e">
        <f ca="1">SUMIF(INDIRECT("'"&amp;G2&amp;"'"&amp;"!A:A"),"承租人权益价值",INDIRECT("'"&amp;G2&amp;"'"&amp;"!c:c"))</f>
        <v>#REF!</v>
      </c>
      <c r="F2" s="1707" t="s">
        <v>1463</v>
      </c>
      <c r="G2" s="1708"/>
    </row>
    <row r="3" spans="1:9" s="190" customFormat="1" ht="18" customHeight="1" thickBot="1">
      <c r="A3" s="193" t="s">
        <v>1464</v>
      </c>
      <c r="B3" s="194">
        <f ca="1">ROUND(B2*10000/(IF(B1="",'数据-汇总表'!E3,INDIRECT("'数据-取费表'!k"&amp;$G$1))),0)</f>
        <v>24879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152952</v>
      </c>
      <c r="D5" s="201" t="s">
        <v>1469</v>
      </c>
      <c r="E5" s="202" t="s">
        <v>1470</v>
      </c>
      <c r="F5" s="202" t="s">
        <v>1471</v>
      </c>
      <c r="G5" s="203"/>
    </row>
    <row r="6" spans="1:9" s="204" customFormat="1" ht="13.5" customHeight="1">
      <c r="A6" s="728" t="s">
        <v>1472</v>
      </c>
      <c r="B6" s="205" t="s">
        <v>1473</v>
      </c>
      <c r="C6" s="206">
        <f>'土地比较法-住宅、综合'!F65</f>
        <v>145580</v>
      </c>
      <c r="D6" s="207"/>
      <c r="E6" s="208"/>
      <c r="F6" s="208"/>
      <c r="G6" s="209"/>
    </row>
    <row r="7" spans="1:9" s="204" customFormat="1" ht="13.5" customHeight="1">
      <c r="A7" s="728" t="s">
        <v>1474</v>
      </c>
      <c r="B7" s="205" t="s">
        <v>1475</v>
      </c>
      <c r="C7" s="210">
        <f>ROUND(C6*F7,0)</f>
        <v>4440</v>
      </c>
      <c r="D7" s="210"/>
      <c r="E7" s="208"/>
      <c r="F7" s="211">
        <f>IF(项目基本情况!B8="出让",0,'数据-取费表'!B48+'数据-取费表'!B49)</f>
        <v>3.0499999999999999E-2</v>
      </c>
      <c r="G7" s="209"/>
    </row>
    <row r="8" spans="1:9" s="213" customFormat="1">
      <c r="A8" s="728" t="s">
        <v>1476</v>
      </c>
      <c r="B8" s="205" t="s">
        <v>1477</v>
      </c>
      <c r="C8" s="210">
        <f ca="1">IF(G8="已包含在土地购买价格中","0",IF(B1="",'数据-取费表'!B29,IF(G9="全部缴纳",C9+C10,H9)))</f>
        <v>2932</v>
      </c>
      <c r="D8" s="212"/>
      <c r="E8" s="210"/>
      <c r="F8" s="211"/>
      <c r="G8" s="1709" t="s">
        <v>3664</v>
      </c>
    </row>
    <row r="9" spans="1:9" s="204" customFormat="1" ht="13.5" customHeight="1">
      <c r="A9" s="729" t="s">
        <v>355</v>
      </c>
      <c r="B9" s="214" t="s">
        <v>1478</v>
      </c>
      <c r="C9" s="215">
        <f ca="1">ROUND(D9*E9/10000,0)</f>
        <v>0</v>
      </c>
      <c r="D9" s="791">
        <f ca="1">IF(B1="",'数据-汇总表'!E5,IF(INDIRECT("'数据-取费表'!c"&amp;$G$1)="住宅",INDIRECT("'数据-取费表'!k"&amp;$G$1),0))</f>
        <v>0</v>
      </c>
      <c r="E9" s="215">
        <f>'数据-取费表'!B27</f>
        <v>150</v>
      </c>
      <c r="F9" s="211"/>
      <c r="G9" s="1710" t="s">
        <v>3665</v>
      </c>
      <c r="H9" s="1066"/>
      <c r="I9" s="1711" t="s">
        <v>1479</v>
      </c>
    </row>
    <row r="10" spans="1:9" s="204" customFormat="1" ht="13.5" customHeight="1">
      <c r="A10" s="729" t="s">
        <v>356</v>
      </c>
      <c r="B10" s="214" t="s">
        <v>1480</v>
      </c>
      <c r="C10" s="215">
        <f ca="1">ROUND(D10*E10/10000,0)</f>
        <v>2932</v>
      </c>
      <c r="D10" s="791">
        <f ca="1">IF(B1="",'数据-汇总表'!E6,IF(INDIRECT("'数据-取费表'!c"&amp;$G$1)="住宅",INDIRECT("'数据-取费表'!s"&amp;$G$1),INDIRECT("'数据-取费表'!k"&amp;$G$1)+INDIRECT("'数据-取费表'!s"&amp;$G$1)))</f>
        <v>154306.03</v>
      </c>
      <c r="E10" s="215">
        <f>'数据-取费表'!B28</f>
        <v>190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154306.03</v>
      </c>
      <c r="E19" s="201">
        <f>'数据-取费表'!B31</f>
        <v>200</v>
      </c>
      <c r="F19" s="221"/>
      <c r="G19" s="1709" t="s">
        <v>3666</v>
      </c>
    </row>
    <row r="20" spans="1:7" s="204" customFormat="1" ht="13.5" customHeight="1">
      <c r="A20" s="245" t="s">
        <v>1493</v>
      </c>
      <c r="B20" s="200" t="s">
        <v>1494</v>
      </c>
      <c r="C20" s="222">
        <f ca="1">ROUND((C5+C19)*F20,0)</f>
        <v>4589</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7">
        <f ca="1">ROUND(SUM(C23:C25),0)</f>
        <v>12310</v>
      </c>
      <c r="D22" s="225">
        <f ca="1">C26</f>
        <v>8.0000000000000004E-4</v>
      </c>
      <c r="E22" s="226" t="s">
        <v>1498</v>
      </c>
      <c r="F22" s="227">
        <f ca="1">'数据-取费表'!B40</f>
        <v>3.1E-2</v>
      </c>
      <c r="G22" s="224" t="str">
        <f>IF('数据-取费表'!B22&lt;=1,"单利计息","复利计息")</f>
        <v>复利计息</v>
      </c>
    </row>
    <row r="23" spans="1:7" s="204" customFormat="1" ht="13.5" customHeight="1">
      <c r="A23" s="730" t="s">
        <v>1502</v>
      </c>
      <c r="B23" s="205" t="s">
        <v>1503</v>
      </c>
      <c r="C23" s="1038">
        <f ca="1">ROUND(IF('数据-取费表'!B22&lt;=1,C5*F22*'数据-取费表'!B23,C5*(POWER((1+F22),'数据-取费表'!B23)-1)),0)</f>
        <v>12131</v>
      </c>
      <c r="D23" s="228"/>
      <c r="E23" s="228"/>
      <c r="F23" s="229"/>
      <c r="G23" s="230" t="s">
        <v>1504</v>
      </c>
    </row>
    <row r="24" spans="1:7" s="204" customFormat="1" ht="13.5" customHeight="1">
      <c r="A24" s="730" t="s">
        <v>1505</v>
      </c>
      <c r="B24" s="205" t="s">
        <v>1506</v>
      </c>
      <c r="C24" s="1038">
        <f ca="1">ROUND(IF('数据-取费表'!B22&lt;=1,C19*F22*('数据-取费表'!B19/2+'数据-取费表'!B21),C19*(POWER((1+F22),('数据-取费表'!B19/2+'数据-取费表'!B21))-1)),0)</f>
        <v>0</v>
      </c>
      <c r="D24" s="228"/>
      <c r="E24" s="228"/>
      <c r="F24" s="229"/>
      <c r="G24" s="230" t="s">
        <v>1507</v>
      </c>
    </row>
    <row r="25" spans="1:7" s="204" customFormat="1" ht="24">
      <c r="A25" s="730" t="s">
        <v>1508</v>
      </c>
      <c r="B25" s="205" t="s">
        <v>1509</v>
      </c>
      <c r="C25" s="1038">
        <f ca="1">ROUND(IF('数据-取费表'!B22&lt;=1,C20*F22*'数据-取费表'!B23/2,C20*(POWER((1+F22),'数据-取费表'!B23/2)-1)),0)</f>
        <v>179</v>
      </c>
      <c r="D25" s="228"/>
      <c r="E25" s="231"/>
      <c r="F25" s="229"/>
      <c r="G25" s="232" t="s">
        <v>1510</v>
      </c>
    </row>
    <row r="26" spans="1:7" s="204" customFormat="1">
      <c r="A26" s="730" t="s">
        <v>350</v>
      </c>
      <c r="B26" s="205" t="s">
        <v>1511</v>
      </c>
      <c r="C26" s="228">
        <f ca="1">ROUND(IF('数据-取费表'!B22&lt;=1,F21*F22*'数据-取费表'!B23/2,F21*(POWER((1+F22),'数据-取费表'!B23/2)-1)),4)</f>
        <v>8.0000000000000004E-4</v>
      </c>
      <c r="D26" s="228"/>
      <c r="E26" s="231"/>
      <c r="F26" s="229"/>
      <c r="G26" s="233"/>
    </row>
    <row r="27" spans="1:7" s="204" customFormat="1" ht="24.75">
      <c r="A27" s="245" t="s">
        <v>1512</v>
      </c>
      <c r="B27" s="234" t="s">
        <v>1513</v>
      </c>
      <c r="C27" s="235">
        <f ca="1">C28</f>
        <v>39385</v>
      </c>
      <c r="D27" s="225">
        <f ca="1">C29</f>
        <v>5.0000000000000001E-3</v>
      </c>
      <c r="E27" s="226" t="s">
        <v>1514</v>
      </c>
      <c r="F27" s="236">
        <f ca="1">IF(B1="",'数据-取费表'!Q16,INDIRECT("'数据-取费表'!q"&amp;$G$1))</f>
        <v>0.25</v>
      </c>
      <c r="G27" s="237" t="s">
        <v>1515</v>
      </c>
    </row>
    <row r="28" spans="1:7" s="204" customFormat="1" ht="13.5" customHeight="1">
      <c r="A28" s="730" t="s">
        <v>346</v>
      </c>
      <c r="B28" s="238" t="s">
        <v>1516</v>
      </c>
      <c r="C28" s="239">
        <f ca="1">ROUND((C5+C19+C20)*F27*'数据-取费表'!B21/'数据-取费表'!B20,0)</f>
        <v>39385</v>
      </c>
      <c r="D28" s="225"/>
      <c r="E28" s="226"/>
      <c r="F28" s="236"/>
      <c r="G28" s="237"/>
    </row>
    <row r="29" spans="1:7" s="204" customFormat="1" ht="13.5" customHeight="1">
      <c r="A29" s="730"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226986</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111409</v>
      </c>
      <c r="D33" s="222"/>
      <c r="E33" s="202"/>
      <c r="F33" s="231"/>
      <c r="G33" s="224"/>
    </row>
    <row r="34" spans="1:7" s="248" customFormat="1" ht="13.5" customHeight="1">
      <c r="A34" s="730" t="s">
        <v>346</v>
      </c>
      <c r="B34" s="205" t="s">
        <v>1525</v>
      </c>
      <c r="C34" s="210">
        <f ca="1">IF(B1="",IF(F34=100%,'数据-取费表'!M16,'数据-取费表'!O16),IF(F34=100%,INDIRECT("'数据-取费表'!m"&amp;$G$1)+INDIRECT("'数据-取费表'!t"&amp;$G$1),INDIRECT("'数据-取费表'!o"&amp;$G$1)+INDIRECT("'数据-取费表'!aq"&amp;$G$1)))</f>
        <v>100299</v>
      </c>
      <c r="D34" s="207"/>
      <c r="E34" s="210"/>
      <c r="F34" s="247">
        <f ca="1">IF('数据-取费表'!B24=0,1,IF(B1="",'数据-取费表'!N16,INDIRECT("'数据-取费表'!n"&amp;$G$1)))</f>
        <v>1</v>
      </c>
      <c r="G34" s="209" t="s">
        <v>1526</v>
      </c>
    </row>
    <row r="35" spans="1:7" ht="13.5" customHeight="1">
      <c r="A35" s="730" t="s">
        <v>351</v>
      </c>
      <c r="B35" s="205" t="s">
        <v>1527</v>
      </c>
      <c r="C35" s="210">
        <f ca="1">ROUND(C34*F35,0)</f>
        <v>6018</v>
      </c>
      <c r="D35" s="210"/>
      <c r="E35" s="210"/>
      <c r="F35" s="249">
        <f>'数据-取费表'!B33</f>
        <v>0.06</v>
      </c>
      <c r="G35" s="209" t="s">
        <v>1528</v>
      </c>
    </row>
    <row r="36" spans="1:7" ht="24">
      <c r="A36" s="730"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0" t="s">
        <v>353</v>
      </c>
      <c r="B37" s="205" t="s">
        <v>1531</v>
      </c>
      <c r="C37" s="239">
        <f ca="1">ROUND(E37*D37*F34/10000,0)</f>
        <v>3086</v>
      </c>
      <c r="D37" s="207">
        <f ca="1">D19</f>
        <v>154306.03</v>
      </c>
      <c r="E37" s="239">
        <f>'数据-取费表'!B35</f>
        <v>200</v>
      </c>
      <c r="F37" s="249"/>
      <c r="G37" s="251" t="s">
        <v>1532</v>
      </c>
    </row>
    <row r="38" spans="1:7" ht="13.5" customHeight="1">
      <c r="A38" s="730" t="s">
        <v>354</v>
      </c>
      <c r="B38" s="205" t="s">
        <v>1533</v>
      </c>
      <c r="C38" s="210">
        <f ca="1">ROUND(C34*F38,0)</f>
        <v>2006</v>
      </c>
      <c r="D38" s="210"/>
      <c r="E38" s="210"/>
      <c r="F38" s="249">
        <f>'数据-取费表'!B36</f>
        <v>0.02</v>
      </c>
      <c r="G38" s="209" t="s">
        <v>1528</v>
      </c>
    </row>
    <row r="39" spans="1:7" s="204" customFormat="1" ht="13.5" customHeight="1">
      <c r="A39" s="245" t="s">
        <v>1534</v>
      </c>
      <c r="B39" s="200" t="s">
        <v>1535</v>
      </c>
      <c r="C39" s="222">
        <f ca="1">ROUND(C33*F20,0)</f>
        <v>3342</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4464</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ROUND(IF('数据-取费表'!B22&lt;=1,C33*F22*'数据-取费表'!B21/2,C33*(POWER((1+F22),'数据-取费表'!B21/2)-1)),0)</f>
        <v>4334</v>
      </c>
      <c r="D42" s="228"/>
      <c r="E42" s="228"/>
      <c r="F42" s="229"/>
      <c r="G42" s="3418" t="s">
        <v>1544</v>
      </c>
    </row>
    <row r="43" spans="1:7" ht="13.5" customHeight="1">
      <c r="A43" s="730" t="s">
        <v>347</v>
      </c>
      <c r="B43" s="205" t="s">
        <v>1545</v>
      </c>
      <c r="C43" s="228">
        <f ca="1">ROUND(IF('数据-取费表'!B22&lt;=1,C39*F22*'数据-取费表'!B21/2,C39*(POWER((1+F22),'数据-取费表'!B21/2)-1)),0)</f>
        <v>130</v>
      </c>
      <c r="D43" s="228"/>
      <c r="E43" s="228"/>
      <c r="F43" s="229"/>
      <c r="G43" s="3419"/>
    </row>
    <row r="44" spans="1:7" ht="13.5" customHeight="1">
      <c r="A44" s="730" t="s">
        <v>348</v>
      </c>
      <c r="B44" s="205" t="s">
        <v>1546</v>
      </c>
      <c r="C44" s="228">
        <f ca="1">ROUND(IF('数据-取费表'!B22&lt;=1,C40*F22*'数据-取费表'!B21/2,C40*(POWER((1+F22),'数据-取费表'!B21/2)-1)),4)</f>
        <v>8.0000000000000004E-4</v>
      </c>
      <c r="D44" s="228"/>
      <c r="E44" s="228"/>
      <c r="F44" s="229"/>
      <c r="G44" s="3420"/>
    </row>
    <row r="45" spans="1:7" s="204" customFormat="1" ht="13.5" customHeight="1">
      <c r="A45" s="245" t="s">
        <v>1547</v>
      </c>
      <c r="B45" s="234" t="s">
        <v>1513</v>
      </c>
      <c r="C45" s="235">
        <f ca="1">C46</f>
        <v>28688</v>
      </c>
      <c r="D45" s="225">
        <f ca="1">C47</f>
        <v>5.0000000000000001E-3</v>
      </c>
      <c r="E45" s="226" t="s">
        <v>1539</v>
      </c>
      <c r="F45" s="236">
        <f ca="1">F27</f>
        <v>0.25</v>
      </c>
      <c r="G45" s="237" t="s">
        <v>1548</v>
      </c>
    </row>
    <row r="46" spans="1:7" s="204" customFormat="1" ht="13.5" customHeight="1">
      <c r="A46" s="730" t="s">
        <v>346</v>
      </c>
      <c r="B46" s="238" t="s">
        <v>1549</v>
      </c>
      <c r="C46" s="239">
        <f ca="1">ROUND((C33+C39)*F27,0)</f>
        <v>28688</v>
      </c>
      <c r="D46" s="253"/>
      <c r="E46" s="226"/>
      <c r="F46" s="236"/>
      <c r="G46" s="237"/>
    </row>
    <row r="47" spans="1:7" s="204" customFormat="1" ht="13.5" customHeight="1">
      <c r="A47" s="730"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160450</v>
      </c>
      <c r="D49" s="222"/>
      <c r="E49" s="222"/>
      <c r="F49" s="254"/>
      <c r="G49" s="224" t="s">
        <v>1554</v>
      </c>
    </row>
    <row r="50" spans="1:7" s="248" customFormat="1" ht="24">
      <c r="A50" s="245" t="s">
        <v>1555</v>
      </c>
      <c r="B50" s="200" t="s">
        <v>1556</v>
      </c>
      <c r="C50" s="222"/>
      <c r="D50" s="222"/>
      <c r="E50" s="222"/>
      <c r="F50" s="254">
        <f>IF('数据-取费表'!B24=0,'数据-取费表'!N16,1)</f>
        <v>0.97</v>
      </c>
      <c r="G50" s="237" t="s">
        <v>1557</v>
      </c>
    </row>
    <row r="51" spans="1:7" ht="16.5" customHeight="1">
      <c r="A51" s="245" t="s">
        <v>1558</v>
      </c>
      <c r="B51" s="200" t="s">
        <v>1559</v>
      </c>
      <c r="C51" s="222">
        <f ca="1">ROUND(C49*F50,0)</f>
        <v>155637</v>
      </c>
      <c r="D51" s="222"/>
      <c r="E51" s="222"/>
      <c r="F51" s="254"/>
      <c r="G51" s="224" t="s">
        <v>1560</v>
      </c>
    </row>
    <row r="52" spans="1:7" s="198" customFormat="1" ht="16.5" thickBot="1">
      <c r="A52" s="255" t="s">
        <v>1561</v>
      </c>
      <c r="B52" s="256"/>
      <c r="C52" s="257">
        <f ca="1">C31+C51</f>
        <v>382623</v>
      </c>
      <c r="D52" s="256"/>
      <c r="E52" s="256"/>
      <c r="F52" s="256"/>
      <c r="G52" s="258"/>
    </row>
    <row r="55" spans="1:7" ht="15">
      <c r="B55" s="260" t="s">
        <v>1562</v>
      </c>
      <c r="C55" s="261"/>
    </row>
    <row r="56" spans="1:7">
      <c r="B56" s="263" t="s">
        <v>802</v>
      </c>
      <c r="C56" s="265">
        <f ca="1">1-C57</f>
        <v>0.59299999999999997</v>
      </c>
    </row>
    <row r="57" spans="1:7">
      <c r="B57" s="263" t="s">
        <v>803</v>
      </c>
      <c r="C57" s="264">
        <f ca="1">ROUND(C51/C52,3)</f>
        <v>0.40699999999999997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2" t="s">
        <v>1563</v>
      </c>
      <c r="D1" s="188"/>
      <c r="E1" s="188"/>
      <c r="F1" s="188"/>
      <c r="G1" s="1058">
        <f>MATCH(B1,'数据-取费表'!A6:A16,0)+5</f>
        <v>7</v>
      </c>
      <c r="H1" s="994" t="str">
        <f>IF(ISERROR(FIND("住宅",B1)),"非住宅","住宅")</f>
        <v>非住宅</v>
      </c>
    </row>
    <row r="2" spans="1:8" s="190" customFormat="1" ht="18" customHeight="1">
      <c r="A2" s="191" t="s">
        <v>1462</v>
      </c>
      <c r="B2" s="3116">
        <f ca="1">ROUND(IF(D2="——",C52/10000,C52/10000-E2),4)</f>
        <v>164567.2145</v>
      </c>
      <c r="C2" s="189" t="s">
        <v>1463</v>
      </c>
      <c r="D2" s="1706" t="s">
        <v>43</v>
      </c>
      <c r="E2" s="1085" t="e">
        <f ca="1">SUMIF(INDIRECT("'"&amp;G2&amp;"'"&amp;"!A:A"),"承租人权益价值",INDIRECT("'"&amp;G2&amp;"'"&amp;"!c:c"))</f>
        <v>#REF!</v>
      </c>
      <c r="F2" s="1707" t="s">
        <v>1463</v>
      </c>
      <c r="G2" s="1708"/>
    </row>
    <row r="3" spans="1:8" s="190" customFormat="1" ht="18" customHeight="1" thickBot="1">
      <c r="A3" s="193" t="s">
        <v>1464</v>
      </c>
      <c r="B3" s="194">
        <f ca="1">ROUND(B2*10000/(IF(B1="",'数据-汇总表'!E3,INDIRECT("'数据-取费表'!k"&amp;$G$1))),0)</f>
        <v>10665</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29318146</v>
      </c>
      <c r="D5" s="201" t="s">
        <v>1469</v>
      </c>
      <c r="E5" s="202" t="s">
        <v>1470</v>
      </c>
      <c r="F5" s="202" t="s">
        <v>1471</v>
      </c>
      <c r="G5" s="203"/>
    </row>
    <row r="6" spans="1:8" s="204" customFormat="1" ht="13.5" customHeight="1">
      <c r="A6" s="728" t="s">
        <v>1472</v>
      </c>
      <c r="B6" s="205" t="s">
        <v>1473</v>
      </c>
      <c r="C6" s="206"/>
      <c r="D6" s="207"/>
      <c r="E6" s="208"/>
      <c r="F6" s="208"/>
      <c r="G6" s="209"/>
    </row>
    <row r="7" spans="1:8" s="204" customFormat="1" ht="13.5" customHeight="1">
      <c r="A7" s="728" t="s">
        <v>1474</v>
      </c>
      <c r="B7" s="205" t="s">
        <v>1475</v>
      </c>
      <c r="C7" s="210">
        <f>ROUND(C6*F7,0)</f>
        <v>0</v>
      </c>
      <c r="D7" s="210"/>
      <c r="E7" s="208"/>
      <c r="F7" s="211">
        <f>IF(项目基本情况!B8="出让",0,'数据-取费表'!B48+'数据-取费表'!B49)</f>
        <v>3.0499999999999999E-2</v>
      </c>
      <c r="G7" s="209"/>
    </row>
    <row r="8" spans="1:8" s="213" customFormat="1">
      <c r="A8" s="728" t="s">
        <v>1476</v>
      </c>
      <c r="B8" s="205" t="s">
        <v>1477</v>
      </c>
      <c r="C8" s="210">
        <f ca="1">IF(G8="已包含在土地购买价格中",0,C9+C10)</f>
        <v>29318146</v>
      </c>
      <c r="D8" s="212"/>
      <c r="E8" s="210"/>
      <c r="F8" s="211"/>
      <c r="G8" s="1709"/>
    </row>
    <row r="9" spans="1:8" s="204" customFormat="1" ht="13.5" customHeight="1">
      <c r="A9" s="729" t="s">
        <v>355</v>
      </c>
      <c r="B9" s="214" t="s">
        <v>1478</v>
      </c>
      <c r="C9" s="215">
        <f ca="1">ROUND(D9*E9,0)</f>
        <v>0</v>
      </c>
      <c r="D9" s="791">
        <f ca="1">IF(B1="",'数据-汇总表'!E5,IF(INDIRECT("'数据-取费表'!c"&amp;$G$1)="住宅",INDIRECT("'数据-取费表'!k"&amp;$G$1),0))</f>
        <v>0</v>
      </c>
      <c r="E9" s="215">
        <f>'数据-取费表'!B27</f>
        <v>150</v>
      </c>
      <c r="F9" s="211"/>
      <c r="G9" s="216"/>
    </row>
    <row r="10" spans="1:8" s="204" customFormat="1" ht="13.5" customHeight="1">
      <c r="A10" s="729" t="s">
        <v>356</v>
      </c>
      <c r="B10" s="214" t="s">
        <v>1480</v>
      </c>
      <c r="C10" s="215">
        <f ca="1">ROUND(D10*E10,0)</f>
        <v>29318146</v>
      </c>
      <c r="D10" s="791">
        <f ca="1">IF(B1="",'数据-汇总表'!E6,IF(INDIRECT("'数据-取费表'!c"&amp;$G$1)="住宅",INDIRECT("'数据-取费表'!s"&amp;$G$1),INDIRECT("'数据-取费表'!k"&amp;$G$1)+INDIRECT("'数据-取费表'!s"&amp;$G$1)))</f>
        <v>154306.03</v>
      </c>
      <c r="E10" s="215">
        <f>'数据-取费表'!B28</f>
        <v>190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30861206</v>
      </c>
      <c r="D19" s="202">
        <f ca="1">D9+D10</f>
        <v>154306.03</v>
      </c>
      <c r="E19" s="201">
        <f>'数据-取费表'!B31</f>
        <v>200</v>
      </c>
      <c r="F19" s="221"/>
      <c r="G19" s="1709"/>
    </row>
    <row r="20" spans="1:7" s="204" customFormat="1" ht="13.5" customHeight="1">
      <c r="A20" s="245" t="s">
        <v>1574</v>
      </c>
      <c r="B20" s="200" t="s">
        <v>1575</v>
      </c>
      <c r="C20" s="222">
        <f ca="1">ROUND((C5+C19)*F20,0)</f>
        <v>1805381</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4843122</v>
      </c>
      <c r="D22" s="225">
        <f ca="1">C26</f>
        <v>8.0000000000000004E-4</v>
      </c>
      <c r="E22" s="226" t="s">
        <v>1579</v>
      </c>
      <c r="F22" s="227">
        <f ca="1">'数据-取费表'!B40</f>
        <v>3.1E-2</v>
      </c>
      <c r="G22" s="224" t="str">
        <f>IF('数据-取费表'!B22&lt;=1,"单利计息","复利计息")</f>
        <v>复利计息</v>
      </c>
    </row>
    <row r="23" spans="1:7" s="204" customFormat="1" ht="13.5" customHeight="1">
      <c r="A23" s="730" t="s">
        <v>1472</v>
      </c>
      <c r="B23" s="205" t="s">
        <v>1583</v>
      </c>
      <c r="C23" s="228">
        <f ca="1">ROUND(IF('数据-取费表'!B22&lt;=1,C5*F22*'数据-取费表'!B22,C5*(POWER((1+F22),'数据-取费表'!B22)-1)),0)</f>
        <v>2325256</v>
      </c>
      <c r="D23" s="228"/>
      <c r="E23" s="228"/>
      <c r="F23" s="229"/>
      <c r="G23" s="230" t="s">
        <v>1584</v>
      </c>
    </row>
    <row r="24" spans="1:7" s="204" customFormat="1" ht="13.5" customHeight="1">
      <c r="A24" s="730" t="s">
        <v>1474</v>
      </c>
      <c r="B24" s="205" t="s">
        <v>1585</v>
      </c>
      <c r="C24" s="228">
        <f ca="1">ROUND(IF('数据-取费表'!B22&lt;=1,C19*F22*('数据-取费表'!B19/2+'数据-取费表'!B20),C19*(POWER((1+F22),('数据-取费表'!B19/2+'数据-取费表'!B20))-1)),0)</f>
        <v>2447638</v>
      </c>
      <c r="D24" s="228"/>
      <c r="E24" s="228"/>
      <c r="F24" s="229"/>
      <c r="G24" s="230" t="s">
        <v>1586</v>
      </c>
    </row>
    <row r="25" spans="1:7" s="204" customFormat="1" ht="24">
      <c r="A25" s="730" t="s">
        <v>1476</v>
      </c>
      <c r="B25" s="205" t="s">
        <v>1587</v>
      </c>
      <c r="C25" s="228">
        <f ca="1">ROUND(IF('数据-取费表'!B22&lt;=1,C20*F22*'数据-取费表'!B22/2,C20*(POWER((1+F22),'数据-取费表'!B22/2)-1)),0)</f>
        <v>70228</v>
      </c>
      <c r="D25" s="228"/>
      <c r="E25" s="231"/>
      <c r="F25" s="229"/>
      <c r="G25" s="232" t="s">
        <v>1588</v>
      </c>
    </row>
    <row r="26" spans="1:7" s="204" customFormat="1">
      <c r="A26" s="730"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15496183</v>
      </c>
      <c r="D27" s="225">
        <f ca="1">C29</f>
        <v>5.0000000000000001E-3</v>
      </c>
      <c r="E27" s="226" t="s">
        <v>1514</v>
      </c>
      <c r="F27" s="236">
        <f ca="1">IF(B1="",'数据-取费表'!Q16,INDIRECT("'数据-取费表'!q"&amp;$G$1))</f>
        <v>0.25</v>
      </c>
      <c r="G27" s="237" t="s">
        <v>1515</v>
      </c>
    </row>
    <row r="28" spans="1:7" s="204" customFormat="1" ht="13.5" customHeight="1">
      <c r="A28" s="730" t="s">
        <v>346</v>
      </c>
      <c r="B28" s="238" t="s">
        <v>1516</v>
      </c>
      <c r="C28" s="239">
        <f ca="1">ROUND((C5+C19+C20)*F27,0)</f>
        <v>15496183</v>
      </c>
      <c r="D28" s="225"/>
      <c r="E28" s="226"/>
      <c r="F28" s="236"/>
      <c r="G28" s="237"/>
    </row>
    <row r="29" spans="1:7" s="204" customFormat="1" ht="13.5" customHeight="1">
      <c r="A29" s="730"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89307917</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1114089537</v>
      </c>
      <c r="D33" s="222"/>
      <c r="E33" s="202"/>
      <c r="F33" s="231"/>
      <c r="G33" s="224"/>
    </row>
    <row r="34" spans="1:7" s="248" customFormat="1" ht="13.5" customHeight="1">
      <c r="A34" s="730" t="s">
        <v>346</v>
      </c>
      <c r="B34" s="205" t="s">
        <v>1525</v>
      </c>
      <c r="C34" s="210">
        <f ca="1">ROUND(IF(B1="",SUMPRODUCT('数据-取费表'!K6:K14,'数据-取费表'!L6:L14),INDIRECT("'数据-取费表'!l"&amp;$G$1)*INDIRECT("'数据-取费表'!k"&amp;$G$1)+'数据-取费表'!L14*INDIRECT("'数据-取费表'!S"&amp;$G$1)),0)</f>
        <v>1002989195</v>
      </c>
      <c r="D34" s="207"/>
      <c r="E34" s="210"/>
      <c r="F34" s="247"/>
      <c r="G34" s="209"/>
    </row>
    <row r="35" spans="1:7" ht="13.5" customHeight="1">
      <c r="A35" s="730" t="s">
        <v>351</v>
      </c>
      <c r="B35" s="205" t="s">
        <v>1527</v>
      </c>
      <c r="C35" s="210">
        <f ca="1">ROUND(C34*F35,0)</f>
        <v>60179352</v>
      </c>
      <c r="D35" s="210"/>
      <c r="E35" s="210"/>
      <c r="F35" s="249">
        <f>'数据-取费表'!B33</f>
        <v>0.06</v>
      </c>
      <c r="G35" s="209" t="s">
        <v>1528</v>
      </c>
    </row>
    <row r="36" spans="1:7" ht="24">
      <c r="A36" s="730"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0" t="s">
        <v>353</v>
      </c>
      <c r="B37" s="205" t="s">
        <v>1531</v>
      </c>
      <c r="C37" s="239">
        <f ca="1">ROUND(E37*D37,0)</f>
        <v>30861206</v>
      </c>
      <c r="D37" s="207">
        <f ca="1">D19</f>
        <v>154306.03</v>
      </c>
      <c r="E37" s="239">
        <f>'数据-取费表'!B35</f>
        <v>200</v>
      </c>
      <c r="F37" s="249"/>
      <c r="G37" s="251"/>
    </row>
    <row r="38" spans="1:7" ht="13.5" customHeight="1">
      <c r="A38" s="730" t="s">
        <v>354</v>
      </c>
      <c r="B38" s="205" t="s">
        <v>1533</v>
      </c>
      <c r="C38" s="210">
        <f ca="1">ROUND(C34*F38,0)</f>
        <v>20059784</v>
      </c>
      <c r="D38" s="210"/>
      <c r="E38" s="210"/>
      <c r="F38" s="249">
        <f>'数据-取费表'!B36</f>
        <v>0.02</v>
      </c>
      <c r="G38" s="209" t="s">
        <v>1528</v>
      </c>
    </row>
    <row r="39" spans="1:7" s="204" customFormat="1" ht="13.5" customHeight="1">
      <c r="A39" s="245" t="s">
        <v>1534</v>
      </c>
      <c r="B39" s="200" t="s">
        <v>1535</v>
      </c>
      <c r="C39" s="222">
        <f ca="1">ROUND(C33*F20,0)</f>
        <v>33422686</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44637087</v>
      </c>
      <c r="D41" s="225">
        <f ca="1">C44</f>
        <v>8.0000000000000004E-4</v>
      </c>
      <c r="E41" s="226" t="s">
        <v>1539</v>
      </c>
      <c r="F41" s="227">
        <f ca="1">F22</f>
        <v>3.1E-2</v>
      </c>
      <c r="G41" s="224" t="str">
        <f>IF('数据-取费表'!B22&lt;=1,"单利计息","复利计息")</f>
        <v>复利计息</v>
      </c>
    </row>
    <row r="42" spans="1:7" ht="13.5" customHeight="1">
      <c r="A42" s="730" t="s">
        <v>346</v>
      </c>
      <c r="B42" s="205" t="s">
        <v>1543</v>
      </c>
      <c r="C42" s="228">
        <f ca="1">ROUND(IF('数据-取费表'!B22&lt;=1,C33*F22*'数据-取费表'!B20/2,C33*(POWER((1+F22),'数据-取费表'!B20/2)-1)),0)</f>
        <v>43336978</v>
      </c>
      <c r="D42" s="228"/>
      <c r="E42" s="228"/>
      <c r="F42" s="229"/>
      <c r="G42" s="3418" t="s">
        <v>1591</v>
      </c>
    </row>
    <row r="43" spans="1:7" ht="13.5" customHeight="1">
      <c r="A43" s="730" t="s">
        <v>347</v>
      </c>
      <c r="B43" s="205" t="s">
        <v>1545</v>
      </c>
      <c r="C43" s="228">
        <f ca="1">ROUND(IF('数据-取费表'!B22&lt;=1,C39*F22*'数据-取费表'!B20/2,C39*(POWER((1+F22),'数据-取费表'!B20/2)-1)),0)</f>
        <v>1300109</v>
      </c>
      <c r="D43" s="228"/>
      <c r="E43" s="228"/>
      <c r="F43" s="229"/>
      <c r="G43" s="3419"/>
    </row>
    <row r="44" spans="1:7" ht="13.5" customHeight="1">
      <c r="A44" s="730" t="s">
        <v>348</v>
      </c>
      <c r="B44" s="205" t="s">
        <v>1546</v>
      </c>
      <c r="C44" s="228">
        <f ca="1">ROUND(IF('数据-取费表'!B22&lt;=1,C40*F22*'数据-取费表'!B20/2,C40*(POWER((1+F22),'数据-取费表'!B20/2)-1)),4)</f>
        <v>8.0000000000000004E-4</v>
      </c>
      <c r="D44" s="228"/>
      <c r="E44" s="228"/>
      <c r="F44" s="229"/>
      <c r="G44" s="3420"/>
    </row>
    <row r="45" spans="1:7" s="204" customFormat="1" ht="13.5" customHeight="1">
      <c r="A45" s="245" t="s">
        <v>1547</v>
      </c>
      <c r="B45" s="234" t="s">
        <v>1513</v>
      </c>
      <c r="C45" s="235">
        <f ca="1">C46</f>
        <v>286878056</v>
      </c>
      <c r="D45" s="225">
        <f ca="1">C47</f>
        <v>5.0000000000000001E-3</v>
      </c>
      <c r="E45" s="226" t="s">
        <v>1539</v>
      </c>
      <c r="F45" s="236">
        <f ca="1">F27</f>
        <v>0.25</v>
      </c>
      <c r="G45" s="237" t="s">
        <v>1548</v>
      </c>
    </row>
    <row r="46" spans="1:7" s="204" customFormat="1" ht="13.5" customHeight="1">
      <c r="A46" s="730" t="s">
        <v>346</v>
      </c>
      <c r="B46" s="238" t="s">
        <v>1549</v>
      </c>
      <c r="C46" s="239">
        <f ca="1">ROUND((C33+C39)*F27,0)</f>
        <v>286878056</v>
      </c>
      <c r="D46" s="253"/>
      <c r="E46" s="226"/>
      <c r="F46" s="236"/>
      <c r="G46" s="237"/>
    </row>
    <row r="47" spans="1:7" s="204" customFormat="1" ht="13.5" customHeight="1">
      <c r="A47" s="730"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1604499204</v>
      </c>
      <c r="D49" s="222"/>
      <c r="E49" s="222"/>
      <c r="F49" s="254"/>
      <c r="G49" s="224" t="s">
        <v>1554</v>
      </c>
    </row>
    <row r="50" spans="1:7" s="248" customFormat="1">
      <c r="A50" s="245" t="s">
        <v>1555</v>
      </c>
      <c r="B50" s="200" t="s">
        <v>1556</v>
      </c>
      <c r="C50" s="222"/>
      <c r="D50" s="222"/>
      <c r="E50" s="222"/>
      <c r="F50" s="254">
        <f>IF('数据-取费表'!B24=0,'数据-取费表'!N16,1)</f>
        <v>0.97</v>
      </c>
      <c r="G50" s="237"/>
    </row>
    <row r="51" spans="1:7" ht="16.5" customHeight="1">
      <c r="A51" s="245" t="s">
        <v>1558</v>
      </c>
      <c r="B51" s="200" t="s">
        <v>1593</v>
      </c>
      <c r="C51" s="222">
        <f ca="1">ROUND(C49*F50,0)</f>
        <v>1556364228</v>
      </c>
      <c r="D51" s="222"/>
      <c r="E51" s="222"/>
      <c r="F51" s="254"/>
      <c r="G51" s="224" t="s">
        <v>1560</v>
      </c>
    </row>
    <row r="52" spans="1:7" s="198" customFormat="1" ht="16.5" thickBot="1">
      <c r="A52" s="255" t="s">
        <v>1561</v>
      </c>
      <c r="B52" s="256"/>
      <c r="C52" s="257">
        <f ca="1">C31+C51</f>
        <v>1645672145</v>
      </c>
      <c r="D52" s="256"/>
      <c r="E52" s="256"/>
      <c r="F52" s="256"/>
      <c r="G52" s="258"/>
    </row>
    <row r="55" spans="1:7" ht="15">
      <c r="B55" s="260" t="s">
        <v>1562</v>
      </c>
      <c r="C55" s="261"/>
    </row>
    <row r="56" spans="1:7">
      <c r="B56" s="263" t="s">
        <v>802</v>
      </c>
      <c r="C56" s="265">
        <f ca="1">1-C57</f>
        <v>5.4000000000000048E-2</v>
      </c>
    </row>
    <row r="57" spans="1:7">
      <c r="B57" s="263" t="s">
        <v>803</v>
      </c>
      <c r="C57" s="264">
        <f ca="1">ROUND(C51/C52,3)</f>
        <v>0.94599999999999995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6" t="s">
        <v>1594</v>
      </c>
      <c r="B1" s="119"/>
      <c r="C1" s="1105"/>
      <c r="D1" s="1104"/>
      <c r="E1" s="2561"/>
      <c r="F1" s="2561"/>
      <c r="G1" s="2442"/>
      <c r="H1" s="2561"/>
      <c r="I1" s="2561"/>
      <c r="J1" s="2561"/>
      <c r="K1" s="2562">
        <f>MATCH(C1,'数据-取费表'!A6:A16,0)+5</f>
        <v>7</v>
      </c>
    </row>
    <row r="2" spans="1:33" ht="18" customHeight="1">
      <c r="A2" s="191" t="s">
        <v>1462</v>
      </c>
      <c r="B2" s="194">
        <f ca="1">C32</f>
        <v>0</v>
      </c>
      <c r="C2" s="266" t="s">
        <v>1595</v>
      </c>
      <c r="D2" s="266"/>
      <c r="E2" s="2561"/>
      <c r="F2" s="2561"/>
      <c r="G2" s="2561"/>
      <c r="H2" s="2561"/>
      <c r="I2" s="2561"/>
      <c r="J2" s="2561"/>
      <c r="K2" s="2561"/>
    </row>
    <row r="3" spans="1:33" ht="18" customHeight="1" thickBot="1">
      <c r="A3" s="193" t="s">
        <v>1464</v>
      </c>
      <c r="B3" s="194">
        <f ca="1">ROUND(B2*10000/IF(C1="",'数据-汇总表'!E3,INDIRECT("'数据-取费表'!K"&amp;$K$1)),0)</f>
        <v>0</v>
      </c>
      <c r="C3" s="266" t="s">
        <v>1596</v>
      </c>
      <c r="D3" s="266"/>
      <c r="E3" s="2561"/>
      <c r="F3" s="2561"/>
      <c r="G3" s="2561"/>
      <c r="H3" s="2561"/>
      <c r="I3" s="2561"/>
      <c r="J3" s="2561"/>
      <c r="K3" s="2561"/>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3"/>
      <c r="D5" s="1713"/>
      <c r="E5" s="1713"/>
      <c r="F5" s="1713"/>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0" customFormat="1" ht="13.5" customHeight="1">
      <c r="A6" s="740" t="s">
        <v>357</v>
      </c>
      <c r="B6" s="121"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0" customFormat="1" ht="13.5" customHeight="1">
      <c r="A7" s="740"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0" customFormat="1" ht="13.5" customHeight="1" thickBot="1">
      <c r="A8" s="1714" t="s">
        <v>1603</v>
      </c>
      <c r="B8" s="154"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69">
        <f ca="1">IF(C1="",'数据-取费表'!P16,INDIRECT("'数据-取费表'!p"&amp;$K$1)+INDIRECT("'数据-取费表'!ar"&amp;$K$1))</f>
        <v>0</v>
      </c>
      <c r="D11" s="750"/>
      <c r="E11" s="136"/>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6"/>
      <c r="F12" s="760">
        <f>'数据-取费表'!B33</f>
        <v>0.06</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6"/>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154306.03</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0.02</v>
      </c>
      <c r="G15" s="121"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1"/>
      <c r="H16" s="1102"/>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154306.03</v>
      </c>
      <c r="E17" s="21">
        <f>'数据-取费表'!B32</f>
        <v>0</v>
      </c>
      <c r="F17" s="754"/>
      <c r="G17" s="121" t="s">
        <v>1623</v>
      </c>
      <c r="H17" s="1102"/>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5"/>
      <c r="H18" s="1101"/>
      <c r="I18" s="1716"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150</v>
      </c>
      <c r="F19" s="752"/>
      <c r="G19" s="12"/>
      <c r="H19" s="1103"/>
      <c r="I19" s="757"/>
      <c r="J19" s="757"/>
      <c r="K19" s="758"/>
    </row>
    <row r="20" spans="1:33" s="751" customFormat="1" ht="13.5" customHeight="1">
      <c r="A20" s="748" t="s">
        <v>361</v>
      </c>
      <c r="B20" s="749" t="s">
        <v>1627</v>
      </c>
      <c r="C20" s="21">
        <f ca="1">ROUND(D20*E20/10000,0)</f>
        <v>2932</v>
      </c>
      <c r="D20" s="792">
        <f ca="1">IF(C1="",'数据-汇总表'!E6,IF(INDIRECT("'数据-取费表'!c"&amp;$K$1)="住宅",INDIRECT("'数据-取费表'!s"&amp;$K$1),INDIRECT("'数据-取费表'!k"&amp;$K$1)+INDIRECT("'数据-取费表'!s"&amp;$K$1)))</f>
        <v>154306.03</v>
      </c>
      <c r="E20" s="21">
        <f>'数据-取费表'!B28</f>
        <v>190</v>
      </c>
      <c r="F20" s="752"/>
      <c r="G20" s="12"/>
      <c r="H20" s="757"/>
      <c r="I20" s="757"/>
      <c r="J20" s="757"/>
      <c r="K20" s="758"/>
    </row>
    <row r="21" spans="1:33" s="751" customFormat="1" ht="13.5" customHeight="1">
      <c r="A21" s="740" t="s">
        <v>357</v>
      </c>
      <c r="B21" s="761" t="s">
        <v>1628</v>
      </c>
      <c r="C21" s="762">
        <f ca="1">C16+C17+C18</f>
        <v>0</v>
      </c>
      <c r="D21" s="763"/>
      <c r="E21" s="271"/>
      <c r="F21" s="271"/>
      <c r="G21" s="121" t="s">
        <v>1629</v>
      </c>
      <c r="H21" s="755"/>
      <c r="I21" s="755"/>
      <c r="J21" s="755"/>
      <c r="K21" s="756"/>
    </row>
    <row r="22" spans="1:33" s="751" customFormat="1" ht="13.5" customHeight="1">
      <c r="A22" s="740" t="s">
        <v>1601</v>
      </c>
      <c r="B22" s="761" t="s">
        <v>1630</v>
      </c>
      <c r="C22" s="762">
        <f ca="1">ROUND(C21*F22,0)</f>
        <v>0</v>
      </c>
      <c r="D22" s="271"/>
      <c r="E22" s="271"/>
      <c r="F22" s="764">
        <f>'数据-取费表'!B37</f>
        <v>0.03</v>
      </c>
      <c r="G22" s="5" t="s">
        <v>1631</v>
      </c>
      <c r="H22" s="745"/>
      <c r="I22" s="745"/>
      <c r="J22" s="745"/>
      <c r="K22" s="746"/>
    </row>
    <row r="23" spans="1:33" s="751" customFormat="1" ht="13.5" customHeight="1">
      <c r="A23" s="740" t="s">
        <v>1603</v>
      </c>
      <c r="B23" s="761" t="s">
        <v>1632</v>
      </c>
      <c r="C23" s="762">
        <f ca="1">ROUND(C4*F23*F11,0)</f>
        <v>0</v>
      </c>
      <c r="D23" s="271"/>
      <c r="E23" s="271"/>
      <c r="F23" s="764">
        <f>'数据-取费表'!B38</f>
        <v>0.02</v>
      </c>
      <c r="G23" s="5" t="s">
        <v>1633</v>
      </c>
      <c r="H23" s="745"/>
      <c r="I23" s="745"/>
      <c r="J23" s="745"/>
      <c r="K23" s="746"/>
    </row>
    <row r="24" spans="1:33" s="751" customFormat="1" ht="13.5" customHeight="1">
      <c r="A24" s="740" t="s">
        <v>1634</v>
      </c>
      <c r="B24" s="761" t="s">
        <v>1635</v>
      </c>
      <c r="C24" s="270">
        <f>ROUND(F24/(1+'数据-取费表'!C42),4)</f>
        <v>2.9000000000000001E-2</v>
      </c>
      <c r="D24" s="271" t="s">
        <v>12</v>
      </c>
      <c r="E24" s="271"/>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4"/>
      <c r="E26" s="275"/>
      <c r="F26" s="276"/>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4"/>
      <c r="E27" s="275"/>
      <c r="F27" s="276"/>
      <c r="G27" s="1717" t="str">
        <f>IF('数据-取费表'!B22&lt;=1,"（1）-（3）项×年利率×建设期÷2","（1）-（3）项×((1+年利率)^(建设期÷2)-1)")</f>
        <v>（1）-（3）项×((1+年利率)^(建设期÷2)-1)</v>
      </c>
      <c r="H27" s="755"/>
      <c r="I27" s="755"/>
      <c r="J27" s="755"/>
      <c r="K27" s="756"/>
    </row>
    <row r="28" spans="1:33" s="279" customFormat="1" ht="13.5" customHeight="1">
      <c r="A28" s="740" t="s">
        <v>1641</v>
      </c>
      <c r="B28" s="1718" t="s">
        <v>1642</v>
      </c>
      <c r="C28" s="277">
        <f ca="1">C30</f>
        <v>0</v>
      </c>
      <c r="D28" s="270">
        <f ca="1">C29</f>
        <v>0</v>
      </c>
      <c r="E28" s="272" t="s">
        <v>12</v>
      </c>
      <c r="F28" s="278">
        <f ca="1">IF(C1="",'数据-取费表'!Q16,INDIRECT("'数据-取费表'!q"&amp;$K$1))</f>
        <v>0.25</v>
      </c>
      <c r="G28" s="765"/>
      <c r="H28" s="766"/>
      <c r="I28" s="766"/>
      <c r="J28" s="766"/>
      <c r="K28" s="55"/>
    </row>
    <row r="29" spans="1:33" s="281" customFormat="1" ht="13.5" customHeight="1">
      <c r="A29" s="748" t="s">
        <v>358</v>
      </c>
      <c r="B29" s="769" t="s">
        <v>1643</v>
      </c>
      <c r="C29" s="274">
        <f ca="1">ROUND((1+C24)*F28*'数据-取费表'!B24/'数据-取费表'!B20,4)</f>
        <v>0</v>
      </c>
      <c r="D29" s="274"/>
      <c r="E29" s="275"/>
      <c r="F29" s="280"/>
      <c r="G29" s="121" t="s">
        <v>1644</v>
      </c>
      <c r="H29" s="755"/>
      <c r="I29" s="755"/>
      <c r="J29" s="755"/>
      <c r="K29" s="756"/>
    </row>
    <row r="30" spans="1:33" s="281" customFormat="1" ht="13.5" customHeight="1">
      <c r="A30" s="748" t="s">
        <v>359</v>
      </c>
      <c r="B30" s="769" t="s">
        <v>1645</v>
      </c>
      <c r="C30" s="282">
        <f ca="1">ROUND((C21+C22+C23)*F28,0)</f>
        <v>0</v>
      </c>
      <c r="D30" s="274"/>
      <c r="E30" s="275"/>
      <c r="F30" s="280"/>
      <c r="G30" s="121"/>
      <c r="H30" s="755"/>
      <c r="I30" s="755"/>
      <c r="J30" s="755"/>
      <c r="K30" s="756"/>
    </row>
    <row r="31" spans="1:33" s="751" customFormat="1" ht="13.5" customHeight="1" thickBot="1">
      <c r="A31" s="1719" t="s">
        <v>1646</v>
      </c>
      <c r="B31" s="779" t="s">
        <v>1647</v>
      </c>
      <c r="C31" s="780">
        <f>ROUND(C4*F31/(1+'数据-取费表'!C42),0)</f>
        <v>0</v>
      </c>
      <c r="D31" s="781"/>
      <c r="E31" s="782"/>
      <c r="F31" s="783">
        <f>'数据-取费表'!B41</f>
        <v>5.5000000000000007E-2</v>
      </c>
      <c r="G31" s="784" t="s">
        <v>1648</v>
      </c>
      <c r="H31" s="785"/>
      <c r="I31" s="785"/>
      <c r="J31" s="785"/>
      <c r="K31" s="786"/>
    </row>
    <row r="32" spans="1:33" s="747" customFormat="1" ht="13.5" customHeight="1" thickBot="1">
      <c r="A32" s="447" t="s">
        <v>1649</v>
      </c>
      <c r="B32" s="775"/>
      <c r="C32" s="776">
        <f ca="1">ROUND((C4-C21-C22-C23-C25-C28-C31)/(1+C24+D25+D28),0)</f>
        <v>0</v>
      </c>
      <c r="D32" s="775"/>
      <c r="E32" s="775"/>
      <c r="F32" s="775"/>
      <c r="G32" s="777" t="s">
        <v>1650</v>
      </c>
      <c r="H32" s="775"/>
      <c r="I32" s="775"/>
      <c r="J32" s="775"/>
      <c r="K32" s="77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t="s">
        <v>3583</v>
      </c>
      <c r="D1" s="1266" t="s">
        <v>43</v>
      </c>
      <c r="E1" s="1267" t="s">
        <v>678</v>
      </c>
      <c r="F1" s="995">
        <f ca="1">J53</f>
        <v>34.83</v>
      </c>
      <c r="G1" s="1281">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804</v>
      </c>
      <c r="B2" s="1289">
        <f ca="1">C40+J29+L46</f>
        <v>254029</v>
      </c>
      <c r="C2" s="1284" t="s">
        <v>805</v>
      </c>
      <c r="D2" s="1284"/>
      <c r="E2" s="1290"/>
      <c r="F2" s="1291"/>
      <c r="G2" s="2472"/>
      <c r="H2" s="2462"/>
      <c r="I2" s="2462"/>
      <c r="J2" s="2462"/>
      <c r="K2" s="2463"/>
      <c r="L2" s="2462"/>
      <c r="M2" s="2462"/>
    </row>
    <row r="3" spans="1:37" ht="18" customHeight="1" thickBot="1">
      <c r="A3" s="1292" t="s">
        <v>806</v>
      </c>
      <c r="B3" s="1293">
        <f ca="1">IF(ISERROR(B2*10000/F43),0,ROUND(B2*10000/F43,0))</f>
        <v>16517</v>
      </c>
      <c r="C3" s="1284" t="s">
        <v>807</v>
      </c>
      <c r="D3" s="1284"/>
      <c r="E3" s="1290"/>
      <c r="F3" s="1291"/>
      <c r="G3" s="2472"/>
      <c r="H3" s="645"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3">
        <f ca="1">C6+C10+C12</f>
        <v>19222</v>
      </c>
      <c r="D5" s="1268" t="s">
        <v>693</v>
      </c>
      <c r="E5" s="1004"/>
      <c r="F5" s="1005"/>
      <c r="G5" s="1287"/>
      <c r="H5" s="289">
        <v>1</v>
      </c>
      <c r="I5" s="290" t="s">
        <v>692</v>
      </c>
      <c r="J5" s="1003">
        <f ca="1">J6+J10+J12</f>
        <v>0</v>
      </c>
      <c r="K5" s="1268" t="s">
        <v>693</v>
      </c>
      <c r="L5" s="1004"/>
      <c r="M5" s="1005"/>
    </row>
    <row r="6" spans="1:37" ht="18" customHeight="1">
      <c r="A6" s="1002" t="s">
        <v>398</v>
      </c>
      <c r="B6" s="3423" t="s">
        <v>694</v>
      </c>
      <c r="C6" s="1007">
        <f ca="1">ROUND(F6*F8*F7*(1-F9)/10000,0)</f>
        <v>19198</v>
      </c>
      <c r="D6" s="145" t="s">
        <v>2109</v>
      </c>
      <c r="E6" s="292" t="s">
        <v>696</v>
      </c>
      <c r="F6" s="293">
        <f ca="1">INDIRECT("'数据-取费表'!u"&amp;$G$1)</f>
        <v>3.6</v>
      </c>
      <c r="G6" s="1287"/>
      <c r="H6" s="1002" t="s">
        <v>398</v>
      </c>
      <c r="I6" s="3423" t="s">
        <v>694</v>
      </c>
      <c r="J6" s="291">
        <f ca="1">ROUND(M6*M8*M7*(1-M9)/10000,0)</f>
        <v>0</v>
      </c>
      <c r="K6" s="145" t="s">
        <v>2108</v>
      </c>
      <c r="L6" s="292" t="s">
        <v>696</v>
      </c>
      <c r="M6" s="293">
        <f ca="1">INDIRECT("'数据-取费表'!z"&amp;$G$1)</f>
        <v>0</v>
      </c>
    </row>
    <row r="7" spans="1:37" ht="18" customHeight="1">
      <c r="A7" s="1006"/>
      <c r="B7" s="3424"/>
      <c r="C7" s="1008"/>
      <c r="D7" s="297"/>
      <c r="E7" s="1009" t="s">
        <v>697</v>
      </c>
      <c r="F7" s="293">
        <f ca="1">IF(INDIRECT("'数据-取费表'!ah"&amp;$G$1)="",INDIRECT("'数据-取费表'!k"&amp;$G$1),INDIRECT("'数据-取费表'!ah"&amp;$G$1))</f>
        <v>153794.32</v>
      </c>
      <c r="G7" s="1287"/>
      <c r="H7" s="294"/>
      <c r="I7" s="3424"/>
      <c r="J7" s="296"/>
      <c r="K7" s="297"/>
      <c r="L7" s="292" t="s">
        <v>697</v>
      </c>
      <c r="M7" s="293">
        <f ca="1">F7</f>
        <v>153794.32</v>
      </c>
    </row>
    <row r="8" spans="1:37" ht="18" customHeight="1">
      <c r="A8" s="294"/>
      <c r="B8" s="3424"/>
      <c r="C8" s="296"/>
      <c r="D8" s="297"/>
      <c r="E8" s="292" t="s">
        <v>698</v>
      </c>
      <c r="F8" s="293">
        <f ca="1">INDIRECT("'数据-取费表'!ai"&amp;$G$1)</f>
        <v>365</v>
      </c>
      <c r="G8" s="1287"/>
      <c r="H8" s="294"/>
      <c r="I8" s="3424"/>
      <c r="J8" s="296"/>
      <c r="K8" s="297"/>
      <c r="L8" s="292" t="s">
        <v>698</v>
      </c>
      <c r="M8" s="293">
        <f ca="1">INDIRECT("'数据-取费表'!ai"&amp;$G$1)</f>
        <v>365</v>
      </c>
    </row>
    <row r="9" spans="1:37" ht="18" customHeight="1">
      <c r="A9" s="294"/>
      <c r="B9" s="3425"/>
      <c r="C9" s="296"/>
      <c r="D9" s="297"/>
      <c r="E9" s="292" t="s">
        <v>699</v>
      </c>
      <c r="F9" s="302">
        <f ca="1">INDIRECT("'数据-取费表'!w"&amp;$G$1)</f>
        <v>0.05</v>
      </c>
      <c r="G9" s="1287"/>
      <c r="H9" s="294"/>
      <c r="I9" s="3425"/>
      <c r="J9" s="296"/>
      <c r="K9" s="297"/>
      <c r="L9" s="303" t="s">
        <v>699</v>
      </c>
      <c r="M9" s="304">
        <f ca="1">INDIRECT("'数据-取费表'!ab"&amp;$G$1)</f>
        <v>0</v>
      </c>
    </row>
    <row r="10" spans="1:37" ht="18" customHeight="1">
      <c r="A10" s="1002" t="s">
        <v>402</v>
      </c>
      <c r="B10" s="1269" t="s">
        <v>700</v>
      </c>
      <c r="C10" s="306">
        <f ca="1">ROUND(IF(F10="押一",C6/12*F11,IF(F10="押二",C6/12*2*F11,IF(F10="押三",C6/12*3*F11,C11*F11))),0)</f>
        <v>24</v>
      </c>
      <c r="D10" s="148" t="s">
        <v>2117</v>
      </c>
      <c r="E10" s="303" t="s">
        <v>701</v>
      </c>
      <c r="F10" s="1049" t="s">
        <v>3667</v>
      </c>
      <c r="G10" s="1287"/>
      <c r="H10" s="1002" t="s">
        <v>402</v>
      </c>
      <c r="I10" s="1269" t="s">
        <v>700</v>
      </c>
      <c r="J10" s="291">
        <f ca="1">ROUND(IF(M10="押一",J6/12*M11,IF(M10="押二",J6/12*2*M11,IF(M10="押三",J6/12*3*M11,J11*M11))),0)</f>
        <v>0</v>
      </c>
      <c r="K10" s="148" t="s">
        <v>2116</v>
      </c>
      <c r="L10" s="303" t="s">
        <v>701</v>
      </c>
      <c r="M10" s="1049"/>
    </row>
    <row r="11" spans="1:37" ht="18" customHeight="1">
      <c r="A11" s="298"/>
      <c r="B11" s="1270" t="s">
        <v>679</v>
      </c>
      <c r="C11" s="901"/>
      <c r="D11" s="1271"/>
      <c r="E11" s="303" t="s">
        <v>702</v>
      </c>
      <c r="F11" s="304">
        <f ca="1">'数据-取费表'!B39</f>
        <v>1.4999999999999999E-2</v>
      </c>
      <c r="G11" s="1287"/>
      <c r="H11" s="1010"/>
      <c r="I11" s="1270" t="s">
        <v>679</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155637</v>
      </c>
      <c r="D13" s="1014" t="s">
        <v>705</v>
      </c>
      <c r="E13" s="1014" t="s">
        <v>706</v>
      </c>
      <c r="F13" s="1015">
        <f ca="1">INDIRECT("'数据-取费表'!y"&amp;$G$1)</f>
        <v>0.97</v>
      </c>
      <c r="G13" s="1287"/>
      <c r="H13" s="1012">
        <v>2</v>
      </c>
      <c r="I13" s="1013" t="s">
        <v>704</v>
      </c>
      <c r="J13" s="1001">
        <f ca="1">ROUND(J14*J15,0)</f>
        <v>0</v>
      </c>
      <c r="K13" s="1020" t="s">
        <v>705</v>
      </c>
      <c r="L13" s="1294"/>
      <c r="M13" s="1295"/>
    </row>
    <row r="14" spans="1:37" ht="18" customHeight="1">
      <c r="A14" s="924" t="s">
        <v>397</v>
      </c>
      <c r="B14" s="292" t="s">
        <v>707</v>
      </c>
      <c r="C14" s="308">
        <f ca="1">INDIRECT("'数据-取费表'!m"&amp;$G$1)+INDIRECT("'数据-取费表'!t"&amp;$G$1)</f>
        <v>100299</v>
      </c>
      <c r="D14" s="1252" t="s">
        <v>708</v>
      </c>
      <c r="E14" s="1250"/>
      <c r="F14" s="309"/>
      <c r="G14" s="1287"/>
      <c r="H14" s="924" t="s">
        <v>398</v>
      </c>
      <c r="I14" s="292" t="s">
        <v>709</v>
      </c>
      <c r="J14" s="21">
        <f ca="1">C29</f>
        <v>160450</v>
      </c>
      <c r="K14" s="12"/>
      <c r="L14" s="755"/>
      <c r="M14" s="756"/>
    </row>
    <row r="15" spans="1:37" s="1299" customFormat="1" ht="18" customHeight="1" thickBot="1">
      <c r="A15" s="924" t="s">
        <v>399</v>
      </c>
      <c r="B15" s="292" t="s">
        <v>710</v>
      </c>
      <c r="C15" s="21">
        <f ca="1">ROUND(C14*F15,0)</f>
        <v>6018</v>
      </c>
      <c r="D15" s="310" t="s">
        <v>711</v>
      </c>
      <c r="E15" s="310" t="s">
        <v>712</v>
      </c>
      <c r="F15" s="311">
        <f>'数据-取费表'!B33</f>
        <v>0.06</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2" t="s">
        <v>393</v>
      </c>
      <c r="I16" s="1013" t="s">
        <v>714</v>
      </c>
      <c r="J16" s="300">
        <f ca="1">ROUND(J17+J22+J23+J24,0)</f>
        <v>488</v>
      </c>
      <c r="K16" s="1020" t="s">
        <v>715</v>
      </c>
      <c r="L16" s="1021"/>
      <c r="M16" s="1005"/>
    </row>
    <row r="17" spans="1:37" s="1299" customFormat="1" ht="18" customHeight="1">
      <c r="A17" s="924" t="s">
        <v>681</v>
      </c>
      <c r="B17" s="292" t="s">
        <v>716</v>
      </c>
      <c r="C17" s="21">
        <f ca="1">ROUND(F17*(F43+INDIRECT("'数据-取费表'!S"&amp;$G$1))/10000,0)</f>
        <v>3086</v>
      </c>
      <c r="D17" s="292" t="s">
        <v>717</v>
      </c>
      <c r="E17" s="292" t="s">
        <v>718</v>
      </c>
      <c r="F17" s="23">
        <f>'数据-取费表'!B35</f>
        <v>200</v>
      </c>
      <c r="G17" s="1298"/>
      <c r="H17" s="924" t="s">
        <v>398</v>
      </c>
      <c r="I17" s="292" t="s">
        <v>719</v>
      </c>
      <c r="J17" s="2135">
        <f ca="1">ROUND(IF(AND(项目基本情况!B11="自然人",项目基本情况!B10="北京市"),J6*M17/(1+'数据-取费表'!C42),J18+J19+J20),2)</f>
        <v>6.34</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2006</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111409</v>
      </c>
      <c r="D19" s="121" t="s">
        <v>726</v>
      </c>
      <c r="E19" s="1264"/>
      <c r="F19" s="23"/>
      <c r="G19" s="1287"/>
      <c r="H19" s="924" t="s">
        <v>399</v>
      </c>
      <c r="I19" s="292" t="s">
        <v>727</v>
      </c>
      <c r="J19" s="21">
        <f ca="1">IF(K19="按租金收入计税",ROUND(J6*M19/(1+'数据-取费表'!C42),2),ROUND(C29*M19*0.7,2))</f>
        <v>0</v>
      </c>
      <c r="K19" s="1273" t="s">
        <v>3334</v>
      </c>
      <c r="L19" s="292" t="s">
        <v>712</v>
      </c>
      <c r="M19" s="312">
        <f>IF(K19="按租金收入计税",'数据-取费表'!B51,'数据-取费表'!B50)</f>
        <v>0.12</v>
      </c>
    </row>
    <row r="20" spans="1:37" s="1299" customFormat="1" ht="18" customHeight="1">
      <c r="A20" s="924" t="s">
        <v>402</v>
      </c>
      <c r="B20" s="292" t="s">
        <v>728</v>
      </c>
      <c r="C20" s="21">
        <f ca="1">ROUND(C19*F20,0)</f>
        <v>3342</v>
      </c>
      <c r="D20" s="313" t="s">
        <v>729</v>
      </c>
      <c r="E20" s="292" t="s">
        <v>712</v>
      </c>
      <c r="F20" s="312">
        <f>'数据-取费表'!B37</f>
        <v>0.03</v>
      </c>
      <c r="G20" s="1298"/>
      <c r="H20" s="924" t="s">
        <v>680</v>
      </c>
      <c r="I20" s="145" t="s">
        <v>730</v>
      </c>
      <c r="J20" s="22">
        <f ca="1">ROUND(M20*M21/10000,2)</f>
        <v>6.34</v>
      </c>
      <c r="K20" s="314" t="s">
        <v>731</v>
      </c>
      <c r="L20" s="292" t="s">
        <v>732</v>
      </c>
      <c r="M20" s="315">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0.02</v>
      </c>
      <c r="G21" s="1298"/>
      <c r="H21" s="316"/>
      <c r="I21" s="301"/>
      <c r="J21" s="26"/>
      <c r="K21" s="317"/>
      <c r="L21" s="292" t="s">
        <v>736</v>
      </c>
      <c r="M21" s="293">
        <f ca="1">INDIRECT("'数据-取费表'!r"&amp;$G$1)</f>
        <v>42276.469999999994</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ROUND(J14*M22,2)</f>
        <v>481.35</v>
      </c>
      <c r="K22" s="1251" t="s">
        <v>739</v>
      </c>
      <c r="L22" s="292" t="s">
        <v>712</v>
      </c>
      <c r="M22" s="318">
        <f ca="1">INDIRECT("'数据-取费表'!Ak"&amp;$G$1)</f>
        <v>3.0000000000000001E-3</v>
      </c>
    </row>
    <row r="23" spans="1:37" s="1299" customFormat="1" ht="18" customHeight="1">
      <c r="A23" s="924" t="s">
        <v>397</v>
      </c>
      <c r="B23" s="292" t="s">
        <v>740</v>
      </c>
      <c r="C23" s="21">
        <f ca="1">IF('数据-取费表'!B22&lt;=1,ROUND(C19*F24*F23/2,0)+ROUND(C20*F24*F23/2,0),ROUND(C19*(POWER((1+F24),F23/2)-1),0)+ROUND(C20*(POWER((1+F24),F23/2)-1),0))</f>
        <v>4464</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ROUND(J5*M24,2)</f>
        <v>0</v>
      </c>
      <c r="K24" s="1025" t="s">
        <v>748</v>
      </c>
      <c r="L24" s="1023" t="s">
        <v>744</v>
      </c>
      <c r="M24" s="1019">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1" t="s">
        <v>751</v>
      </c>
      <c r="E25" s="1264"/>
      <c r="F25" s="23"/>
      <c r="G25" s="1287"/>
      <c r="H25" s="1012" t="s">
        <v>394</v>
      </c>
      <c r="I25" s="1027" t="s">
        <v>752</v>
      </c>
      <c r="J25" s="300">
        <f ca="1">J5-J16</f>
        <v>-488</v>
      </c>
      <c r="K25" s="1028" t="s">
        <v>753</v>
      </c>
      <c r="L25" s="1029"/>
      <c r="M25" s="1030"/>
    </row>
    <row r="26" spans="1:37">
      <c r="A26" s="924" t="s">
        <v>397</v>
      </c>
      <c r="B26" s="292" t="s">
        <v>754</v>
      </c>
      <c r="C26" s="21">
        <f ca="1">ROUND((C19+C20)*F26,0)</f>
        <v>28688</v>
      </c>
      <c r="D26" s="313" t="s">
        <v>755</v>
      </c>
      <c r="E26" s="303" t="s">
        <v>756</v>
      </c>
      <c r="F26" s="302">
        <f ca="1">INDIRECT("'数据-取费表'!q"&amp;$G$1)</f>
        <v>0.25</v>
      </c>
      <c r="G26" s="1287"/>
      <c r="H26" s="289" t="s">
        <v>395</v>
      </c>
      <c r="I26" s="290" t="s">
        <v>757</v>
      </c>
      <c r="J26" s="291">
        <f ca="1">IF(J5&lt;&gt;0,ROUND(J25*(1-((1+M28)/(1+M26))^M27)/(M26-M28),0),0)</f>
        <v>0</v>
      </c>
      <c r="K26" s="314" t="s">
        <v>758</v>
      </c>
      <c r="L26" s="292" t="s">
        <v>759</v>
      </c>
      <c r="M26" s="302">
        <f ca="1">INDIRECT("'数据-取费表'!I"&amp;$G$1)</f>
        <v>0.06</v>
      </c>
    </row>
    <row r="27" spans="1:37" ht="18" customHeight="1">
      <c r="A27" s="924" t="s">
        <v>399</v>
      </c>
      <c r="B27" s="292" t="s">
        <v>760</v>
      </c>
      <c r="C27" s="21">
        <f ca="1">ROUND(F21*F26,4)</f>
        <v>5.0000000000000001E-3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160450</v>
      </c>
      <c r="D29" s="1025"/>
      <c r="E29" s="1023"/>
      <c r="F29" s="1026"/>
      <c r="G29" s="1298"/>
      <c r="H29" s="323" t="s">
        <v>396</v>
      </c>
      <c r="I29" s="324" t="s">
        <v>768</v>
      </c>
      <c r="J29" s="325">
        <f ca="1">ROUND(J26/(1+F40)^F41,0)</f>
        <v>0</v>
      </c>
      <c r="K29" s="326" t="s">
        <v>769</v>
      </c>
      <c r="L29" s="327"/>
      <c r="M29" s="328">
        <f ca="1">INDIRECT("'数据-取费表'!k"&amp;$G$1)</f>
        <v>153794.32</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3939</v>
      </c>
      <c r="D30" s="1020" t="s">
        <v>715</v>
      </c>
      <c r="E30" s="1021"/>
      <c r="F30" s="1005"/>
      <c r="G30" s="1287"/>
      <c r="H30" s="2464"/>
      <c r="I30" s="1300"/>
      <c r="J30" s="1301"/>
      <c r="K30" s="119"/>
      <c r="L30" s="2465"/>
      <c r="M30" s="2466"/>
    </row>
    <row r="31" spans="1:37" ht="18" customHeight="1">
      <c r="A31" s="924" t="s">
        <v>398</v>
      </c>
      <c r="B31" s="292" t="s">
        <v>719</v>
      </c>
      <c r="C31" s="2135">
        <f ca="1">ROUND(IF(AND(项目基本情况!B11="自然人",项目基本情况!B10="北京市"),C6*F31/(1+'数据-取费表'!C42),C32+C33+C34),2)</f>
        <v>3206.01</v>
      </c>
      <c r="D31" s="1252" t="s">
        <v>720</v>
      </c>
      <c r="E31" s="1251" t="s">
        <v>770</v>
      </c>
      <c r="F31" s="2134" t="str">
        <f>IF(项目基本情况!B11="企业","——",IF(M47="住宅",IF(F6*F7*F8/12/(1+'数据-取费表'!F30)&gt;100000,4%,2.5%),IF(F6*F7*F8/12/(1+'数据-取费表'!F30)&gt;100000,12%,7%)))</f>
        <v>——</v>
      </c>
      <c r="G31" s="1287"/>
      <c r="H31" s="2563" t="s">
        <v>2304</v>
      </c>
      <c r="I31" s="1300"/>
      <c r="J31" s="1301"/>
      <c r="K31" s="119"/>
      <c r="L31" s="2465"/>
      <c r="M31" s="2466"/>
    </row>
    <row r="32" spans="1:37" ht="18" customHeight="1">
      <c r="A32" s="924" t="s">
        <v>397</v>
      </c>
      <c r="B32" s="292" t="s">
        <v>723</v>
      </c>
      <c r="C32" s="21">
        <f ca="1">IF(项目基本情况!B11="自然人","——",ROUND(C6*F32/(1+'数据-取费表'!C42),2))</f>
        <v>1005.61</v>
      </c>
      <c r="D32" s="1251" t="s">
        <v>724</v>
      </c>
      <c r="E32" s="292" t="s">
        <v>712</v>
      </c>
      <c r="F32" s="320">
        <f>'数据-取费表'!B41</f>
        <v>5.5000000000000007E-2</v>
      </c>
      <c r="G32" s="1287"/>
      <c r="H32" s="2464"/>
      <c r="I32" s="1300"/>
      <c r="J32" s="1301"/>
      <c r="K32" s="119"/>
      <c r="L32" s="2465"/>
      <c r="M32" s="2466"/>
    </row>
    <row r="33" spans="1:18" ht="18" customHeight="1">
      <c r="A33" s="924" t="s">
        <v>399</v>
      </c>
      <c r="B33" s="292" t="s">
        <v>727</v>
      </c>
      <c r="C33" s="21">
        <f ca="1">IF(项目基本情况!B11="自然人","——",IF(D33="按租金收入计税",ROUND(C6*F33/(1+'数据-取费表'!C42),2),IF(D33="按房产原值计税",ROUND(C29*F33*0.7,2),INDIRECT("'数据-取费表'!Aj"&amp;$G$1))))</f>
        <v>2194.06</v>
      </c>
      <c r="D33" s="1273" t="s">
        <v>3334</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IF(项目基本情况!B11="自然人","——",ROUND(F34*F35/10000,2))</f>
        <v>6.34</v>
      </c>
      <c r="D34" s="314" t="s">
        <v>731</v>
      </c>
      <c r="E34" s="292" t="s">
        <v>732</v>
      </c>
      <c r="F34" s="315">
        <f>'数据-取费表'!B52</f>
        <v>1.5</v>
      </c>
      <c r="G34" s="1287"/>
      <c r="H34" s="2464"/>
      <c r="I34" s="1300"/>
      <c r="J34" s="1301"/>
      <c r="K34" s="2469"/>
      <c r="L34" s="2470"/>
      <c r="M34" s="2470"/>
    </row>
    <row r="35" spans="1:18" ht="18" customHeight="1">
      <c r="A35" s="1036"/>
      <c r="B35" s="1034"/>
      <c r="C35" s="26"/>
      <c r="D35" s="317"/>
      <c r="E35" s="292" t="s">
        <v>736</v>
      </c>
      <c r="F35" s="293">
        <f ca="1">INDIRECT("'数据-取费表'!r"&amp;$G$1)</f>
        <v>42276.469999999994</v>
      </c>
      <c r="G35" s="1287"/>
      <c r="H35" s="2464"/>
      <c r="I35" s="1300"/>
      <c r="J35" s="1301"/>
      <c r="K35" s="2468"/>
      <c r="L35" s="2467"/>
      <c r="M35" s="2467"/>
    </row>
    <row r="36" spans="1:18" ht="18" customHeight="1">
      <c r="A36" s="1035" t="s">
        <v>402</v>
      </c>
      <c r="B36" s="292" t="s">
        <v>738</v>
      </c>
      <c r="C36" s="21">
        <f ca="1">ROUND(C29*F36,2)</f>
        <v>481.35</v>
      </c>
      <c r="D36" s="1251" t="s">
        <v>771</v>
      </c>
      <c r="E36" s="292" t="s">
        <v>712</v>
      </c>
      <c r="F36" s="318">
        <f ca="1">INDIRECT("'数据-取费表'!Ak"&amp;$G$1)</f>
        <v>3.0000000000000001E-3</v>
      </c>
      <c r="G36" s="1287"/>
      <c r="H36" s="2467"/>
      <c r="I36" s="1300"/>
      <c r="J36" s="1301"/>
      <c r="K36" s="2325"/>
      <c r="L36" s="2467"/>
      <c r="M36" s="2467"/>
    </row>
    <row r="37" spans="1:18" ht="18" customHeight="1">
      <c r="A37" s="924" t="s">
        <v>437</v>
      </c>
      <c r="B37" s="292" t="s">
        <v>742</v>
      </c>
      <c r="C37" s="21">
        <f ca="1">ROUND(C13*F37,2)</f>
        <v>155.63999999999999</v>
      </c>
      <c r="D37" s="1251" t="s">
        <v>743</v>
      </c>
      <c r="E37" s="292" t="s">
        <v>744</v>
      </c>
      <c r="F37" s="319">
        <f ca="1">INDIRECT("'数据-取费表'!Al"&amp;$G$1)</f>
        <v>1E-3</v>
      </c>
      <c r="G37" s="1287"/>
      <c r="H37" s="2467"/>
      <c r="I37" s="1300"/>
      <c r="J37" s="1301"/>
      <c r="K37" s="2325"/>
      <c r="L37" s="2467"/>
      <c r="M37" s="2467"/>
    </row>
    <row r="38" spans="1:18" ht="18" customHeight="1" thickBot="1">
      <c r="A38" s="1022" t="s">
        <v>684</v>
      </c>
      <c r="B38" s="1023" t="s">
        <v>728</v>
      </c>
      <c r="C38" s="1024">
        <f ca="1">ROUND(C5*F38,2)</f>
        <v>96.11</v>
      </c>
      <c r="D38" s="1025" t="s">
        <v>748</v>
      </c>
      <c r="E38" s="1023" t="s">
        <v>744</v>
      </c>
      <c r="F38" s="1019">
        <f ca="1">INDIRECT("'数据-取费表'!Am"&amp;$G$1)</f>
        <v>5.0000000000000001E-3</v>
      </c>
      <c r="G38" s="1287"/>
      <c r="H38" s="2467"/>
      <c r="I38" s="1300"/>
      <c r="J38" s="1301"/>
      <c r="K38" s="2465"/>
      <c r="L38" s="2467"/>
      <c r="M38" s="2467"/>
    </row>
    <row r="39" spans="1:18" ht="24.6" customHeight="1" thickTop="1">
      <c r="A39" s="1012" t="s">
        <v>394</v>
      </c>
      <c r="B39" s="1027" t="s">
        <v>772</v>
      </c>
      <c r="C39" s="300">
        <f ca="1">C5-C30</f>
        <v>15283</v>
      </c>
      <c r="D39" s="1028" t="s">
        <v>773</v>
      </c>
      <c r="E39" s="1029"/>
      <c r="F39" s="1030"/>
      <c r="G39" s="1287"/>
      <c r="H39" s="2467"/>
      <c r="I39" s="1300"/>
      <c r="J39" s="1301"/>
      <c r="K39" s="2465"/>
      <c r="L39" s="2467"/>
      <c r="M39" s="2467"/>
    </row>
    <row r="40" spans="1:18" ht="18" customHeight="1">
      <c r="A40" s="289" t="s">
        <v>395</v>
      </c>
      <c r="B40" s="290" t="s">
        <v>774</v>
      </c>
      <c r="C40" s="291">
        <f ca="1">ROUND(C39*(1-((1+F42)/(1+F40))^F41)/(F40-F42),0)</f>
        <v>248860</v>
      </c>
      <c r="D40" s="314" t="s">
        <v>758</v>
      </c>
      <c r="E40" s="292" t="s">
        <v>759</v>
      </c>
      <c r="F40" s="302">
        <f ca="1">INDIRECT("'数据-取费表'!I"&amp;$G$1)</f>
        <v>0.06</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34.83</v>
      </c>
      <c r="G41" s="1287"/>
      <c r="H41" s="119"/>
      <c r="I41" s="1300"/>
      <c r="J41" s="1301"/>
      <c r="K41" s="2325"/>
      <c r="L41" s="119"/>
      <c r="M41" s="119"/>
    </row>
    <row r="42" spans="1:18" ht="18" customHeight="1">
      <c r="A42" s="298"/>
      <c r="B42" s="299"/>
      <c r="C42" s="300"/>
      <c r="D42" s="317"/>
      <c r="E42" s="292" t="s">
        <v>766</v>
      </c>
      <c r="F42" s="302">
        <f ca="1">INDIRECT("'数据-取费表'!v"&amp;$G$1)</f>
        <v>0.01</v>
      </c>
      <c r="G42" s="1287"/>
      <c r="H42" s="119"/>
      <c r="I42" s="1300"/>
      <c r="J42" s="1301"/>
      <c r="K42" s="2325"/>
      <c r="L42" s="119"/>
      <c r="M42" s="119"/>
    </row>
    <row r="43" spans="1:18" ht="18" customHeight="1" thickBot="1">
      <c r="A43" s="323" t="s">
        <v>396</v>
      </c>
      <c r="B43" s="324" t="s">
        <v>776</v>
      </c>
      <c r="C43" s="325">
        <f ca="1">ROUND(C40*10000/F43,0)</f>
        <v>16181</v>
      </c>
      <c r="D43" s="326" t="s">
        <v>777</v>
      </c>
      <c r="E43" s="327" t="s">
        <v>778</v>
      </c>
      <c r="F43" s="328">
        <f ca="1">INDIRECT("'数据-取费表'!k"&amp;$G$1)</f>
        <v>153794.32</v>
      </c>
      <c r="G43" s="1287"/>
      <c r="H43" s="119"/>
      <c r="I43" s="119"/>
      <c r="J43" s="119"/>
      <c r="K43" s="2325"/>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1"/>
      <c r="O45" s="2471" t="s">
        <v>808</v>
      </c>
      <c r="P45" s="1361"/>
      <c r="Q45" s="1361"/>
      <c r="R45" s="1361"/>
    </row>
    <row r="46" spans="1:18" s="1287" customFormat="1" ht="13.5" thickBot="1">
      <c r="A46" s="1306" t="s">
        <v>809</v>
      </c>
      <c r="C46" s="1307">
        <f ca="1">C68-C40</f>
        <v>-258168</v>
      </c>
      <c r="D46" s="1308" t="str">
        <f>C2</f>
        <v>万元</v>
      </c>
      <c r="E46" s="1302"/>
      <c r="F46" s="1302"/>
      <c r="I46" s="1309" t="s">
        <v>810</v>
      </c>
      <c r="J46" s="1310"/>
      <c r="K46" s="1311"/>
      <c r="L46" s="1312">
        <f ca="1">IF(M47="住宅",0,IF(L48&gt;J51,L60,J60))</f>
        <v>5169</v>
      </c>
      <c r="O46" s="1313" t="s">
        <v>811</v>
      </c>
      <c r="P46" s="1314" t="s">
        <v>812</v>
      </c>
      <c r="Q46" s="1315" t="s">
        <v>813</v>
      </c>
      <c r="R46" s="1315" t="s">
        <v>814</v>
      </c>
    </row>
    <row r="47" spans="1:18" s="1287" customFormat="1" ht="13.5" thickBot="1">
      <c r="A47" s="888" t="s">
        <v>687</v>
      </c>
      <c r="B47" s="920" t="s">
        <v>688</v>
      </c>
      <c r="C47" s="1050" t="s">
        <v>689</v>
      </c>
      <c r="D47" s="920" t="s">
        <v>690</v>
      </c>
      <c r="E47" s="991" t="s">
        <v>691</v>
      </c>
      <c r="F47" s="992"/>
      <c r="G47" s="677"/>
      <c r="I47" s="1316" t="s">
        <v>815</v>
      </c>
      <c r="J47" s="1317" t="s">
        <v>3578</v>
      </c>
      <c r="K47" s="1318" t="s">
        <v>816</v>
      </c>
      <c r="L47" s="1319">
        <f ca="1">INDIRECT("'数据-取费表'!d"&amp;$G$1)</f>
        <v>40</v>
      </c>
      <c r="M47" s="1283" t="str">
        <f>IF(ISNUMBER(FIND("住宅",C1)),"住宅","非住宅")</f>
        <v>非住宅</v>
      </c>
      <c r="O47" s="1320" t="s">
        <v>403</v>
      </c>
      <c r="P47" s="1321" t="s">
        <v>817</v>
      </c>
      <c r="Q47" s="1322">
        <f ca="1">C40+J29</f>
        <v>248860</v>
      </c>
      <c r="R47" s="1322" t="s">
        <v>818</v>
      </c>
    </row>
    <row r="48" spans="1:18" s="1287" customFormat="1" ht="28.5" thickBot="1">
      <c r="A48" s="1043" t="s">
        <v>438</v>
      </c>
      <c r="B48" s="290" t="s">
        <v>692</v>
      </c>
      <c r="C48" s="1263">
        <f ca="1">C49+C53+C55</f>
        <v>0</v>
      </c>
      <c r="D48" s="1045"/>
      <c r="E48" s="1046"/>
      <c r="F48" s="904"/>
      <c r="G48" s="677"/>
      <c r="H48" s="678"/>
      <c r="I48" s="1323" t="s">
        <v>819</v>
      </c>
      <c r="J48" s="1324" t="s">
        <v>3668</v>
      </c>
      <c r="K48" s="1325" t="s">
        <v>820</v>
      </c>
      <c r="L48" s="1326">
        <f ca="1">INDIRECT("'数据-取费表'!f"&amp;$G$1)</f>
        <v>34.83</v>
      </c>
      <c r="O48" s="1320" t="s">
        <v>404</v>
      </c>
      <c r="P48" s="1321" t="s">
        <v>821</v>
      </c>
      <c r="Q48" s="1322">
        <f ca="1">J60</f>
        <v>5169</v>
      </c>
      <c r="R48" s="1322" t="s">
        <v>822</v>
      </c>
    </row>
    <row r="49" spans="1:18" s="1287" customFormat="1" ht="13.5" thickBot="1">
      <c r="A49" s="917" t="s">
        <v>439</v>
      </c>
      <c r="B49" s="1274" t="s">
        <v>779</v>
      </c>
      <c r="C49" s="1047">
        <f ca="1">ROUND(F49*F51*F50*(1-F52)/10000,0)</f>
        <v>0</v>
      </c>
      <c r="D49" s="988" t="s">
        <v>2110</v>
      </c>
      <c r="E49" s="1275" t="s">
        <v>780</v>
      </c>
      <c r="F49" s="993"/>
      <c r="H49" s="678"/>
      <c r="I49" s="1323" t="s">
        <v>823</v>
      </c>
      <c r="J49" s="1327">
        <v>2022</v>
      </c>
      <c r="K49" s="1325" t="s">
        <v>824</v>
      </c>
      <c r="L49" s="1328"/>
      <c r="O49" s="1329" t="s">
        <v>405</v>
      </c>
      <c r="P49" s="1321" t="s">
        <v>825</v>
      </c>
      <c r="Q49" s="1322">
        <f ca="1">C29</f>
        <v>160450</v>
      </c>
      <c r="R49" s="1322" t="s">
        <v>818</v>
      </c>
    </row>
    <row r="50" spans="1:18" s="1287" customFormat="1" ht="13.5" thickBot="1">
      <c r="A50" s="918"/>
      <c r="B50" s="921"/>
      <c r="C50" s="1051"/>
      <c r="D50" s="895"/>
      <c r="E50" s="989" t="s">
        <v>697</v>
      </c>
      <c r="F50" s="990">
        <f ca="1">F7</f>
        <v>153794.32</v>
      </c>
      <c r="H50" s="678"/>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19"/>
      <c r="B51" s="921"/>
      <c r="C51" s="922"/>
      <c r="D51" s="895"/>
      <c r="E51" s="923" t="s">
        <v>698</v>
      </c>
      <c r="F51" s="293">
        <f ca="1">F8</f>
        <v>365</v>
      </c>
      <c r="I51" s="1333" t="s">
        <v>829</v>
      </c>
      <c r="J51" s="1326">
        <f>IF(J49="",J50,J49+J50-YEAR('数据-取费表'!B2))</f>
        <v>58</v>
      </c>
      <c r="K51" s="1334" t="s">
        <v>830</v>
      </c>
      <c r="L51" s="1335">
        <f ca="1">ROUND(-PV(INDIRECT("'数据-取费表'!h"&amp;$G$1),J51,(C39-C13*C76),0),0)</f>
        <v>62699</v>
      </c>
      <c r="M51" s="1336"/>
      <c r="O51" s="1329" t="s">
        <v>407</v>
      </c>
      <c r="P51" s="1321" t="s">
        <v>831</v>
      </c>
      <c r="Q51" s="1332">
        <f>J52</f>
        <v>7.4999999999999997E-2</v>
      </c>
      <c r="R51" s="1322"/>
    </row>
    <row r="52" spans="1:18" s="1287" customFormat="1" ht="13.5" thickBot="1">
      <c r="A52" s="919"/>
      <c r="B52" s="921"/>
      <c r="C52" s="922"/>
      <c r="D52" s="895"/>
      <c r="E52" s="923" t="s">
        <v>699</v>
      </c>
      <c r="F52" s="987"/>
      <c r="I52" s="1337" t="s">
        <v>832</v>
      </c>
      <c r="J52" s="1338">
        <v>7.4999999999999997E-2</v>
      </c>
      <c r="K52" s="1337" t="s">
        <v>833</v>
      </c>
      <c r="L52" s="1338"/>
      <c r="O52" s="1329" t="s">
        <v>408</v>
      </c>
      <c r="P52" s="1321" t="s">
        <v>834</v>
      </c>
      <c r="Q52" s="1322">
        <f ca="1">J53</f>
        <v>34.83</v>
      </c>
      <c r="R52" s="1322" t="s">
        <v>835</v>
      </c>
    </row>
    <row r="53" spans="1:18" s="1287" customFormat="1" ht="24.75" thickBot="1">
      <c r="A53" s="1075" t="s">
        <v>440</v>
      </c>
      <c r="B53" s="1276" t="s">
        <v>700</v>
      </c>
      <c r="C53" s="306">
        <f ca="1">ROUND(IF(F53="押一",C49/12*F11,IF(F53="押二",C49/12*2*F11,IF(F53="押三",C49/12*3*F11,C54*F11))),0)</f>
        <v>0</v>
      </c>
      <c r="D53" s="148" t="s">
        <v>2116</v>
      </c>
      <c r="E53" s="303" t="s">
        <v>701</v>
      </c>
      <c r="F53" s="1049"/>
      <c r="I53" s="1339" t="s">
        <v>836</v>
      </c>
      <c r="J53" s="2001">
        <f ca="1">IF(M47="住宅",IF(D1="——",MAX(J51,L48),MAX(J51,L48-'数据-取费表'!B24)),IF(D1="——",MIN(J51,L48),MIN(J51,L48-'数据-取费表'!B24)))</f>
        <v>34.83</v>
      </c>
      <c r="K53" s="3421" t="s">
        <v>837</v>
      </c>
      <c r="L53" s="3422"/>
      <c r="O53" s="1320" t="s">
        <v>409</v>
      </c>
      <c r="P53" s="1321" t="s">
        <v>838</v>
      </c>
      <c r="Q53" s="1322">
        <f ca="1">Q47+Q48</f>
        <v>254029</v>
      </c>
      <c r="R53" s="1322" t="s">
        <v>410</v>
      </c>
    </row>
    <row r="54" spans="1:18" s="1287" customFormat="1" ht="13.5" thickBot="1">
      <c r="A54" s="1076"/>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f ca="1">ROUND(IF(J47="钢混",J57/J50,1-(1-2%)*(J50-J57)/J50),3)</f>
        <v>0.38600000000000001</v>
      </c>
      <c r="K55" s="1345" t="s">
        <v>841</v>
      </c>
      <c r="L55" s="1346"/>
      <c r="O55" s="1313" t="s">
        <v>811</v>
      </c>
      <c r="P55" s="1314" t="s">
        <v>812</v>
      </c>
      <c r="Q55" s="1315" t="s">
        <v>813</v>
      </c>
      <c r="R55" s="1315" t="s">
        <v>814</v>
      </c>
    </row>
    <row r="56" spans="1:18" s="1287" customFormat="1" ht="25.5" thickTop="1" thickBot="1">
      <c r="A56" s="899">
        <v>2</v>
      </c>
      <c r="B56" s="900" t="s">
        <v>704</v>
      </c>
      <c r="C56" s="222">
        <f ca="1">C13</f>
        <v>155637</v>
      </c>
      <c r="D56" s="1347"/>
      <c r="E56" s="1348"/>
      <c r="F56" s="1340"/>
      <c r="I56" s="1349" t="s">
        <v>842</v>
      </c>
      <c r="J56" s="1350"/>
      <c r="K56" s="1323" t="s">
        <v>843</v>
      </c>
      <c r="L56" s="1326" t="str">
        <f ca="1">IF(L48&lt;J51,"——",L48-J53)</f>
        <v>——</v>
      </c>
      <c r="O56" s="1320" t="s">
        <v>403</v>
      </c>
      <c r="P56" s="1321" t="s">
        <v>817</v>
      </c>
      <c r="Q56" s="1322">
        <f ca="1">C40+J29</f>
        <v>248860</v>
      </c>
      <c r="R56" s="1322" t="s">
        <v>818</v>
      </c>
    </row>
    <row r="57" spans="1:18" s="1287" customFormat="1" ht="24.75" thickBot="1">
      <c r="A57" s="1351"/>
      <c r="B57" s="892" t="s">
        <v>767</v>
      </c>
      <c r="C57" s="228">
        <f ca="1">C29</f>
        <v>160450</v>
      </c>
      <c r="D57" s="1352"/>
      <c r="E57" s="1353"/>
      <c r="F57" s="1354"/>
      <c r="I57" s="1355" t="s">
        <v>844</v>
      </c>
      <c r="J57" s="1356">
        <f ca="1">IF(OR(M47="住宅",J51&lt;L48,J56="是"),"——",J51-L48)</f>
        <v>23.17</v>
      </c>
      <c r="K57" s="1323" t="s">
        <v>845</v>
      </c>
      <c r="L57" s="1326" t="str">
        <f ca="1">IF(L48&lt;J51,"——",IF(L55="比较法",L49,IF(L55="基准地价",L50,L51)))</f>
        <v>——</v>
      </c>
      <c r="O57" s="1320" t="s">
        <v>404</v>
      </c>
      <c r="P57" s="1321" t="s">
        <v>846</v>
      </c>
      <c r="Q57" s="1322">
        <f ca="1">L60</f>
        <v>0</v>
      </c>
      <c r="R57" s="1322" t="s">
        <v>847</v>
      </c>
    </row>
    <row r="58" spans="1:18" s="1287" customFormat="1" ht="24.75" thickBot="1">
      <c r="A58" s="305" t="s">
        <v>393</v>
      </c>
      <c r="B58" s="900" t="s">
        <v>714</v>
      </c>
      <c r="C58" s="306">
        <f ca="1">ROUND(C59+C64+C65+C66,0)</f>
        <v>643</v>
      </c>
      <c r="D58" s="902" t="s">
        <v>715</v>
      </c>
      <c r="E58" s="903"/>
      <c r="F58" s="904"/>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5">
        <f ca="1">ROUND(IF(AND(项目基本情况!B11="自然人",项目基本情况!B10="北京市"),C49*F59/(1+'数据-取费表'!C42),C60+C61+C62),0)</f>
        <v>6</v>
      </c>
      <c r="D59" s="905" t="s">
        <v>720</v>
      </c>
      <c r="E59" s="906" t="s">
        <v>721</v>
      </c>
      <c r="F59" s="2134" t="str">
        <f>IF(项目基本情况!B11="企业","——",IF('数据-取费表'!B10="住宅",IF(F49*F50*F51/12/(1+'数据-取费表'!F30)&gt;100000,4%,2.5%),IF(F49*F50*F51/12/(1+'数据-取费表'!F30)&gt;100000,12%,7%)))</f>
        <v>——</v>
      </c>
      <c r="I59" s="1355" t="s">
        <v>851</v>
      </c>
      <c r="J59" s="1356">
        <f ca="1">IF(OR(M47="住宅",J51&lt;L48,J56="是"),"——",ROUND(C29*J58,0))</f>
        <v>64180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IF(项目基本情况!B11="自然人","——",ROUND(C48*F60/(1+'数据-取费表'!C42),2))</f>
        <v>0</v>
      </c>
      <c r="D60" s="906" t="s">
        <v>724</v>
      </c>
      <c r="E60" s="892" t="s">
        <v>712</v>
      </c>
      <c r="F60" s="320">
        <f t="shared" ref="F60:F66" si="0">F32</f>
        <v>5.5000000000000007E-2</v>
      </c>
      <c r="I60" s="1358" t="s">
        <v>853</v>
      </c>
      <c r="J60" s="1359">
        <f ca="1">IF(OR(M47="住宅",J51&lt;L48,J56="是"),"0",ROUND(J59/(1+J52)^J53,0))</f>
        <v>5169</v>
      </c>
      <c r="K60" s="1360" t="s">
        <v>854</v>
      </c>
      <c r="L60" s="1359">
        <f ca="1">IF(OR(M47="住宅",L48&lt;J51),0,ROUND(L57*(L58/L59-1),0))</f>
        <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IF(项目基本情况!B11="自然人","——",IF(D61="按租金收入计税",ROUND(C49*F61/(1+'数据-取费表'!C42),2),IF(D61="按房产原值计税",ROUND(C57*F61*0.7,2),INDIRECT("'数据-取费表'!Aj"&amp;$G$1))))</f>
        <v>0</v>
      </c>
      <c r="D61" s="1273" t="s">
        <v>3334</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IF(项目基本情况!B11="自然人","——",ROUND(F62*F63/10000,2))</f>
        <v>6.34</v>
      </c>
      <c r="D62" s="907" t="s">
        <v>786</v>
      </c>
      <c r="E62" s="892" t="s">
        <v>787</v>
      </c>
      <c r="F62" s="315">
        <f t="shared" si="0"/>
        <v>1.5</v>
      </c>
      <c r="I62" s="1362" t="s">
        <v>858</v>
      </c>
      <c r="J62" s="608" t="s">
        <v>859</v>
      </c>
      <c r="K62" s="608" t="s">
        <v>860</v>
      </c>
      <c r="L62" s="608" t="s">
        <v>861</v>
      </c>
      <c r="M62" s="1363" t="s">
        <v>862</v>
      </c>
      <c r="O62" s="1320" t="s">
        <v>409</v>
      </c>
      <c r="P62" s="1321" t="s">
        <v>863</v>
      </c>
      <c r="Q62" s="1322">
        <f ca="1">Q56+Q57</f>
        <v>248860</v>
      </c>
      <c r="R62" s="1322" t="s">
        <v>410</v>
      </c>
    </row>
    <row r="63" spans="1:18" s="1287" customFormat="1" ht="13.5" thickBot="1">
      <c r="A63" s="316"/>
      <c r="B63" s="898"/>
      <c r="C63" s="26"/>
      <c r="D63" s="908"/>
      <c r="E63" s="892" t="s">
        <v>788</v>
      </c>
      <c r="F63" s="293">
        <f t="shared" ca="1" si="0"/>
        <v>42276.469999999994</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ROUND(C57*F64,2)</f>
        <v>481.35</v>
      </c>
      <c r="D64" s="906" t="s">
        <v>791</v>
      </c>
      <c r="E64" s="892" t="s">
        <v>783</v>
      </c>
      <c r="F64" s="318">
        <f t="shared" ca="1" si="0"/>
        <v>3.0000000000000001E-3</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ROUND(C56*F65,2)</f>
        <v>155.63999999999999</v>
      </c>
      <c r="D65" s="906" t="s">
        <v>743</v>
      </c>
      <c r="E65" s="892" t="s">
        <v>744</v>
      </c>
      <c r="F65" s="319">
        <f t="shared" ca="1" si="0"/>
        <v>1E-3</v>
      </c>
      <c r="I65" s="1362" t="s">
        <v>867</v>
      </c>
      <c r="J65" s="608">
        <v>40</v>
      </c>
      <c r="K65" s="608">
        <v>30</v>
      </c>
      <c r="L65" s="608">
        <v>50</v>
      </c>
      <c r="M65" s="1364">
        <v>0.02</v>
      </c>
      <c r="O65" s="1320" t="s">
        <v>403</v>
      </c>
      <c r="P65" s="1321" t="s">
        <v>868</v>
      </c>
      <c r="Q65" s="1322">
        <f ca="1">C40+J29</f>
        <v>248860</v>
      </c>
      <c r="R65" s="1322" t="s">
        <v>818</v>
      </c>
    </row>
    <row r="66" spans="1:18" s="1287" customFormat="1" ht="16.5" thickBot="1">
      <c r="A66" s="924" t="s">
        <v>793</v>
      </c>
      <c r="B66" s="892" t="s">
        <v>728</v>
      </c>
      <c r="C66" s="21">
        <f ca="1">ROUND(C48*F66,2)</f>
        <v>0</v>
      </c>
      <c r="D66" s="906" t="s">
        <v>794</v>
      </c>
      <c r="E66" s="892" t="s">
        <v>712</v>
      </c>
      <c r="F66" s="302">
        <f t="shared" ca="1" si="0"/>
        <v>5.0000000000000001E-3</v>
      </c>
      <c r="O66" s="1320" t="s">
        <v>404</v>
      </c>
      <c r="P66" s="1321" t="s">
        <v>846</v>
      </c>
      <c r="Q66" s="1322">
        <f ca="1">L60</f>
        <v>0</v>
      </c>
      <c r="R66" s="1322" t="s">
        <v>869</v>
      </c>
    </row>
    <row r="67" spans="1:18" s="1287" customFormat="1" ht="16.5" thickBot="1">
      <c r="A67" s="899" t="s">
        <v>394</v>
      </c>
      <c r="B67" s="909" t="s">
        <v>752</v>
      </c>
      <c r="C67" s="306">
        <f ca="1">C48-C58</f>
        <v>-643</v>
      </c>
      <c r="D67" s="905" t="s">
        <v>753</v>
      </c>
      <c r="E67" s="910"/>
      <c r="F67" s="911"/>
      <c r="O67" s="1329" t="s">
        <v>405</v>
      </c>
      <c r="P67" s="1321" t="s">
        <v>850</v>
      </c>
      <c r="Q67" s="1365">
        <f ca="1">L51</f>
        <v>62699</v>
      </c>
      <c r="R67" s="1322" t="s">
        <v>870</v>
      </c>
    </row>
    <row r="68" spans="1:18" s="1287" customFormat="1" ht="16.5" thickBot="1">
      <c r="A68" s="889" t="s">
        <v>395</v>
      </c>
      <c r="B68" s="890" t="s">
        <v>774</v>
      </c>
      <c r="C68" s="291">
        <f ca="1">ROUND(C67*(1-((1+F70)/(1+F68))^F69)/(F68-F70),0)</f>
        <v>-9308</v>
      </c>
      <c r="D68" s="907" t="s">
        <v>758</v>
      </c>
      <c r="E68" s="892" t="s">
        <v>759</v>
      </c>
      <c r="F68" s="302">
        <f ca="1">F40</f>
        <v>0.06</v>
      </c>
      <c r="O68" s="1329" t="s">
        <v>406</v>
      </c>
      <c r="P68" s="1366" t="s">
        <v>871</v>
      </c>
      <c r="Q68" s="1322">
        <f ca="1">ROUND(Q69-Q70*Q71,0)</f>
        <v>3610</v>
      </c>
      <c r="R68" s="1322" t="s">
        <v>414</v>
      </c>
    </row>
    <row r="69" spans="1:18" s="1287" customFormat="1" ht="13.5" thickBot="1">
      <c r="A69" s="893"/>
      <c r="B69" s="894"/>
      <c r="C69" s="296"/>
      <c r="D69" s="912" t="s">
        <v>762</v>
      </c>
      <c r="E69" s="892" t="s">
        <v>763</v>
      </c>
      <c r="F69" s="322">
        <f ca="1">F41</f>
        <v>34.83</v>
      </c>
      <c r="O69" s="1329" t="s">
        <v>411</v>
      </c>
      <c r="P69" s="1366" t="s">
        <v>872</v>
      </c>
      <c r="Q69" s="1322">
        <f ca="1">C39</f>
        <v>15283</v>
      </c>
      <c r="R69" s="1322" t="s">
        <v>818</v>
      </c>
    </row>
    <row r="70" spans="1:18" s="1287" customFormat="1" ht="13.5" thickBot="1">
      <c r="A70" s="896"/>
      <c r="B70" s="897"/>
      <c r="C70" s="300"/>
      <c r="D70" s="908"/>
      <c r="E70" s="892" t="s">
        <v>766</v>
      </c>
      <c r="F70" s="987"/>
      <c r="O70" s="1329" t="s">
        <v>412</v>
      </c>
      <c r="P70" s="1366" t="s">
        <v>873</v>
      </c>
      <c r="Q70" s="1322">
        <f ca="1">C13</f>
        <v>155637</v>
      </c>
      <c r="R70" s="1322" t="s">
        <v>818</v>
      </c>
    </row>
    <row r="71" spans="1:18" s="1287" customFormat="1" ht="13.5" thickBot="1">
      <c r="A71" s="913" t="s">
        <v>396</v>
      </c>
      <c r="B71" s="914" t="s">
        <v>776</v>
      </c>
      <c r="C71" s="325">
        <f ca="1">ROUND(C68*10000/F71,0)</f>
        <v>-605</v>
      </c>
      <c r="D71" s="915" t="s">
        <v>777</v>
      </c>
      <c r="E71" s="916" t="s">
        <v>778</v>
      </c>
      <c r="F71" s="328">
        <f ca="1">F43</f>
        <v>153794.32</v>
      </c>
      <c r="O71" s="1329" t="s">
        <v>413</v>
      </c>
      <c r="P71" s="1366" t="s">
        <v>874</v>
      </c>
      <c r="Q71" s="1332">
        <f ca="1">C76</f>
        <v>7.4999999999999997E-2</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11673</v>
      </c>
      <c r="D75" s="1287"/>
      <c r="E75" s="1287"/>
      <c r="F75" s="1287"/>
      <c r="K75" s="1304"/>
      <c r="L75" s="1287"/>
      <c r="O75" s="1320" t="s">
        <v>409</v>
      </c>
      <c r="P75" s="1321" t="s">
        <v>838</v>
      </c>
      <c r="Q75" s="1322">
        <f ca="1">Q65+Q66</f>
        <v>248860</v>
      </c>
      <c r="R75" s="1322" t="s">
        <v>410</v>
      </c>
    </row>
    <row r="76" spans="1:18">
      <c r="B76" s="331" t="s">
        <v>796</v>
      </c>
      <c r="C76" s="332">
        <f ca="1">INDIRECT("'数据-取费表'!j"&amp;$G$1)</f>
        <v>7.4999999999999997E-2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0.23599999999999999</v>
      </c>
    </row>
    <row r="80" spans="1:18">
      <c r="B80" s="329" t="s">
        <v>800</v>
      </c>
      <c r="C80" s="264">
        <f ca="1">ROUND(C75/C39,3)</f>
        <v>0.76400000000000001</v>
      </c>
    </row>
    <row r="81" spans="2:3">
      <c r="B81" s="260" t="s">
        <v>801</v>
      </c>
      <c r="C81" s="228"/>
    </row>
    <row r="82" spans="2:3">
      <c r="B82" s="263" t="s">
        <v>802</v>
      </c>
      <c r="C82" s="265">
        <f ca="1">1-C83</f>
        <v>0.375</v>
      </c>
    </row>
    <row r="83" spans="2:3">
      <c r="B83" s="263" t="s">
        <v>803</v>
      </c>
      <c r="C83" s="264">
        <f ca="1">ROUND(C13/C40,3)</f>
        <v>0.625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59"/>
      <c r="C1" s="1282"/>
      <c r="D1" s="1266" t="s">
        <v>43</v>
      </c>
      <c r="E1" s="1267" t="s">
        <v>678</v>
      </c>
      <c r="F1" s="995">
        <f ca="1">J53</f>
        <v>0</v>
      </c>
      <c r="G1" s="1281">
        <f>MATCH(C1,'数据-取费表'!A6:A16,0)+5</f>
        <v>7</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8" t="s">
        <v>878</v>
      </c>
      <c r="B2" s="3117" t="e">
        <f ca="1">ROUND(D2/10000,4)</f>
        <v>#DIV/0!</v>
      </c>
      <c r="C2" s="1284" t="s">
        <v>879</v>
      </c>
      <c r="D2" s="1370" t="e">
        <f ca="1">C40+J29+L46</f>
        <v>#DIV/0!</v>
      </c>
      <c r="E2" s="1290" t="s">
        <v>880</v>
      </c>
      <c r="F2" s="1291"/>
      <c r="G2" s="2472"/>
      <c r="H2" s="2462"/>
      <c r="I2" s="2462"/>
      <c r="J2" s="2462"/>
      <c r="K2" s="2463"/>
      <c r="L2" s="2462"/>
      <c r="M2" s="2462"/>
    </row>
    <row r="3" spans="1:37" ht="18" customHeight="1" thickBot="1">
      <c r="A3" s="1292" t="s">
        <v>881</v>
      </c>
      <c r="B3" s="1293">
        <f ca="1">IF(ISERROR(D2/F43),0,ROUND(D2/F43,0))</f>
        <v>0</v>
      </c>
      <c r="C3" s="1284" t="s">
        <v>882</v>
      </c>
      <c r="D3" s="1284"/>
      <c r="E3" s="1290"/>
      <c r="F3" s="1291"/>
      <c r="G3" s="2472"/>
      <c r="H3" s="645"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3">
        <f ca="1">C6+C10+C12</f>
        <v>0</v>
      </c>
      <c r="D5" s="1268" t="s">
        <v>889</v>
      </c>
      <c r="E5" s="1004"/>
      <c r="F5" s="1005"/>
      <c r="G5" s="1287"/>
      <c r="H5" s="289">
        <v>1</v>
      </c>
      <c r="I5" s="290" t="s">
        <v>888</v>
      </c>
      <c r="J5" s="1003">
        <f ca="1">J6+J10+J12</f>
        <v>0</v>
      </c>
      <c r="K5" s="1268" t="s">
        <v>889</v>
      </c>
      <c r="L5" s="1004"/>
      <c r="M5" s="1005"/>
    </row>
    <row r="6" spans="1:37" ht="18" customHeight="1">
      <c r="A6" s="1002" t="s">
        <v>398</v>
      </c>
      <c r="B6" s="3423" t="s">
        <v>694</v>
      </c>
      <c r="C6" s="1007">
        <f ca="1">ROUND(F6*F8*F7*(1-F9),0)</f>
        <v>0</v>
      </c>
      <c r="D6" s="145" t="s">
        <v>2106</v>
      </c>
      <c r="E6" s="292" t="s">
        <v>696</v>
      </c>
      <c r="F6" s="293">
        <f ca="1">INDIRECT("'数据-取费表'!u"&amp;$G$1)</f>
        <v>0</v>
      </c>
      <c r="G6" s="1287"/>
      <c r="H6" s="1002" t="s">
        <v>398</v>
      </c>
      <c r="I6" s="3423" t="s">
        <v>694</v>
      </c>
      <c r="J6" s="291">
        <f ca="1">ROUND(M6*M8*M7*(1-M9),0)</f>
        <v>0</v>
      </c>
      <c r="K6" s="1279" t="s">
        <v>2107</v>
      </c>
      <c r="L6" s="292" t="s">
        <v>696</v>
      </c>
      <c r="M6" s="293">
        <f ca="1">INDIRECT("'数据-取费表'!z"&amp;$G$1)</f>
        <v>0</v>
      </c>
    </row>
    <row r="7" spans="1:37" ht="18" customHeight="1">
      <c r="A7" s="1006"/>
      <c r="B7" s="3424"/>
      <c r="C7" s="1008"/>
      <c r="D7" s="297"/>
      <c r="E7" s="1009" t="s">
        <v>697</v>
      </c>
      <c r="F7" s="293">
        <f ca="1">IF(INDIRECT("'数据-取费表'!ah"&amp;$G$1)="",INDIRECT("'数据-取费表'!k"&amp;$G$1),INDIRECT("'数据-取费表'!ah"&amp;$G$1))</f>
        <v>0</v>
      </c>
      <c r="G7" s="1287"/>
      <c r="H7" s="294"/>
      <c r="I7" s="3424"/>
      <c r="J7" s="296"/>
      <c r="K7" s="297"/>
      <c r="L7" s="292" t="s">
        <v>697</v>
      </c>
      <c r="M7" s="293">
        <f ca="1">F7</f>
        <v>0</v>
      </c>
    </row>
    <row r="8" spans="1:37" ht="18" customHeight="1">
      <c r="A8" s="294"/>
      <c r="B8" s="3424"/>
      <c r="C8" s="296"/>
      <c r="D8" s="297"/>
      <c r="E8" s="292" t="s">
        <v>698</v>
      </c>
      <c r="F8" s="293">
        <f ca="1">INDIRECT("'数据-取费表'!ai"&amp;$G$1)</f>
        <v>0</v>
      </c>
      <c r="G8" s="1287"/>
      <c r="H8" s="294"/>
      <c r="I8" s="3424"/>
      <c r="J8" s="296"/>
      <c r="K8" s="297"/>
      <c r="L8" s="292" t="s">
        <v>698</v>
      </c>
      <c r="M8" s="293">
        <f ca="1">INDIRECT("'数据-取费表'!ai"&amp;$G$1)</f>
        <v>0</v>
      </c>
    </row>
    <row r="9" spans="1:37" ht="18" customHeight="1">
      <c r="A9" s="294"/>
      <c r="B9" s="3425"/>
      <c r="C9" s="296"/>
      <c r="D9" s="297"/>
      <c r="E9" s="292" t="s">
        <v>699</v>
      </c>
      <c r="F9" s="302">
        <f ca="1">INDIRECT("'数据-取费表'!w"&amp;$G$1)</f>
        <v>0</v>
      </c>
      <c r="G9" s="1287"/>
      <c r="H9" s="294"/>
      <c r="I9" s="3425"/>
      <c r="J9" s="296"/>
      <c r="K9" s="297"/>
      <c r="L9" s="303" t="s">
        <v>699</v>
      </c>
      <c r="M9" s="304">
        <f ca="1">INDIRECT("'数据-取费表'!ab"&amp;$G$1)</f>
        <v>0</v>
      </c>
    </row>
    <row r="10" spans="1:37" ht="18" customHeight="1">
      <c r="A10" s="1002" t="s">
        <v>402</v>
      </c>
      <c r="B10" s="1269" t="s">
        <v>700</v>
      </c>
      <c r="C10" s="306">
        <f ca="1">ROUND(IF(F10="押一",C6/12*F11,IF(F10="押二",C6/12*2*F11,IF(F10="押三",C6/12*3*F11,C11*F11))),0)</f>
        <v>0</v>
      </c>
      <c r="D10" s="148" t="s">
        <v>2116</v>
      </c>
      <c r="E10" s="303" t="s">
        <v>701</v>
      </c>
      <c r="F10" s="1049"/>
      <c r="G10" s="1287"/>
      <c r="H10" s="1002" t="s">
        <v>402</v>
      </c>
      <c r="I10" s="1269" t="s">
        <v>700</v>
      </c>
      <c r="J10" s="291">
        <f ca="1">ROUND(IF(M10="押一",J6/12*M11,IF(M10="押二",J6/12*2*M11,IF(M10="押三",J6/12*3*M11,J11*M11))),0)</f>
        <v>0</v>
      </c>
      <c r="K10" s="1280" t="s">
        <v>2118</v>
      </c>
      <c r="L10" s="303" t="s">
        <v>701</v>
      </c>
      <c r="M10" s="1049"/>
    </row>
    <row r="11" spans="1:37" ht="18" customHeight="1">
      <c r="A11" s="298"/>
      <c r="B11" s="1270" t="s">
        <v>890</v>
      </c>
      <c r="C11" s="901"/>
      <c r="D11" s="297"/>
      <c r="E11" s="303" t="s">
        <v>702</v>
      </c>
      <c r="F11" s="304">
        <f ca="1">'数据-取费表'!B39</f>
        <v>1.4999999999999999E-2</v>
      </c>
      <c r="G11" s="1287"/>
      <c r="H11" s="1010"/>
      <c r="I11" s="1270" t="s">
        <v>891</v>
      </c>
      <c r="J11" s="901"/>
      <c r="K11" s="642"/>
      <c r="L11" s="303" t="s">
        <v>702</v>
      </c>
      <c r="M11" s="805">
        <f ca="1">'数据-取费表'!B39</f>
        <v>1.4999999999999999E-2</v>
      </c>
    </row>
    <row r="12" spans="1:37" ht="18" customHeight="1" thickBot="1">
      <c r="A12" s="1016" t="s">
        <v>437</v>
      </c>
      <c r="B12" s="1272" t="s">
        <v>703</v>
      </c>
      <c r="C12" s="1017"/>
      <c r="D12" s="1018"/>
      <c r="E12" s="1023"/>
      <c r="F12" s="1019"/>
      <c r="G12" s="1287"/>
      <c r="H12" s="1016" t="s">
        <v>437</v>
      </c>
      <c r="I12" s="1272" t="s">
        <v>703</v>
      </c>
      <c r="J12" s="1017"/>
      <c r="K12" s="1031"/>
      <c r="L12" s="1023"/>
      <c r="M12" s="1032"/>
    </row>
    <row r="13" spans="1:37" ht="18" customHeight="1" thickTop="1">
      <c r="A13" s="1012">
        <v>2</v>
      </c>
      <c r="B13" s="1013" t="s">
        <v>704</v>
      </c>
      <c r="C13" s="300">
        <f ca="1">ROUND(C29*F13,0)</f>
        <v>0</v>
      </c>
      <c r="D13" s="1014" t="s">
        <v>705</v>
      </c>
      <c r="E13" s="1014" t="s">
        <v>706</v>
      </c>
      <c r="F13" s="1015">
        <f ca="1">INDIRECT("'数据-取费表'!y"&amp;$G$1)</f>
        <v>0</v>
      </c>
      <c r="G13" s="1287"/>
      <c r="H13" s="1012">
        <v>2</v>
      </c>
      <c r="I13" s="1013" t="s">
        <v>704</v>
      </c>
      <c r="J13" s="1001">
        <f ca="1">ROUND(J14*J15,0)</f>
        <v>0</v>
      </c>
      <c r="K13" s="1020" t="s">
        <v>705</v>
      </c>
      <c r="L13" s="1294"/>
      <c r="M13" s="1295"/>
    </row>
    <row r="14" spans="1:37" ht="18" customHeight="1">
      <c r="A14" s="924" t="s">
        <v>397</v>
      </c>
      <c r="B14" s="292" t="s">
        <v>707</v>
      </c>
      <c r="C14" s="308">
        <f ca="1">ROUND(INDIRECT("'数据-取费表'!l"&amp;$G$1)*F43+'数据-取费表'!L14*INDIRECT("'数据-取费表'!S"&amp;$G$1),0)</f>
        <v>0</v>
      </c>
      <c r="D14" s="1252" t="s">
        <v>708</v>
      </c>
      <c r="E14" s="1250"/>
      <c r="F14" s="309"/>
      <c r="G14" s="1287"/>
      <c r="H14" s="924" t="s">
        <v>398</v>
      </c>
      <c r="I14" s="292" t="s">
        <v>709</v>
      </c>
      <c r="J14" s="21">
        <f ca="1">C29</f>
        <v>0</v>
      </c>
      <c r="K14" s="12"/>
      <c r="L14" s="755"/>
      <c r="M14" s="756"/>
    </row>
    <row r="15" spans="1:37" s="1299" customFormat="1" ht="18" customHeight="1" thickBot="1">
      <c r="A15" s="924" t="s">
        <v>399</v>
      </c>
      <c r="B15" s="292" t="s">
        <v>710</v>
      </c>
      <c r="C15" s="21">
        <f ca="1">ROUND(C14*F15,0)</f>
        <v>0</v>
      </c>
      <c r="D15" s="310" t="s">
        <v>711</v>
      </c>
      <c r="E15" s="310" t="s">
        <v>712</v>
      </c>
      <c r="F15" s="311">
        <f>'数据-取费表'!B33</f>
        <v>0.06</v>
      </c>
      <c r="G15" s="1298"/>
      <c r="H15" s="1022" t="s">
        <v>402</v>
      </c>
      <c r="I15" s="1023" t="s">
        <v>706</v>
      </c>
      <c r="J15" s="1032">
        <f ca="1">INDIRECT("'数据-取费表'!ad"&amp;$G$1)</f>
        <v>0</v>
      </c>
      <c r="K15" s="1033"/>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0</v>
      </c>
      <c r="D16" s="292" t="s">
        <v>711</v>
      </c>
      <c r="E16" s="292" t="s">
        <v>712</v>
      </c>
      <c r="F16" s="312">
        <f ca="1">IF(INDIRECT("'数据-取费表'!c"&amp;$G$1)="住宅",'数据-取费表'!B34,0)</f>
        <v>0</v>
      </c>
      <c r="G16" s="1287"/>
      <c r="H16" s="1012" t="s">
        <v>393</v>
      </c>
      <c r="I16" s="1013" t="s">
        <v>714</v>
      </c>
      <c r="J16" s="300">
        <f ca="1">ROUND(J17+J22+J23+J24,0)</f>
        <v>0</v>
      </c>
      <c r="K16" s="1020" t="s">
        <v>715</v>
      </c>
      <c r="L16" s="1021"/>
      <c r="M16" s="1005"/>
    </row>
    <row r="17" spans="1:37" s="1299" customFormat="1" ht="18" customHeight="1">
      <c r="A17" s="924" t="s">
        <v>681</v>
      </c>
      <c r="B17" s="292" t="s">
        <v>716</v>
      </c>
      <c r="C17" s="21">
        <f ca="1">ROUND(F17*(F43+INDIRECT("'数据-取费表'!S"&amp;$G$1)),0)</f>
        <v>0</v>
      </c>
      <c r="D17" s="292" t="s">
        <v>717</v>
      </c>
      <c r="E17" s="292" t="s">
        <v>718</v>
      </c>
      <c r="F17" s="23">
        <f>'数据-取费表'!B35</f>
        <v>200</v>
      </c>
      <c r="G17" s="1298"/>
      <c r="H17" s="924" t="s">
        <v>398</v>
      </c>
      <c r="I17" s="292" t="s">
        <v>719</v>
      </c>
      <c r="J17" s="2135">
        <f ca="1">ROUND(IF(AND(项目基本情况!B11="自然人",项目基本情况!B10="北京市"),J6*M17/(1+'数据-取费表'!C42),J18+J19+J20),0)</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1" t="s">
        <v>726</v>
      </c>
      <c r="E19" s="1264"/>
      <c r="F19" s="23"/>
      <c r="G19" s="1287"/>
      <c r="H19" s="924" t="s">
        <v>399</v>
      </c>
      <c r="I19" s="292" t="s">
        <v>727</v>
      </c>
      <c r="J19" s="21">
        <f ca="1">IF(K19="按租金收入计税",ROUND(J6*M19/(1+'数据-取费表'!C42),0),ROUND(C29*M19*0.7,0))</f>
        <v>0</v>
      </c>
      <c r="K19" s="1273" t="s">
        <v>3334</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0.03</v>
      </c>
      <c r="G20" s="1298"/>
      <c r="H20" s="924" t="s">
        <v>680</v>
      </c>
      <c r="I20" s="145" t="s">
        <v>730</v>
      </c>
      <c r="J20" s="22">
        <f ca="1">ROUND(M20*M21,0)</f>
        <v>0</v>
      </c>
      <c r="K20" s="314" t="s">
        <v>731</v>
      </c>
      <c r="L20" s="292" t="s">
        <v>732</v>
      </c>
      <c r="M20" s="315">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0.02</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ROUND(J14*M22,0)</f>
        <v>0</v>
      </c>
      <c r="K22" s="1251" t="s">
        <v>739</v>
      </c>
      <c r="L22" s="292" t="s">
        <v>712</v>
      </c>
      <c r="M22" s="318">
        <f ca="1">INDIRECT("'数据-取费表'!Ak"&amp;$G$1)</f>
        <v>0</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4" t="s">
        <v>437</v>
      </c>
      <c r="I23" s="292" t="s">
        <v>742</v>
      </c>
      <c r="J23" s="21">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298"/>
      <c r="H24" s="1022" t="s">
        <v>684</v>
      </c>
      <c r="I24" s="1023" t="s">
        <v>728</v>
      </c>
      <c r="J24" s="1024">
        <f ca="1">ROUND(J5*M24,0)</f>
        <v>0</v>
      </c>
      <c r="K24" s="1025" t="s">
        <v>748</v>
      </c>
      <c r="L24" s="1023" t="s">
        <v>744</v>
      </c>
      <c r="M24" s="1019">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1" t="s">
        <v>751</v>
      </c>
      <c r="E25" s="1264"/>
      <c r="F25" s="23"/>
      <c r="G25" s="1287"/>
      <c r="H25" s="1012" t="s">
        <v>394</v>
      </c>
      <c r="I25" s="1027" t="s">
        <v>752</v>
      </c>
      <c r="J25" s="300">
        <f ca="1">J5-J16</f>
        <v>0</v>
      </c>
      <c r="K25" s="1028" t="s">
        <v>753</v>
      </c>
      <c r="L25" s="1029"/>
      <c r="M25" s="1030"/>
    </row>
    <row r="26" spans="1:37" ht="18" customHeight="1">
      <c r="A26" s="924" t="s">
        <v>397</v>
      </c>
      <c r="B26" s="292" t="s">
        <v>754</v>
      </c>
      <c r="C26" s="21">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4" t="s">
        <v>399</v>
      </c>
      <c r="B27" s="292" t="s">
        <v>760</v>
      </c>
      <c r="C27" s="21">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2" t="s">
        <v>401</v>
      </c>
      <c r="B29" s="1023" t="s">
        <v>767</v>
      </c>
      <c r="C29" s="1024">
        <f ca="1">ROUND((C19+C20+C23+C26)/(1-F21-C24-C27-C28),0)</f>
        <v>0</v>
      </c>
      <c r="D29" s="1025"/>
      <c r="E29" s="1023"/>
      <c r="F29" s="1026"/>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2" t="s">
        <v>393</v>
      </c>
      <c r="B30" s="1013" t="s">
        <v>714</v>
      </c>
      <c r="C30" s="300">
        <f ca="1">ROUND(C31+C36+C37+C38,0)</f>
        <v>0</v>
      </c>
      <c r="D30" s="1020" t="s">
        <v>715</v>
      </c>
      <c r="E30" s="1021"/>
      <c r="F30" s="1005"/>
      <c r="G30" s="1287"/>
      <c r="H30" s="2464"/>
      <c r="I30" s="1300"/>
      <c r="J30" s="1301"/>
      <c r="K30" s="119"/>
      <c r="L30" s="2465"/>
      <c r="M30" s="2466"/>
    </row>
    <row r="31" spans="1:37" ht="18" customHeight="1">
      <c r="A31" s="924" t="s">
        <v>398</v>
      </c>
      <c r="B31" s="292" t="s">
        <v>719</v>
      </c>
      <c r="C31" s="2135">
        <f ca="1">ROUND(IF(AND(项目基本情况!B11="自然人",项目基本情况!B10="北京市"),C6*F31/(1+'数据-取费表'!C42),C32+C33+C34),0)</f>
        <v>0</v>
      </c>
      <c r="D31" s="1252" t="s">
        <v>720</v>
      </c>
      <c r="E31" s="1251" t="s">
        <v>770</v>
      </c>
      <c r="F31" s="2134" t="str">
        <f>IF(项目基本情况!B11="企业","——",IF(M47="住宅",IF(F6*F7*F8/12/(1+'数据-取费表'!F30)&gt;100000,4%,2.5%),IF(F6*F7*F8/12/(1+'数据-取费表'!F30)&gt;100000,12%,7%)))</f>
        <v>——</v>
      </c>
      <c r="G31" s="1287"/>
      <c r="H31" s="2563" t="s">
        <v>2304</v>
      </c>
      <c r="I31" s="1300"/>
      <c r="J31" s="1301"/>
      <c r="K31" s="119"/>
      <c r="L31" s="2465"/>
      <c r="M31" s="2466"/>
    </row>
    <row r="32" spans="1:37" ht="18" customHeight="1">
      <c r="A32" s="924" t="s">
        <v>397</v>
      </c>
      <c r="B32" s="292" t="s">
        <v>723</v>
      </c>
      <c r="C32" s="21">
        <f ca="1">IF(项目基本情况!B11="自然人","——",ROUND(C6*F32/(1+'数据-取费表'!C42),0))</f>
        <v>0</v>
      </c>
      <c r="D32" s="1251" t="s">
        <v>724</v>
      </c>
      <c r="E32" s="292" t="s">
        <v>712</v>
      </c>
      <c r="F32" s="320">
        <f>'数据-取费表'!B41</f>
        <v>5.5000000000000007E-2</v>
      </c>
      <c r="G32" s="1287"/>
      <c r="H32" s="2464"/>
      <c r="I32" s="1300"/>
      <c r="J32" s="1301"/>
      <c r="K32" s="119"/>
      <c r="L32" s="2465"/>
      <c r="M32" s="2466"/>
    </row>
    <row r="33" spans="1:18" ht="18" customHeight="1">
      <c r="A33" s="924" t="s">
        <v>399</v>
      </c>
      <c r="B33" s="292" t="s">
        <v>727</v>
      </c>
      <c r="C33" s="21">
        <f ca="1">IF(项目基本情况!B11="自然人","——",IF(D33="按租金收入计税",ROUND(C6*F33/(1+'数据-取费表'!C42),0),IF(D33="按房产原值计税",ROUND(C29*F33*0.7,0),INDIRECT("'数据-取费表'!Aj"&amp;$G$1))))</f>
        <v>0</v>
      </c>
      <c r="D33" s="1273" t="s">
        <v>3334</v>
      </c>
      <c r="E33" s="292" t="s">
        <v>712</v>
      </c>
      <c r="F33" s="312">
        <f>IF(D33="按票据","——",IF(D33="按租金收入计税",'数据-取费表'!B51,'数据-取费表'!B50))</f>
        <v>0.12</v>
      </c>
      <c r="G33" s="1287"/>
      <c r="H33" s="2467"/>
      <c r="I33" s="1300"/>
      <c r="J33" s="1301"/>
      <c r="K33" s="2468"/>
      <c r="L33" s="2467"/>
      <c r="M33" s="2467"/>
    </row>
    <row r="34" spans="1:18" ht="18" customHeight="1">
      <c r="A34" s="1002" t="s">
        <v>680</v>
      </c>
      <c r="B34" s="145" t="s">
        <v>730</v>
      </c>
      <c r="C34" s="22">
        <f ca="1">IF(项目基本情况!B11="自然人","——",ROUND(F34*F35,0))</f>
        <v>0</v>
      </c>
      <c r="D34" s="314" t="s">
        <v>731</v>
      </c>
      <c r="E34" s="292" t="s">
        <v>732</v>
      </c>
      <c r="F34" s="315">
        <f>'数据-取费表'!B52</f>
        <v>1.5</v>
      </c>
      <c r="G34" s="1287"/>
      <c r="H34" s="2464"/>
      <c r="I34" s="1300"/>
      <c r="J34" s="1301"/>
      <c r="K34" s="2469"/>
      <c r="L34" s="2470"/>
      <c r="M34" s="2470"/>
    </row>
    <row r="35" spans="1:18" ht="18" customHeight="1">
      <c r="A35" s="1036"/>
      <c r="B35" s="1034"/>
      <c r="C35" s="26"/>
      <c r="D35" s="317"/>
      <c r="E35" s="292" t="s">
        <v>736</v>
      </c>
      <c r="F35" s="293">
        <f ca="1">INDIRECT("'数据-取费表'!r"&amp;$G$1)</f>
        <v>0</v>
      </c>
      <c r="G35" s="1287"/>
      <c r="H35" s="2464"/>
      <c r="I35" s="1300"/>
      <c r="J35" s="1301"/>
      <c r="K35" s="2468"/>
      <c r="L35" s="2467"/>
      <c r="M35" s="2467"/>
    </row>
    <row r="36" spans="1:18" ht="18" customHeight="1">
      <c r="A36" s="1035" t="s">
        <v>402</v>
      </c>
      <c r="B36" s="292" t="s">
        <v>738</v>
      </c>
      <c r="C36" s="21">
        <f ca="1">ROUND(C29*F36,0)</f>
        <v>0</v>
      </c>
      <c r="D36" s="1251" t="s">
        <v>771</v>
      </c>
      <c r="E36" s="292" t="s">
        <v>712</v>
      </c>
      <c r="F36" s="318">
        <f ca="1">INDIRECT("'数据-取费表'!Ak"&amp;$G$1)</f>
        <v>0</v>
      </c>
      <c r="G36" s="1287"/>
      <c r="H36" s="2467"/>
      <c r="I36" s="1300"/>
      <c r="J36" s="1301"/>
      <c r="K36" s="2325"/>
      <c r="L36" s="2467"/>
      <c r="M36" s="2467"/>
    </row>
    <row r="37" spans="1:18" ht="18" customHeight="1">
      <c r="A37" s="924" t="s">
        <v>437</v>
      </c>
      <c r="B37" s="292" t="s">
        <v>742</v>
      </c>
      <c r="C37" s="21">
        <f ca="1">ROUND(C13*F37,0)</f>
        <v>0</v>
      </c>
      <c r="D37" s="1251" t="s">
        <v>743</v>
      </c>
      <c r="E37" s="292" t="s">
        <v>744</v>
      </c>
      <c r="F37" s="319">
        <f ca="1">INDIRECT("'数据-取费表'!Al"&amp;$G$1)</f>
        <v>0</v>
      </c>
      <c r="G37" s="1287"/>
      <c r="H37" s="2467"/>
      <c r="I37" s="1300"/>
      <c r="J37" s="1301"/>
      <c r="K37" s="2325"/>
      <c r="L37" s="2467"/>
      <c r="M37" s="2467"/>
    </row>
    <row r="38" spans="1:18" ht="18" customHeight="1" thickBot="1">
      <c r="A38" s="1022" t="s">
        <v>684</v>
      </c>
      <c r="B38" s="1023" t="s">
        <v>728</v>
      </c>
      <c r="C38" s="1024">
        <f ca="1">ROUND(C5*F38,0)</f>
        <v>0</v>
      </c>
      <c r="D38" s="1025" t="s">
        <v>748</v>
      </c>
      <c r="E38" s="1023" t="s">
        <v>744</v>
      </c>
      <c r="F38" s="1019">
        <f ca="1">INDIRECT("'数据-取费表'!Am"&amp;$G$1)</f>
        <v>0</v>
      </c>
      <c r="G38" s="1287"/>
      <c r="H38" s="2467"/>
      <c r="I38" s="1300"/>
      <c r="J38" s="1301"/>
      <c r="K38" s="2465"/>
      <c r="L38" s="2467"/>
      <c r="M38" s="2467"/>
    </row>
    <row r="39" spans="1:18" ht="24.6" customHeight="1" thickTop="1">
      <c r="A39" s="1012" t="s">
        <v>394</v>
      </c>
      <c r="B39" s="1027" t="s">
        <v>772</v>
      </c>
      <c r="C39" s="300">
        <f ca="1">C5-C30</f>
        <v>0</v>
      </c>
      <c r="D39" s="1028" t="s">
        <v>773</v>
      </c>
      <c r="E39" s="1029"/>
      <c r="F39" s="1030"/>
      <c r="G39" s="1287"/>
      <c r="H39" s="2467"/>
      <c r="I39" s="1300"/>
      <c r="J39" s="1301"/>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5"/>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5"/>
      <c r="L41" s="119"/>
      <c r="M41" s="119"/>
    </row>
    <row r="42" spans="1:18" ht="18" customHeight="1">
      <c r="A42" s="298"/>
      <c r="B42" s="299"/>
      <c r="C42" s="300"/>
      <c r="D42" s="317"/>
      <c r="E42" s="292" t="s">
        <v>766</v>
      </c>
      <c r="F42" s="302">
        <f ca="1">INDIRECT("'数据-取费表'!v"&amp;$G$1)</f>
        <v>0</v>
      </c>
      <c r="G42" s="1287"/>
      <c r="H42" s="119"/>
      <c r="I42" s="1300"/>
      <c r="J42" s="1301"/>
      <c r="K42" s="2325"/>
      <c r="L42" s="119"/>
      <c r="M42" s="119"/>
    </row>
    <row r="43" spans="1:18" ht="18" customHeight="1" thickBot="1">
      <c r="A43" s="323" t="s">
        <v>396</v>
      </c>
      <c r="B43" s="324" t="s">
        <v>776</v>
      </c>
      <c r="C43" s="325" t="e">
        <f ca="1">ROUND(C40/F43,0)</f>
        <v>#DIV/0!</v>
      </c>
      <c r="D43" s="326" t="s">
        <v>777</v>
      </c>
      <c r="E43" s="327" t="s">
        <v>778</v>
      </c>
      <c r="F43" s="328">
        <f ca="1">INDIRECT("'数据-取费表'!k"&amp;$G$1)</f>
        <v>0</v>
      </c>
      <c r="G43" s="1287"/>
      <c r="H43" s="119"/>
      <c r="I43" s="119"/>
      <c r="J43" s="119"/>
      <c r="K43" s="2325"/>
      <c r="L43" s="119"/>
      <c r="M43" s="119"/>
    </row>
    <row r="44" spans="1:18" s="1287" customFormat="1" ht="18" customHeight="1">
      <c r="A44" s="1302"/>
      <c r="B44" s="1302"/>
      <c r="C44" s="1303"/>
      <c r="D44" s="1302"/>
      <c r="E44" s="1302"/>
      <c r="F44" s="1302"/>
      <c r="K44" s="1304"/>
    </row>
    <row r="45" spans="1:18" s="1287" customFormat="1" ht="18" customHeight="1" thickBot="1">
      <c r="A45" s="3123" t="s">
        <v>3350</v>
      </c>
      <c r="B45" s="1302"/>
      <c r="C45" s="1371" t="e">
        <f ca="1">ROUND((C68-C40)/10000,4)</f>
        <v>#DIV/0!</v>
      </c>
      <c r="D45" s="3124" t="s">
        <v>3351</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8" t="s">
        <v>687</v>
      </c>
      <c r="B47" s="920" t="s">
        <v>688</v>
      </c>
      <c r="C47" s="920" t="s">
        <v>689</v>
      </c>
      <c r="D47" s="920" t="s">
        <v>690</v>
      </c>
      <c r="E47" s="991" t="s">
        <v>691</v>
      </c>
      <c r="F47" s="992"/>
      <c r="G47" s="677"/>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3" t="s">
        <v>438</v>
      </c>
      <c r="B48" s="290" t="s">
        <v>692</v>
      </c>
      <c r="C48" s="1263">
        <f ca="1">C49+C53+C55</f>
        <v>0</v>
      </c>
      <c r="D48" s="1045"/>
      <c r="E48" s="1046"/>
      <c r="F48" s="904"/>
      <c r="G48" s="677"/>
      <c r="H48" s="678"/>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7" t="s">
        <v>439</v>
      </c>
      <c r="B49" s="1274" t="s">
        <v>779</v>
      </c>
      <c r="C49" s="1047">
        <f ca="1">ROUND(F49*F51*F50*(1-F52),0)</f>
        <v>0</v>
      </c>
      <c r="D49" s="988" t="s">
        <v>695</v>
      </c>
      <c r="E49" s="1275" t="s">
        <v>780</v>
      </c>
      <c r="F49" s="993"/>
      <c r="H49" s="678"/>
      <c r="I49" s="1323" t="s">
        <v>823</v>
      </c>
      <c r="J49" s="1327"/>
      <c r="K49" s="1325" t="s">
        <v>824</v>
      </c>
      <c r="L49" s="1328"/>
      <c r="O49" s="1329" t="s">
        <v>405</v>
      </c>
      <c r="P49" s="1321" t="s">
        <v>825</v>
      </c>
      <c r="Q49" s="1322">
        <f ca="1">C29</f>
        <v>0</v>
      </c>
      <c r="R49" s="1322" t="s">
        <v>818</v>
      </c>
    </row>
    <row r="50" spans="1:18" s="1287" customFormat="1" ht="13.5" thickBot="1">
      <c r="A50" s="918"/>
      <c r="B50" s="921"/>
      <c r="C50" s="922"/>
      <c r="D50" s="895"/>
      <c r="E50" s="989" t="s">
        <v>697</v>
      </c>
      <c r="F50" s="990">
        <f ca="1">F7</f>
        <v>0</v>
      </c>
      <c r="H50" s="678"/>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9"/>
      <c r="B51" s="921"/>
      <c r="C51" s="922"/>
      <c r="D51" s="895"/>
      <c r="E51" s="923"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9"/>
      <c r="B52" s="921"/>
      <c r="C52" s="922"/>
      <c r="D52" s="895"/>
      <c r="E52" s="923" t="s">
        <v>699</v>
      </c>
      <c r="F52" s="987"/>
      <c r="I52" s="1337" t="s">
        <v>832</v>
      </c>
      <c r="J52" s="1338"/>
      <c r="K52" s="1337" t="s">
        <v>833</v>
      </c>
      <c r="L52" s="1338"/>
      <c r="O52" s="1329" t="s">
        <v>408</v>
      </c>
      <c r="P52" s="1321" t="s">
        <v>834</v>
      </c>
      <c r="Q52" s="1322">
        <f ca="1">J53</f>
        <v>0</v>
      </c>
      <c r="R52" s="1322" t="s">
        <v>835</v>
      </c>
    </row>
    <row r="53" spans="1:18" s="1287" customFormat="1" ht="30.75" customHeight="1" thickBot="1">
      <c r="A53" s="1044" t="s">
        <v>440</v>
      </c>
      <c r="B53" s="313" t="s">
        <v>700</v>
      </c>
      <c r="C53" s="306">
        <f ca="1">ROUND(IF(F53="押一",C49/12*F11,IF(F53="押二",C49/12*2*F11,IF(F53="押三",C49/12*3*F11,C54*F11))),0)</f>
        <v>0</v>
      </c>
      <c r="D53" s="148" t="s">
        <v>2119</v>
      </c>
      <c r="E53" s="303" t="s">
        <v>701</v>
      </c>
      <c r="F53" s="1049"/>
      <c r="I53" s="1339" t="s">
        <v>836</v>
      </c>
      <c r="J53" s="2001">
        <f ca="1">IF(M47="住宅",IF(D1="——",MAX(J51,L48),MAX(J51,L48-'数据-取费表'!B24)),IF(D1="——",MIN(J51,L48),MIN(J51,L48-'数据-取费表'!B24)))</f>
        <v>0</v>
      </c>
      <c r="K53" s="3421" t="s">
        <v>837</v>
      </c>
      <c r="L53" s="3422"/>
      <c r="O53" s="1320" t="s">
        <v>409</v>
      </c>
      <c r="P53" s="1321" t="s">
        <v>838</v>
      </c>
      <c r="Q53" s="1322" t="e">
        <f ca="1">Q47+Q48</f>
        <v>#DIV/0!</v>
      </c>
      <c r="R53" s="1322" t="s">
        <v>410</v>
      </c>
    </row>
    <row r="54" spans="1:18" s="1287" customFormat="1" ht="13.5"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6" t="s">
        <v>437</v>
      </c>
      <c r="B55" s="1272" t="s">
        <v>703</v>
      </c>
      <c r="C55" s="1017"/>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9">
        <v>2</v>
      </c>
      <c r="B56" s="900"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2"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900" t="s">
        <v>714</v>
      </c>
      <c r="C58" s="306">
        <f ca="1">ROUND(C59+C64+C65+C66,0)</f>
        <v>0</v>
      </c>
      <c r="D58" s="902" t="s">
        <v>715</v>
      </c>
      <c r="E58" s="903"/>
      <c r="F58" s="904"/>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4" t="s">
        <v>398</v>
      </c>
      <c r="B59" s="892" t="s">
        <v>719</v>
      </c>
      <c r="C59" s="2135">
        <f ca="1">ROUND(IF(AND(项目基本情况!B11="自然人",项目基本情况!B10="北京市"),C49*F59/(1+'数据-取费表'!C42),C60+C61+C62),0)</f>
        <v>0</v>
      </c>
      <c r="D59" s="905" t="s">
        <v>720</v>
      </c>
      <c r="E59" s="906" t="s">
        <v>721</v>
      </c>
      <c r="F59" s="2134"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4" t="s">
        <v>397</v>
      </c>
      <c r="B60" s="892" t="s">
        <v>723</v>
      </c>
      <c r="C60" s="21">
        <f ca="1">IF(项目基本情况!B11="自然人","——",ROUND(C48*F60/(1+'数据-取费表'!C42),0))</f>
        <v>0</v>
      </c>
      <c r="D60" s="906" t="s">
        <v>724</v>
      </c>
      <c r="E60" s="892" t="s">
        <v>712</v>
      </c>
      <c r="F60" s="320">
        <f t="shared" ref="F60:F66" si="0">F32</f>
        <v>5.5000000000000007E-2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4" t="s">
        <v>781</v>
      </c>
      <c r="B61" s="892" t="s">
        <v>782</v>
      </c>
      <c r="C61" s="21">
        <f ca="1">IF(项目基本情况!B11="自然人","——",IF(D61="按租金收入计税",ROUND(C49*F61/(1+'数据-取费表'!C42),0),IF(D61="按房产原值计税",ROUND(C57*F61*0.7,0),INDIRECT("'数据-取费表'!Aj"&amp;$G$1))))</f>
        <v>0</v>
      </c>
      <c r="D61" s="1273" t="s">
        <v>3334</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4" t="s">
        <v>784</v>
      </c>
      <c r="B62" s="891" t="s">
        <v>785</v>
      </c>
      <c r="C62" s="22">
        <f ca="1">IF(项目基本情况!B11="自然人","——",ROUND(F62*F63,0))</f>
        <v>0</v>
      </c>
      <c r="D62" s="907" t="s">
        <v>786</v>
      </c>
      <c r="E62" s="892" t="s">
        <v>787</v>
      </c>
      <c r="F62" s="315">
        <f t="shared" si="0"/>
        <v>1.5</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4" t="s">
        <v>789</v>
      </c>
      <c r="B64" s="892" t="s">
        <v>790</v>
      </c>
      <c r="C64" s="21">
        <f ca="1">ROUND(C57*F64,0)</f>
        <v>0</v>
      </c>
      <c r="D64" s="906" t="s">
        <v>791</v>
      </c>
      <c r="E64" s="892"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4" t="s">
        <v>792</v>
      </c>
      <c r="B65" s="892" t="s">
        <v>742</v>
      </c>
      <c r="C65" s="21">
        <f ca="1">ROUND(C56*F65,0)</f>
        <v>0</v>
      </c>
      <c r="D65" s="906" t="s">
        <v>743</v>
      </c>
      <c r="E65" s="892"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4" t="s">
        <v>793</v>
      </c>
      <c r="B66" s="892" t="s">
        <v>728</v>
      </c>
      <c r="C66" s="21">
        <f ca="1">ROUND(C48*F66,0)</f>
        <v>0</v>
      </c>
      <c r="D66" s="906" t="s">
        <v>794</v>
      </c>
      <c r="E66" s="892" t="s">
        <v>712</v>
      </c>
      <c r="F66" s="302">
        <f t="shared" ca="1" si="0"/>
        <v>0</v>
      </c>
      <c r="O66" s="1320" t="s">
        <v>404</v>
      </c>
      <c r="P66" s="1321" t="s">
        <v>846</v>
      </c>
      <c r="Q66" s="1322" t="e">
        <f ca="1">L60</f>
        <v>#DIV/0!</v>
      </c>
      <c r="R66" s="1322" t="s">
        <v>869</v>
      </c>
    </row>
    <row r="67" spans="1:18" s="1287" customFormat="1" ht="16.5"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5" thickBot="1">
      <c r="A68" s="889" t="s">
        <v>395</v>
      </c>
      <c r="B68" s="890" t="s">
        <v>774</v>
      </c>
      <c r="C68" s="291" t="e">
        <f ca="1">ROUND(C67*(1-((1+F70)/(1+F68))^F69)/(F68-F70),0)</f>
        <v>#DIV/0!</v>
      </c>
      <c r="D68" s="907" t="s">
        <v>758</v>
      </c>
      <c r="E68" s="892" t="s">
        <v>759</v>
      </c>
      <c r="F68" s="302">
        <f ca="1">F40</f>
        <v>0</v>
      </c>
      <c r="O68" s="1329" t="s">
        <v>406</v>
      </c>
      <c r="P68" s="1366" t="s">
        <v>871</v>
      </c>
      <c r="Q68" s="1322">
        <f ca="1">ROUND(Q69-Q70*Q71,0)</f>
        <v>0</v>
      </c>
      <c r="R68" s="1322" t="s">
        <v>414</v>
      </c>
    </row>
    <row r="69" spans="1:18" s="1287" customFormat="1" ht="13.5" thickBot="1">
      <c r="A69" s="893"/>
      <c r="B69" s="894"/>
      <c r="C69" s="296"/>
      <c r="D69" s="912" t="s">
        <v>762</v>
      </c>
      <c r="E69" s="892" t="s">
        <v>763</v>
      </c>
      <c r="F69" s="322">
        <f ca="1">F41</f>
        <v>0</v>
      </c>
      <c r="O69" s="1329" t="s">
        <v>411</v>
      </c>
      <c r="P69" s="1366" t="s">
        <v>872</v>
      </c>
      <c r="Q69" s="1322">
        <f ca="1">C39</f>
        <v>0</v>
      </c>
      <c r="R69" s="1322" t="s">
        <v>818</v>
      </c>
    </row>
    <row r="70" spans="1:18" s="1287" customFormat="1" ht="13.5" thickBot="1">
      <c r="A70" s="896"/>
      <c r="B70" s="897"/>
      <c r="C70" s="300"/>
      <c r="D70" s="908"/>
      <c r="E70" s="892" t="s">
        <v>766</v>
      </c>
      <c r="F70" s="987"/>
      <c r="O70" s="1329" t="s">
        <v>412</v>
      </c>
      <c r="P70" s="1366" t="s">
        <v>873</v>
      </c>
      <c r="Q70" s="1322">
        <f ca="1">C13</f>
        <v>0</v>
      </c>
      <c r="R70" s="1322" t="s">
        <v>818</v>
      </c>
    </row>
    <row r="71" spans="1:18" s="1287" customFormat="1" ht="13.5" thickBot="1">
      <c r="A71" s="913" t="s">
        <v>396</v>
      </c>
      <c r="B71" s="914" t="s">
        <v>776</v>
      </c>
      <c r="C71" s="325" t="e">
        <f ca="1">ROUND(C68/F71,0)</f>
        <v>#DIV/0!</v>
      </c>
      <c r="D71" s="915" t="s">
        <v>777</v>
      </c>
      <c r="E71" s="916" t="s">
        <v>778</v>
      </c>
      <c r="F71" s="328">
        <f ca="1">F43</f>
        <v>0</v>
      </c>
      <c r="O71" s="1329" t="s">
        <v>413</v>
      </c>
      <c r="P71" s="1366" t="s">
        <v>874</v>
      </c>
      <c r="Q71" s="1332">
        <f ca="1">C76</f>
        <v>0</v>
      </c>
      <c r="R71" s="1322"/>
    </row>
    <row r="72" spans="1:18" s="1287" customFormat="1" ht="13.5" thickBot="1">
      <c r="B72" s="681"/>
      <c r="C72" s="681"/>
      <c r="O72" s="1329" t="s">
        <v>407</v>
      </c>
      <c r="P72" s="1321" t="s">
        <v>852</v>
      </c>
      <c r="Q72" s="1332">
        <f>L52</f>
        <v>0</v>
      </c>
      <c r="R72" s="1322"/>
    </row>
    <row r="73" spans="1:18" ht="16.5" thickBot="1">
      <c r="A73" s="1287"/>
      <c r="B73" s="681"/>
      <c r="C73" s="681"/>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88" t="s">
        <v>2313</v>
      </c>
      <c r="B2" s="2588" t="e">
        <f>IF(D2="——",C40,C40+E2)</f>
        <v>#DIV/0!</v>
      </c>
      <c r="C2" s="2589" t="s">
        <v>2314</v>
      </c>
      <c r="D2" s="3132" t="s">
        <v>3357</v>
      </c>
      <c r="E2" s="3133"/>
      <c r="F2" s="2591"/>
      <c r="G2" s="2592"/>
      <c r="H2" s="2593"/>
      <c r="I2" s="2594"/>
      <c r="J2" s="3432" t="s">
        <v>2315</v>
      </c>
      <c r="K2" s="3433"/>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34" t="s">
        <v>2325</v>
      </c>
      <c r="K3" s="3435"/>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34" t="s">
        <v>2327</v>
      </c>
      <c r="K4" s="3435"/>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40" t="s">
        <v>2331</v>
      </c>
      <c r="B6" s="3441"/>
      <c r="C6" s="3442"/>
      <c r="D6" s="2615"/>
      <c r="E6" s="2616"/>
      <c r="F6" s="2617"/>
      <c r="G6" s="2618"/>
      <c r="H6" s="2593"/>
      <c r="I6" s="2594"/>
      <c r="J6" s="3426">
        <v>1</v>
      </c>
      <c r="K6" s="3427"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26"/>
      <c r="K7" s="3428"/>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3" t="s">
        <v>2345</v>
      </c>
      <c r="C8" s="3444"/>
      <c r="D8" s="2634" t="s">
        <v>2346</v>
      </c>
      <c r="E8" s="2635" t="s">
        <v>2347</v>
      </c>
      <c r="F8" s="2636" t="s">
        <v>2348</v>
      </c>
      <c r="G8" s="2637"/>
      <c r="H8" s="2593"/>
      <c r="I8" s="2594"/>
      <c r="J8" s="3426"/>
      <c r="K8" s="3428"/>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3" t="s">
        <v>2351</v>
      </c>
      <c r="C9" s="3444"/>
      <c r="D9" s="2634">
        <f>ROUND(D6*E9,0)</f>
        <v>0</v>
      </c>
      <c r="E9" s="2638"/>
      <c r="F9" s="2639" t="s">
        <v>2352</v>
      </c>
      <c r="G9" s="2618"/>
      <c r="H9" s="2593"/>
      <c r="I9" s="2594"/>
      <c r="J9" s="3426"/>
      <c r="K9" s="3428"/>
      <c r="L9" s="2628" t="s">
        <v>2353</v>
      </c>
      <c r="M9" s="2629"/>
      <c r="N9" s="2605"/>
      <c r="O9" s="2630"/>
      <c r="P9" s="2630"/>
      <c r="Q9" s="2631">
        <v>365</v>
      </c>
      <c r="R9" s="2632">
        <f t="shared" si="0"/>
        <v>0</v>
      </c>
      <c r="S9" s="2586"/>
      <c r="T9" s="2586"/>
      <c r="U9" s="2586"/>
      <c r="V9" s="2594"/>
    </row>
    <row r="10" spans="1:22" s="2598" customFormat="1" ht="13.15" customHeight="1">
      <c r="A10" s="2633">
        <v>2</v>
      </c>
      <c r="B10" s="3443" t="s">
        <v>2354</v>
      </c>
      <c r="C10" s="3444"/>
      <c r="D10" s="2634">
        <f>ROUND(D6*E10,0)</f>
        <v>0</v>
      </c>
      <c r="E10" s="2638"/>
      <c r="F10" s="2639" t="s">
        <v>2355</v>
      </c>
      <c r="G10" s="2618"/>
      <c r="H10" s="2593"/>
      <c r="I10" s="2594"/>
      <c r="J10" s="3426"/>
      <c r="K10" s="3428"/>
      <c r="L10" s="2628" t="s">
        <v>2356</v>
      </c>
      <c r="M10" s="2629"/>
      <c r="N10" s="2605"/>
      <c r="O10" s="2630"/>
      <c r="P10" s="2630"/>
      <c r="Q10" s="2631">
        <v>365</v>
      </c>
      <c r="R10" s="2632">
        <f t="shared" si="0"/>
        <v>0</v>
      </c>
      <c r="S10" s="2586"/>
      <c r="T10" s="2586"/>
      <c r="U10" s="2586"/>
      <c r="V10" s="2594"/>
    </row>
    <row r="11" spans="1:22" s="2598" customFormat="1" ht="13.15" customHeight="1">
      <c r="A11" s="2633">
        <v>3</v>
      </c>
      <c r="B11" s="3443" t="s">
        <v>2357</v>
      </c>
      <c r="C11" s="3444"/>
      <c r="D11" s="2634">
        <f>D12+D14+D15+D16</f>
        <v>0</v>
      </c>
      <c r="E11" s="2640" t="e">
        <f>D11/D6</f>
        <v>#DIV/0!</v>
      </c>
      <c r="F11" s="2636"/>
      <c r="G11" s="2637"/>
      <c r="H11" s="2593"/>
      <c r="I11" s="2594"/>
      <c r="J11" s="3426"/>
      <c r="K11" s="3428"/>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36" t="s">
        <v>2360</v>
      </c>
      <c r="C12" s="3437"/>
      <c r="D12" s="2642">
        <f>ROUND(D13*1.2%*(1-30%),0)</f>
        <v>0</v>
      </c>
      <c r="E12" s="2643">
        <v>1.2E-2</v>
      </c>
      <c r="F12" s="2636" t="s">
        <v>2361</v>
      </c>
      <c r="G12" s="2637"/>
      <c r="H12" s="2593"/>
      <c r="I12" s="2594"/>
      <c r="J12" s="3426"/>
      <c r="K12" s="3428"/>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26"/>
      <c r="K13" s="3428"/>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36" t="s">
        <v>2366</v>
      </c>
      <c r="C14" s="3437"/>
      <c r="D14" s="2642">
        <f>ROUND(E14*B5/10000,0)</f>
        <v>0</v>
      </c>
      <c r="E14" s="2631"/>
      <c r="F14" s="2636" t="s">
        <v>2367</v>
      </c>
      <c r="G14" s="2637"/>
      <c r="H14" s="2593"/>
      <c r="I14" s="2594"/>
      <c r="J14" s="3426"/>
      <c r="K14" s="3429"/>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36" t="s">
        <v>2370</v>
      </c>
      <c r="C15" s="3437"/>
      <c r="D15" s="2642">
        <f>ROUND(D6*E15,0)</f>
        <v>0</v>
      </c>
      <c r="E15" s="2643">
        <v>5.5E-2</v>
      </c>
      <c r="F15" s="2636" t="s">
        <v>2371</v>
      </c>
      <c r="G15" s="2618"/>
      <c r="H15" s="2593"/>
      <c r="I15" s="2594"/>
      <c r="J15" s="3426">
        <v>2</v>
      </c>
      <c r="K15" s="3427"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36" t="s">
        <v>2379</v>
      </c>
      <c r="C16" s="3437"/>
      <c r="D16" s="2653">
        <f>D6*E16</f>
        <v>0</v>
      </c>
      <c r="E16" s="2654"/>
      <c r="F16" s="2639" t="s">
        <v>2380</v>
      </c>
      <c r="G16" s="2618"/>
      <c r="H16" s="2593"/>
      <c r="I16" s="2594"/>
      <c r="J16" s="3426"/>
      <c r="K16" s="3428"/>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38" t="s">
        <v>2382</v>
      </c>
      <c r="C17" s="3439"/>
      <c r="D17" s="2656">
        <f>ROUND(D6*E17,0)</f>
        <v>0</v>
      </c>
      <c r="E17" s="2657"/>
      <c r="F17" s="2658" t="s">
        <v>2383</v>
      </c>
      <c r="G17" s="2618"/>
      <c r="H17" s="2593"/>
      <c r="I17" s="2594"/>
      <c r="J17" s="3426"/>
      <c r="K17" s="3428"/>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26"/>
      <c r="K18" s="3428"/>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26"/>
      <c r="K19" s="3429"/>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26">
        <v>3</v>
      </c>
      <c r="K20" s="3427"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26"/>
      <c r="K21" s="3428"/>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26"/>
      <c r="K22" s="3428"/>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26"/>
      <c r="K23" s="3428"/>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26"/>
      <c r="K24" s="3429"/>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30">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31"/>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2" t="s">
        <v>2315</v>
      </c>
      <c r="K32" s="3433"/>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34" t="s">
        <v>2325</v>
      </c>
      <c r="K33" s="3435"/>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34" t="s">
        <v>2327</v>
      </c>
      <c r="K34" s="3435"/>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26">
        <v>1</v>
      </c>
      <c r="K36" s="3427"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26"/>
      <c r="K37" s="3428"/>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26"/>
      <c r="K38" s="3428"/>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26"/>
      <c r="K39" s="3428"/>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26"/>
      <c r="K40" s="3429"/>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0">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31"/>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0" t="s">
        <v>1658</v>
      </c>
      <c r="B1" s="1721"/>
      <c r="C1" s="1721"/>
      <c r="D1" s="1721"/>
      <c r="E1" s="1722"/>
      <c r="F1" s="2473"/>
      <c r="G1" s="457"/>
      <c r="H1" s="457"/>
      <c r="I1" s="457"/>
      <c r="J1" s="457"/>
      <c r="K1" s="457"/>
      <c r="L1" s="457"/>
      <c r="M1" s="457"/>
      <c r="N1" s="457"/>
      <c r="O1" s="457"/>
      <c r="P1" s="457"/>
      <c r="Q1" s="457"/>
      <c r="R1" s="457"/>
      <c r="S1" s="457"/>
    </row>
    <row r="2" spans="1:22" ht="15.75">
      <c r="A2" s="1723" t="s">
        <v>1462</v>
      </c>
      <c r="B2" s="807">
        <f ca="1">SUMIF(B6:B13,"&lt;&gt;#ref!",B6:B13)</f>
        <v>254029</v>
      </c>
      <c r="C2" s="1724" t="s">
        <v>1651</v>
      </c>
      <c r="D2" s="1725" t="s">
        <v>1652</v>
      </c>
      <c r="E2" s="2387">
        <f>SUM(E6:E13)</f>
        <v>154306.03</v>
      </c>
      <c r="F2" s="2473"/>
      <c r="G2" s="457"/>
      <c r="H2" s="457"/>
      <c r="I2" s="457"/>
      <c r="J2" s="457"/>
      <c r="K2" s="457"/>
      <c r="L2" s="457"/>
      <c r="M2" s="457"/>
      <c r="N2" s="457"/>
      <c r="O2" s="457"/>
      <c r="P2" s="457"/>
      <c r="Q2" s="457"/>
      <c r="R2" s="457"/>
      <c r="S2" s="457"/>
    </row>
    <row r="3" spans="1:22" ht="15.75">
      <c r="A3" s="1723" t="s">
        <v>686</v>
      </c>
      <c r="B3" s="2381">
        <f ca="1">ROUND(B2*10000/E2,0)</f>
        <v>16463</v>
      </c>
      <c r="C3" s="1724"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3" t="s">
        <v>1653</v>
      </c>
      <c r="B5" s="3445" t="s">
        <v>1654</v>
      </c>
      <c r="C5" s="3446"/>
      <c r="D5" s="2474"/>
      <c r="E5" s="1726" t="s">
        <v>1655</v>
      </c>
      <c r="F5" s="127" t="s">
        <v>1656</v>
      </c>
      <c r="G5" s="457"/>
      <c r="H5" s="457"/>
      <c r="I5" s="457"/>
      <c r="J5" s="457"/>
      <c r="K5" s="457"/>
      <c r="L5" s="457"/>
      <c r="M5" s="457"/>
      <c r="N5" s="457"/>
      <c r="O5" s="457"/>
      <c r="P5" s="457"/>
      <c r="Q5" s="457"/>
      <c r="R5" s="457"/>
      <c r="S5" s="457"/>
    </row>
    <row r="6" spans="1:22">
      <c r="A6" s="2384" t="str">
        <f>'数据-取费表'!AN6</f>
        <v>收益法</v>
      </c>
      <c r="B6" s="2382">
        <f ca="1">IF(F6="是",'数据-取费表'!AO6,0)</f>
        <v>254029</v>
      </c>
      <c r="C6" s="1724" t="s">
        <v>1651</v>
      </c>
      <c r="D6" s="2473"/>
      <c r="E6" s="2386">
        <f>IF(OR(A6=0,F6="否"),0,'数据-取费表'!K6+'数据-取费表'!S6)</f>
        <v>154306.03</v>
      </c>
      <c r="F6" s="1727" t="s">
        <v>1657</v>
      </c>
      <c r="G6" s="457"/>
      <c r="H6" s="457"/>
      <c r="I6" s="457"/>
      <c r="J6" s="457"/>
      <c r="K6" s="457"/>
      <c r="L6" s="457"/>
      <c r="M6" s="457"/>
      <c r="N6" s="457"/>
      <c r="O6" s="457"/>
      <c r="P6" s="457"/>
      <c r="Q6" s="457"/>
      <c r="R6" s="457"/>
      <c r="S6" s="457"/>
    </row>
    <row r="7" spans="1:22">
      <c r="A7" s="2384">
        <f>'数据-取费表'!AN7</f>
        <v>0</v>
      </c>
      <c r="B7" s="2382" t="e">
        <f ca="1">IF(F7="是",'数据-取费表'!AO7,0)</f>
        <v>#REF!</v>
      </c>
      <c r="C7" s="1724" t="s">
        <v>1651</v>
      </c>
      <c r="D7" s="2473"/>
      <c r="E7" s="2386">
        <f>IF(OR(A7=0,F7="否"),0,'数据-取费表'!K7+'数据-取费表'!S7)</f>
        <v>0</v>
      </c>
      <c r="F7" s="1727" t="s">
        <v>1657</v>
      </c>
      <c r="G7" s="457"/>
      <c r="H7" s="457"/>
      <c r="I7" s="457"/>
      <c r="J7" s="457"/>
      <c r="K7" s="457"/>
      <c r="L7" s="457"/>
      <c r="M7" s="457"/>
      <c r="N7" s="457"/>
      <c r="O7" s="457"/>
      <c r="P7" s="457"/>
      <c r="Q7" s="457"/>
      <c r="R7" s="457"/>
      <c r="S7" s="457"/>
    </row>
    <row r="8" spans="1:22">
      <c r="A8" s="2384">
        <f>'数据-取费表'!AN8</f>
        <v>0</v>
      </c>
      <c r="B8" s="2382" t="e">
        <f ca="1">IF(F8="是",'数据-取费表'!AO8,0)</f>
        <v>#REF!</v>
      </c>
      <c r="C8" s="1724" t="s">
        <v>1651</v>
      </c>
      <c r="D8" s="2473"/>
      <c r="E8" s="2386">
        <f>IF(OR(A8=0,F8="否"),0,'数据-取费表'!K8+'数据-取费表'!S8)</f>
        <v>0</v>
      </c>
      <c r="F8" s="1727" t="s">
        <v>1657</v>
      </c>
      <c r="G8" s="457"/>
      <c r="H8" s="457"/>
      <c r="I8" s="457"/>
      <c r="J8" s="457"/>
      <c r="K8" s="457"/>
      <c r="L8" s="457"/>
      <c r="M8" s="457"/>
      <c r="N8" s="457"/>
      <c r="O8" s="457"/>
      <c r="P8" s="457"/>
      <c r="Q8" s="457"/>
      <c r="R8" s="457"/>
      <c r="S8" s="457"/>
    </row>
    <row r="9" spans="1:22">
      <c r="A9" s="2384">
        <f>'数据-取费表'!AN9</f>
        <v>0</v>
      </c>
      <c r="B9" s="2382" t="e">
        <f ca="1">IF(F9="是",'数据-取费表'!AO9,0)</f>
        <v>#REF!</v>
      </c>
      <c r="C9" s="1724" t="s">
        <v>1651</v>
      </c>
      <c r="D9" s="2473"/>
      <c r="E9" s="2386">
        <f>IF(OR(A9=0,F9="否"),0,'数据-取费表'!K9+'数据-取费表'!S9)</f>
        <v>0</v>
      </c>
      <c r="F9" s="1727" t="s">
        <v>1657</v>
      </c>
      <c r="G9" s="457"/>
      <c r="H9" s="457"/>
      <c r="I9" s="457"/>
      <c r="J9" s="457"/>
      <c r="K9" s="457"/>
      <c r="L9" s="457"/>
      <c r="M9" s="457"/>
      <c r="N9" s="457"/>
      <c r="O9" s="457"/>
      <c r="P9" s="457"/>
      <c r="Q9" s="457"/>
      <c r="R9" s="457"/>
      <c r="S9" s="457"/>
    </row>
    <row r="10" spans="1:22">
      <c r="A10" s="2384">
        <f>'数据-取费表'!AN10</f>
        <v>0</v>
      </c>
      <c r="B10" s="2382" t="e">
        <f ca="1">IF(F10="是",'数据-取费表'!AO10,0)</f>
        <v>#REF!</v>
      </c>
      <c r="C10" s="1724" t="s">
        <v>1651</v>
      </c>
      <c r="D10" s="2473"/>
      <c r="E10" s="2386">
        <f>IF(OR(A10=0,F10="否"),0,'数据-取费表'!K10+'数据-取费表'!S10)</f>
        <v>0</v>
      </c>
      <c r="F10" s="1727" t="s">
        <v>1657</v>
      </c>
      <c r="G10" s="457"/>
      <c r="H10" s="457"/>
      <c r="I10" s="457"/>
      <c r="J10" s="457"/>
      <c r="K10" s="457"/>
      <c r="L10" s="457"/>
      <c r="M10" s="457"/>
      <c r="N10" s="457"/>
      <c r="O10" s="457"/>
      <c r="P10" s="457"/>
      <c r="Q10" s="457"/>
      <c r="R10" s="457"/>
      <c r="S10" s="457"/>
    </row>
    <row r="11" spans="1:22">
      <c r="A11" s="2384">
        <f>'数据-取费表'!AN11</f>
        <v>0</v>
      </c>
      <c r="B11" s="2382" t="e">
        <f ca="1">IF(F11="是",'数据-取费表'!AO11,0)</f>
        <v>#REF!</v>
      </c>
      <c r="C11" s="1724" t="s">
        <v>1651</v>
      </c>
      <c r="D11" s="2473"/>
      <c r="E11" s="2386">
        <f>IF(OR(A11=0,F11="否"),0,'数据-取费表'!K11+'数据-取费表'!S11)</f>
        <v>0</v>
      </c>
      <c r="F11" s="1727" t="s">
        <v>1657</v>
      </c>
      <c r="G11" s="457"/>
      <c r="H11" s="457"/>
      <c r="I11" s="457"/>
      <c r="J11" s="457"/>
      <c r="K11" s="457"/>
      <c r="L11" s="457"/>
      <c r="M11" s="457"/>
      <c r="N11" s="457"/>
      <c r="O11" s="457"/>
      <c r="P11" s="457"/>
      <c r="Q11" s="457"/>
      <c r="R11" s="457"/>
      <c r="S11" s="457"/>
    </row>
    <row r="12" spans="1:22">
      <c r="A12" s="2384">
        <f>'数据-取费表'!AN12</f>
        <v>0</v>
      </c>
      <c r="B12" s="2382" t="e">
        <f ca="1">IF(F12="是",'数据-取费表'!AO12,0)</f>
        <v>#REF!</v>
      </c>
      <c r="C12" s="1724" t="s">
        <v>1651</v>
      </c>
      <c r="D12" s="2473"/>
      <c r="E12" s="2386">
        <f>IF(OR(A12=0,F12="否"),0,'数据-取费表'!K12+'数据-取费表'!S12)</f>
        <v>0</v>
      </c>
      <c r="F12" s="1727" t="s">
        <v>1657</v>
      </c>
      <c r="G12" s="457"/>
      <c r="H12" s="457"/>
      <c r="I12" s="457"/>
      <c r="J12" s="457"/>
      <c r="K12" s="457"/>
      <c r="L12" s="457"/>
      <c r="M12" s="457"/>
      <c r="N12" s="457"/>
      <c r="O12" s="457"/>
      <c r="P12" s="457"/>
      <c r="Q12" s="457"/>
      <c r="R12" s="457"/>
      <c r="S12" s="457"/>
    </row>
    <row r="13" spans="1:22" ht="15" thickBot="1">
      <c r="A13" s="2385">
        <f>'数据-取费表'!AN13</f>
        <v>0</v>
      </c>
      <c r="B13" s="2382" t="e">
        <f ca="1">IF(F13="是",'数据-取费表'!AO13,0)</f>
        <v>#REF!</v>
      </c>
      <c r="C13" s="1728" t="s">
        <v>1651</v>
      </c>
      <c r="D13" s="2475"/>
      <c r="E13" s="2386">
        <f>IF(OR(A13=0,F13="否"),0,'数据-取费表'!K13+'数据-取费表'!S13)</f>
        <v>0</v>
      </c>
      <c r="F13" s="1727"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T47" sqref="T47:T48"/>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1661</v>
      </c>
      <c r="C1" s="1150" t="s">
        <v>1662</v>
      </c>
      <c r="D1" s="1137"/>
      <c r="E1" s="3118"/>
      <c r="F1" s="1730"/>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6" customFormat="1" ht="28.5" customHeight="1" thickTop="1">
      <c r="A2" s="1133" t="s">
        <v>685</v>
      </c>
      <c r="B2" s="3119"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1664</v>
      </c>
      <c r="F2" s="1734"/>
      <c r="G2" s="850"/>
      <c r="H2" s="850"/>
      <c r="I2" s="850"/>
      <c r="J2" s="850"/>
      <c r="K2" s="1735"/>
      <c r="L2" s="2478"/>
      <c r="M2" s="2479"/>
      <c r="N2" s="2479"/>
      <c r="O2" s="2479"/>
      <c r="P2" s="1736"/>
      <c r="Q2" s="1737"/>
      <c r="R2" s="1737"/>
      <c r="S2" s="1737"/>
      <c r="T2" s="1737"/>
      <c r="U2" s="1737"/>
      <c r="V2" s="1737"/>
      <c r="W2" s="1737"/>
      <c r="X2" s="1737"/>
      <c r="Y2" s="1737"/>
      <c r="Z2" s="1737"/>
      <c r="AA2" s="1737"/>
      <c r="AB2" s="1737"/>
      <c r="AC2" s="994"/>
    </row>
    <row r="3" spans="1:29" s="336" customFormat="1" ht="28.5" customHeight="1" thickBot="1">
      <c r="A3" s="193" t="s">
        <v>686</v>
      </c>
      <c r="B3" s="341">
        <f>IF(C2="——",C49,ROUND(B2*10000/D3,0))</f>
        <v>0</v>
      </c>
      <c r="C3" s="342" t="s">
        <v>1665</v>
      </c>
      <c r="D3" s="341">
        <f>IF(D1="",'数据-汇总表'!E3,SUMIF('数据-汇总表'!$C19:$C33,D1,'数据-汇总表'!$E19:$E33))</f>
        <v>154306.03</v>
      </c>
      <c r="E3" s="850"/>
      <c r="F3" s="1738"/>
      <c r="G3" s="850"/>
      <c r="H3" s="850"/>
      <c r="I3" s="850"/>
      <c r="J3" s="850"/>
      <c r="K3" s="1735"/>
      <c r="L3" s="2478"/>
      <c r="M3" s="2479"/>
      <c r="N3" s="2479"/>
      <c r="O3" s="2479"/>
      <c r="P3" s="1736"/>
      <c r="Q3" s="1737"/>
      <c r="R3" s="1737"/>
      <c r="S3" s="1737"/>
      <c r="T3" s="1737"/>
      <c r="U3" s="1737"/>
      <c r="V3" s="1737"/>
      <c r="W3" s="1737"/>
      <c r="X3" s="1737"/>
      <c r="Y3" s="1737"/>
      <c r="Z3" s="1737"/>
      <c r="AA3" s="1737"/>
      <c r="AB3" s="1737"/>
      <c r="AC3" s="994"/>
    </row>
    <row r="4" spans="1:29" ht="15">
      <c r="A4" s="343" t="s">
        <v>1666</v>
      </c>
      <c r="B4" s="344"/>
      <c r="C4" s="3380" t="s">
        <v>1667</v>
      </c>
      <c r="D4" s="3392"/>
      <c r="E4" s="3393" t="s">
        <v>1668</v>
      </c>
      <c r="F4" s="3394"/>
      <c r="G4" s="3380" t="s">
        <v>1669</v>
      </c>
      <c r="H4" s="3392"/>
      <c r="I4" s="3380" t="s">
        <v>1670</v>
      </c>
      <c r="J4" s="3392"/>
      <c r="K4" s="1739" t="s">
        <v>1671</v>
      </c>
      <c r="L4" s="2480"/>
      <c r="M4" s="2481"/>
      <c r="N4" s="2481"/>
      <c r="O4" s="2481"/>
      <c r="P4" s="3395" t="s">
        <v>1672</v>
      </c>
      <c r="Q4" s="3396"/>
      <c r="R4" s="3401" t="s">
        <v>1668</v>
      </c>
      <c r="S4" s="3402"/>
      <c r="T4" s="3401" t="s">
        <v>1669</v>
      </c>
      <c r="U4" s="3402"/>
      <c r="V4" s="3388" t="s">
        <v>1670</v>
      </c>
      <c r="W4" s="3388"/>
      <c r="X4" s="1260"/>
      <c r="Y4" s="3401" t="s">
        <v>1672</v>
      </c>
      <c r="Z4" s="3402"/>
      <c r="AA4" s="3389" t="s">
        <v>1668</v>
      </c>
      <c r="AB4" s="3389" t="s">
        <v>1669</v>
      </c>
      <c r="AC4" s="3389" t="s">
        <v>1670</v>
      </c>
    </row>
    <row r="5" spans="1:29" ht="15">
      <c r="A5" s="346"/>
      <c r="B5" s="347"/>
      <c r="C5" s="3409" t="s">
        <v>1673</v>
      </c>
      <c r="D5" s="3410"/>
      <c r="E5" s="3416" t="s">
        <v>1674</v>
      </c>
      <c r="F5" s="3417"/>
      <c r="G5" s="3409" t="s">
        <v>1675</v>
      </c>
      <c r="H5" s="3410"/>
      <c r="I5" s="3409" t="s">
        <v>1676</v>
      </c>
      <c r="J5" s="3410"/>
      <c r="K5" s="1740"/>
      <c r="L5" s="2480"/>
      <c r="M5" s="2481"/>
      <c r="N5" s="2481"/>
      <c r="O5" s="2481"/>
      <c r="P5" s="3397"/>
      <c r="Q5" s="3398"/>
      <c r="R5" s="3403"/>
      <c r="S5" s="3404"/>
      <c r="T5" s="3403"/>
      <c r="U5" s="3404"/>
      <c r="V5" s="3388"/>
      <c r="W5" s="3388"/>
      <c r="X5" s="1260"/>
      <c r="Y5" s="3403"/>
      <c r="Z5" s="3404"/>
      <c r="AA5" s="3390"/>
      <c r="AB5" s="3390"/>
      <c r="AC5" s="3390"/>
    </row>
    <row r="6" spans="1:29" ht="15.75" thickBot="1">
      <c r="A6" s="348"/>
      <c r="B6" s="349"/>
      <c r="C6" s="3407" t="s">
        <v>1677</v>
      </c>
      <c r="D6" s="3408"/>
      <c r="E6" s="3414" t="s">
        <v>1677</v>
      </c>
      <c r="F6" s="3415"/>
      <c r="G6" s="3407" t="s">
        <v>1677</v>
      </c>
      <c r="H6" s="3408"/>
      <c r="I6" s="3407" t="s">
        <v>1677</v>
      </c>
      <c r="J6" s="3408"/>
      <c r="K6" s="1740" t="s">
        <v>1678</v>
      </c>
      <c r="L6" s="2480"/>
      <c r="M6" s="2481"/>
      <c r="N6" s="2481"/>
      <c r="O6" s="2481"/>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c r="F7" s="355">
        <f>SUMIF(58:58,YEAR(E7)&amp;"-"&amp;MONTH(E7),59:59)</f>
        <v>0</v>
      </c>
      <c r="G7" s="354"/>
      <c r="H7" s="353">
        <f>SUMIF(58:58,YEAR(G7)&amp;"-"&amp;MONTH(G7),59:59)</f>
        <v>0</v>
      </c>
      <c r="I7" s="354"/>
      <c r="J7" s="353">
        <f>SUMIF(58:58,YEAR(I7)&amp;"-"&amp;MONTH(I7),59:59)</f>
        <v>0</v>
      </c>
      <c r="K7" s="1741"/>
      <c r="L7" s="2482"/>
      <c r="M7" s="2434"/>
      <c r="N7" s="2434"/>
      <c r="O7" s="2434"/>
      <c r="P7" s="3411" t="s">
        <v>1680</v>
      </c>
      <c r="Q7" s="3413"/>
      <c r="R7" s="660" t="s">
        <v>20</v>
      </c>
      <c r="S7" s="661">
        <f t="shared" ref="S7:S15" si="0">F7</f>
        <v>0</v>
      </c>
      <c r="T7" s="660" t="s">
        <v>20</v>
      </c>
      <c r="U7" s="661">
        <f t="shared" ref="U7:U15" si="1">H7</f>
        <v>0</v>
      </c>
      <c r="V7" s="660" t="s">
        <v>20</v>
      </c>
      <c r="W7" s="661">
        <f t="shared" ref="W7:W15" si="2">J7</f>
        <v>0</v>
      </c>
      <c r="X7" s="662"/>
      <c r="Y7" s="3411" t="s">
        <v>1680</v>
      </c>
      <c r="Z7" s="3412"/>
      <c r="AA7" s="50" t="e">
        <f>D7/F7</f>
        <v>#DIV/0!</v>
      </c>
      <c r="AB7" s="50" t="e">
        <f>D7/H7</f>
        <v>#DIV/0!</v>
      </c>
      <c r="AC7" s="50" t="e">
        <f>D7/J7</f>
        <v>#DIV/0!</v>
      </c>
    </row>
    <row r="8" spans="1:29" s="101" customFormat="1" ht="15.75" thickBot="1">
      <c r="A8" s="350" t="s">
        <v>1681</v>
      </c>
      <c r="B8" s="351"/>
      <c r="C8" s="356"/>
      <c r="D8" s="353">
        <v>100</v>
      </c>
      <c r="E8" s="1742"/>
      <c r="F8" s="355">
        <f>SUMIF(61:61,E8,62:62)-SUMIF(61:61,C8,62:62)+100</f>
        <v>100</v>
      </c>
      <c r="G8" s="356"/>
      <c r="H8" s="353">
        <f>SUMIF(61:61,G8,62:62)-SUMIF(61:61,C8,62:62)+100</f>
        <v>100</v>
      </c>
      <c r="I8" s="1742"/>
      <c r="J8" s="353">
        <f>SUMIF(61:61,I8,62:62)-SUMIF(61:61,C8,62:62)+100</f>
        <v>100</v>
      </c>
      <c r="K8" s="1741"/>
      <c r="L8" s="2482"/>
      <c r="M8" s="2434"/>
      <c r="N8" s="2434"/>
      <c r="O8" s="2434"/>
      <c r="P8" s="3411" t="s">
        <v>1683</v>
      </c>
      <c r="Q8" s="3412"/>
      <c r="R8" s="660" t="s">
        <v>20</v>
      </c>
      <c r="S8" s="661">
        <f t="shared" si="0"/>
        <v>100</v>
      </c>
      <c r="T8" s="660" t="s">
        <v>20</v>
      </c>
      <c r="U8" s="661">
        <f t="shared" si="1"/>
        <v>100</v>
      </c>
      <c r="V8" s="660" t="s">
        <v>20</v>
      </c>
      <c r="W8" s="661">
        <f t="shared" si="2"/>
        <v>100</v>
      </c>
      <c r="X8" s="662"/>
      <c r="Y8" s="3411" t="s">
        <v>1683</v>
      </c>
      <c r="Z8" s="3412"/>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1"/>
      <c r="L9" s="2482"/>
      <c r="M9" s="2434"/>
      <c r="N9" s="2434"/>
      <c r="O9" s="2434"/>
      <c r="P9" s="3382" t="s">
        <v>1686</v>
      </c>
      <c r="Q9" s="528" t="str">
        <f t="shared" ref="Q9:Q15" si="6">B9</f>
        <v>用途</v>
      </c>
      <c r="R9" s="660" t="s">
        <v>14</v>
      </c>
      <c r="S9" s="661">
        <f t="shared" si="0"/>
        <v>100</v>
      </c>
      <c r="T9" s="660" t="s">
        <v>14</v>
      </c>
      <c r="U9" s="661">
        <f t="shared" si="1"/>
        <v>100</v>
      </c>
      <c r="V9" s="660" t="s">
        <v>14</v>
      </c>
      <c r="W9" s="661">
        <f t="shared" si="2"/>
        <v>100</v>
      </c>
      <c r="X9" s="662"/>
      <c r="Y9" s="3283" t="s">
        <v>1687</v>
      </c>
      <c r="Z9" s="50" t="str">
        <f t="shared" ref="Z9:Z15" si="7">Q9</f>
        <v>用途</v>
      </c>
      <c r="AA9" s="50">
        <f t="shared" si="3"/>
        <v>1</v>
      </c>
      <c r="AB9" s="50">
        <f t="shared" si="4"/>
        <v>1</v>
      </c>
      <c r="AC9" s="50">
        <f t="shared" si="5"/>
        <v>1</v>
      </c>
    </row>
    <row r="10" spans="1:29" s="364" customFormat="1" ht="27">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1741"/>
      <c r="L10" s="2483"/>
      <c r="M10" s="2484"/>
      <c r="N10" s="2484"/>
      <c r="O10" s="2484"/>
      <c r="P10" s="3382"/>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5"/>
      <c r="M11" s="2481"/>
      <c r="N11" s="2481"/>
      <c r="O11" s="2481"/>
      <c r="P11" s="3382"/>
      <c r="Q11" s="528" t="str">
        <f t="shared" si="6"/>
        <v>容积率</v>
      </c>
      <c r="R11" s="660" t="s">
        <v>18</v>
      </c>
      <c r="S11" s="661" t="e">
        <f t="shared" si="0"/>
        <v>#N/A</v>
      </c>
      <c r="T11" s="660" t="s">
        <v>18</v>
      </c>
      <c r="U11" s="661" t="e">
        <f t="shared" si="1"/>
        <v>#N/A</v>
      </c>
      <c r="V11" s="660" t="s">
        <v>18</v>
      </c>
      <c r="W11" s="661" t="e">
        <f t="shared" si="2"/>
        <v>#N/A</v>
      </c>
      <c r="X11" s="662"/>
      <c r="Y11" s="3283"/>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3"/>
      <c r="L12" s="2482"/>
      <c r="M12" s="2434"/>
      <c r="N12" s="2434"/>
      <c r="O12" s="2434"/>
      <c r="P12" s="3382"/>
      <c r="Q12" s="528">
        <f t="shared" si="6"/>
        <v>111</v>
      </c>
      <c r="R12" s="660" t="s">
        <v>18</v>
      </c>
      <c r="S12" s="661">
        <f t="shared" si="0"/>
        <v>100</v>
      </c>
      <c r="T12" s="660" t="s">
        <v>18</v>
      </c>
      <c r="U12" s="661">
        <f t="shared" si="1"/>
        <v>100</v>
      </c>
      <c r="V12" s="660" t="s">
        <v>18</v>
      </c>
      <c r="W12" s="661">
        <f t="shared" si="2"/>
        <v>100</v>
      </c>
      <c r="X12" s="662"/>
      <c r="Y12" s="328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3"/>
      <c r="L13" s="2486"/>
      <c r="M13" s="2481"/>
      <c r="N13" s="2481"/>
      <c r="O13" s="2481"/>
      <c r="P13" s="3382"/>
      <c r="Q13" s="528">
        <f t="shared" si="6"/>
        <v>111</v>
      </c>
      <c r="R13" s="660" t="s">
        <v>18</v>
      </c>
      <c r="S13" s="661">
        <f t="shared" si="0"/>
        <v>100</v>
      </c>
      <c r="T13" s="660" t="s">
        <v>18</v>
      </c>
      <c r="U13" s="661">
        <f t="shared" si="1"/>
        <v>100</v>
      </c>
      <c r="V13" s="660" t="s">
        <v>18</v>
      </c>
      <c r="W13" s="661">
        <f t="shared" si="2"/>
        <v>100</v>
      </c>
      <c r="X13" s="662"/>
      <c r="Y13" s="3283"/>
      <c r="Z13" s="50">
        <f t="shared" si="7"/>
        <v>111</v>
      </c>
      <c r="AA13" s="50">
        <f t="shared" si="3"/>
        <v>1</v>
      </c>
      <c r="AB13" s="50">
        <f t="shared" si="4"/>
        <v>1</v>
      </c>
      <c r="AC13" s="50">
        <f t="shared" si="5"/>
        <v>1</v>
      </c>
    </row>
    <row r="14" spans="1:29" ht="15.75" thickBot="1">
      <c r="A14" s="373"/>
      <c r="B14" s="1744">
        <v>111</v>
      </c>
      <c r="C14" s="374"/>
      <c r="D14" s="375">
        <v>100</v>
      </c>
      <c r="E14" s="374"/>
      <c r="F14" s="376">
        <f>SUMIF(74:74,E14,75:75)-SUMIF(74:74,C14,75:75)+100</f>
        <v>100</v>
      </c>
      <c r="G14" s="374"/>
      <c r="H14" s="375">
        <f>SUMIF(74:74,G14,75:75)-SUMIF(74:74,C14,75:75)+100</f>
        <v>100</v>
      </c>
      <c r="I14" s="374"/>
      <c r="J14" s="375">
        <f>SUMIF(74:74,I14,75:75)-SUMIF(74:74,C14,75:75)+100</f>
        <v>100</v>
      </c>
      <c r="K14" s="1743"/>
      <c r="L14" s="2486"/>
      <c r="M14" s="2481"/>
      <c r="N14" s="2481"/>
      <c r="O14" s="2481"/>
      <c r="P14" s="3382"/>
      <c r="Q14" s="528">
        <f t="shared" si="6"/>
        <v>111</v>
      </c>
      <c r="R14" s="660" t="s">
        <v>18</v>
      </c>
      <c r="S14" s="661">
        <f t="shared" si="0"/>
        <v>100</v>
      </c>
      <c r="T14" s="660" t="s">
        <v>18</v>
      </c>
      <c r="U14" s="661">
        <f t="shared" si="1"/>
        <v>100</v>
      </c>
      <c r="V14" s="660" t="s">
        <v>18</v>
      </c>
      <c r="W14" s="661">
        <f t="shared" si="2"/>
        <v>100</v>
      </c>
      <c r="X14" s="662"/>
      <c r="Y14" s="3283"/>
      <c r="Z14" s="50">
        <f t="shared" si="7"/>
        <v>111</v>
      </c>
      <c r="AA14" s="50">
        <f t="shared" si="3"/>
        <v>1</v>
      </c>
      <c r="AB14" s="50">
        <f t="shared" si="4"/>
        <v>1</v>
      </c>
      <c r="AC14" s="50">
        <f t="shared" si="5"/>
        <v>1</v>
      </c>
    </row>
    <row r="15" spans="1:29" ht="15">
      <c r="A15" s="377" t="s">
        <v>1690</v>
      </c>
      <c r="B15" s="58" t="s">
        <v>1257</v>
      </c>
      <c r="C15" s="1745">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6"/>
      <c r="M15" s="2481"/>
      <c r="N15" s="2481"/>
      <c r="O15" s="2481"/>
      <c r="P15" s="3452" t="s">
        <v>1691</v>
      </c>
      <c r="Q15" s="1258" t="str">
        <f t="shared" si="6"/>
        <v>居住社区成熟度</v>
      </c>
      <c r="R15" s="663" t="s">
        <v>18</v>
      </c>
      <c r="S15" s="664">
        <f t="shared" si="0"/>
        <v>100</v>
      </c>
      <c r="T15" s="663" t="s">
        <v>18</v>
      </c>
      <c r="U15" s="664">
        <f t="shared" si="1"/>
        <v>100</v>
      </c>
      <c r="V15" s="663" t="s">
        <v>18</v>
      </c>
      <c r="W15" s="664">
        <f t="shared" si="2"/>
        <v>100</v>
      </c>
      <c r="X15" s="1260"/>
      <c r="Y15" s="3384"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7"/>
      <c r="H16" s="387"/>
      <c r="I16" s="1747"/>
      <c r="J16" s="385"/>
      <c r="K16" s="1748"/>
      <c r="L16" s="2486"/>
      <c r="M16" s="2481"/>
      <c r="N16" s="2481"/>
      <c r="O16" s="2481"/>
      <c r="P16" s="3453"/>
      <c r="Q16" s="1258"/>
      <c r="R16" s="663"/>
      <c r="S16" s="664"/>
      <c r="T16" s="663"/>
      <c r="U16" s="664"/>
      <c r="V16" s="663"/>
      <c r="W16" s="664"/>
      <c r="X16" s="1260"/>
      <c r="Y16" s="3385"/>
      <c r="Z16" s="1259"/>
      <c r="AA16" s="1259">
        <v>1</v>
      </c>
      <c r="AB16" s="1259">
        <v>1</v>
      </c>
      <c r="AC16" s="1259">
        <v>1</v>
      </c>
    </row>
    <row r="17" spans="1:29" ht="71.25">
      <c r="A17" s="365"/>
      <c r="B17" s="388" t="s">
        <v>1259</v>
      </c>
      <c r="C17" s="1749"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6"/>
      <c r="M17" s="2481"/>
      <c r="N17" s="2481"/>
      <c r="O17" s="2481"/>
      <c r="P17" s="3453"/>
      <c r="Q17" s="1258" t="str">
        <f>B17</f>
        <v>交通便捷度</v>
      </c>
      <c r="R17" s="663" t="s">
        <v>18</v>
      </c>
      <c r="S17" s="664">
        <f>F17</f>
        <v>100</v>
      </c>
      <c r="T17" s="663" t="s">
        <v>18</v>
      </c>
      <c r="U17" s="664">
        <f>H17</f>
        <v>100</v>
      </c>
      <c r="V17" s="663" t="s">
        <v>18</v>
      </c>
      <c r="W17" s="664">
        <f>J17</f>
        <v>100</v>
      </c>
      <c r="X17" s="1260"/>
      <c r="Y17" s="3385"/>
      <c r="Z17" s="1259" t="str">
        <f>Q17</f>
        <v>交通便捷度</v>
      </c>
      <c r="AA17" s="1259">
        <f t="shared" si="3"/>
        <v>1</v>
      </c>
      <c r="AB17" s="1259">
        <f t="shared" si="4"/>
        <v>1</v>
      </c>
      <c r="AC17" s="1259">
        <f t="shared" si="5"/>
        <v>1</v>
      </c>
    </row>
    <row r="18" spans="1:29" ht="15">
      <c r="A18" s="365"/>
      <c r="B18" s="393"/>
      <c r="C18" s="1750"/>
      <c r="D18" s="387"/>
      <c r="E18" s="1751"/>
      <c r="F18" s="387"/>
      <c r="G18" s="1752"/>
      <c r="H18" s="385"/>
      <c r="I18" s="1752"/>
      <c r="J18" s="385"/>
      <c r="K18" s="1748"/>
      <c r="L18" s="2486"/>
      <c r="M18" s="2481"/>
      <c r="N18" s="2481"/>
      <c r="O18" s="2481"/>
      <c r="P18" s="3453"/>
      <c r="Q18" s="1258"/>
      <c r="R18" s="663"/>
      <c r="S18" s="664"/>
      <c r="T18" s="663"/>
      <c r="U18" s="664"/>
      <c r="V18" s="663"/>
      <c r="W18" s="664"/>
      <c r="X18" s="1260"/>
      <c r="Y18" s="3385"/>
      <c r="Z18" s="1259"/>
      <c r="AA18" s="1259">
        <v>1</v>
      </c>
      <c r="AB18" s="1259">
        <v>1</v>
      </c>
      <c r="AC18" s="1259">
        <v>1</v>
      </c>
    </row>
    <row r="19" spans="1:29" ht="42.75">
      <c r="A19" s="365"/>
      <c r="B19" s="388" t="s">
        <v>1258</v>
      </c>
      <c r="C19" s="1749"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6"/>
      <c r="M19" s="2481"/>
      <c r="N19" s="2481"/>
      <c r="O19" s="2481"/>
      <c r="P19" s="3453"/>
      <c r="Q19" s="1258" t="str">
        <f>B19</f>
        <v>公共配套设施</v>
      </c>
      <c r="R19" s="663" t="s">
        <v>18</v>
      </c>
      <c r="S19" s="664">
        <f>F19</f>
        <v>100</v>
      </c>
      <c r="T19" s="663" t="s">
        <v>18</v>
      </c>
      <c r="U19" s="664">
        <f>H19</f>
        <v>100</v>
      </c>
      <c r="V19" s="663" t="s">
        <v>18</v>
      </c>
      <c r="W19" s="664">
        <f>J19</f>
        <v>100</v>
      </c>
      <c r="X19" s="1260"/>
      <c r="Y19" s="3385"/>
      <c r="Z19" s="1259" t="str">
        <f>Q19</f>
        <v>公共配套设施</v>
      </c>
      <c r="AA19" s="1259">
        <f t="shared" si="3"/>
        <v>1</v>
      </c>
      <c r="AB19" s="1259">
        <f t="shared" si="4"/>
        <v>1</v>
      </c>
      <c r="AC19" s="1259">
        <f t="shared" si="5"/>
        <v>1</v>
      </c>
    </row>
    <row r="20" spans="1:29" ht="15">
      <c r="A20" s="365"/>
      <c r="B20" s="393"/>
      <c r="C20" s="384"/>
      <c r="D20" s="385"/>
      <c r="E20" s="1746"/>
      <c r="F20" s="385"/>
      <c r="G20" s="1747"/>
      <c r="H20" s="385"/>
      <c r="I20" s="1747"/>
      <c r="J20" s="385"/>
      <c r="K20" s="1748"/>
      <c r="L20" s="2486"/>
      <c r="M20" s="2481"/>
      <c r="N20" s="2481"/>
      <c r="O20" s="2481"/>
      <c r="P20" s="3453"/>
      <c r="Q20" s="1258"/>
      <c r="R20" s="663"/>
      <c r="S20" s="664"/>
      <c r="T20" s="663"/>
      <c r="U20" s="664"/>
      <c r="V20" s="663"/>
      <c r="W20" s="664"/>
      <c r="X20" s="1260"/>
      <c r="Y20" s="3385"/>
      <c r="Z20" s="1259"/>
      <c r="AA20" s="1259">
        <v>1</v>
      </c>
      <c r="AB20" s="1259">
        <v>1</v>
      </c>
      <c r="AC20" s="1259">
        <v>1</v>
      </c>
    </row>
    <row r="21" spans="1:29" ht="28.5">
      <c r="A21" s="365"/>
      <c r="B21" s="584" t="s">
        <v>1260</v>
      </c>
      <c r="C21" s="1749"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6"/>
      <c r="M21" s="2481"/>
      <c r="N21" s="2481"/>
      <c r="O21" s="2481"/>
      <c r="P21" s="3453"/>
      <c r="Q21" s="1258" t="str">
        <f>B21</f>
        <v>基础设施水平</v>
      </c>
      <c r="R21" s="663" t="s">
        <v>14</v>
      </c>
      <c r="S21" s="664">
        <f>F21</f>
        <v>100</v>
      </c>
      <c r="T21" s="663" t="s">
        <v>14</v>
      </c>
      <c r="U21" s="664">
        <f>H21</f>
        <v>100</v>
      </c>
      <c r="V21" s="663" t="s">
        <v>14</v>
      </c>
      <c r="W21" s="664">
        <f>J21</f>
        <v>100</v>
      </c>
      <c r="X21" s="1260"/>
      <c r="Y21" s="3385"/>
      <c r="Z21" s="1259" t="str">
        <f>Q21</f>
        <v>基础设施水平</v>
      </c>
      <c r="AA21" s="1259">
        <f t="shared" ref="AA21" si="8">D21/F21</f>
        <v>1</v>
      </c>
      <c r="AB21" s="1259">
        <f t="shared" ref="AB21" si="9">D21/H21</f>
        <v>1</v>
      </c>
      <c r="AC21" s="1259">
        <f t="shared" ref="AC21" si="10">D21/J21</f>
        <v>1</v>
      </c>
    </row>
    <row r="22" spans="1:29" ht="15">
      <c r="A22" s="365"/>
      <c r="B22" s="584"/>
      <c r="C22" s="1750"/>
      <c r="D22" s="385"/>
      <c r="E22" s="384"/>
      <c r="F22" s="385"/>
      <c r="G22" s="1753"/>
      <c r="H22" s="385"/>
      <c r="I22" s="384"/>
      <c r="J22" s="385"/>
      <c r="K22" s="1754"/>
      <c r="L22" s="2486"/>
      <c r="M22" s="2481"/>
      <c r="N22" s="2481"/>
      <c r="O22" s="2481"/>
      <c r="P22" s="3453"/>
      <c r="Q22" s="1258"/>
      <c r="R22" s="663"/>
      <c r="S22" s="664"/>
      <c r="T22" s="663"/>
      <c r="U22" s="664"/>
      <c r="V22" s="663"/>
      <c r="W22" s="664"/>
      <c r="X22" s="1260"/>
      <c r="Y22" s="3385"/>
      <c r="Z22" s="1259"/>
      <c r="AA22" s="1259">
        <v>1</v>
      </c>
      <c r="AB22" s="1259">
        <v>1</v>
      </c>
      <c r="AC22" s="1259">
        <v>1</v>
      </c>
    </row>
    <row r="23" spans="1:29" ht="42.75">
      <c r="A23" s="365"/>
      <c r="B23" s="388" t="s">
        <v>1261</v>
      </c>
      <c r="C23" s="1749"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6"/>
      <c r="M23" s="2481"/>
      <c r="N23" s="2481"/>
      <c r="O23" s="2481"/>
      <c r="P23" s="3453"/>
      <c r="Q23" s="1258" t="str">
        <f>B23</f>
        <v>自然及人文环境</v>
      </c>
      <c r="R23" s="663" t="s">
        <v>18</v>
      </c>
      <c r="S23" s="664">
        <f>F23</f>
        <v>100</v>
      </c>
      <c r="T23" s="663" t="s">
        <v>18</v>
      </c>
      <c r="U23" s="664">
        <f>H23</f>
        <v>100</v>
      </c>
      <c r="V23" s="663" t="s">
        <v>18</v>
      </c>
      <c r="W23" s="664">
        <f>J23</f>
        <v>100</v>
      </c>
      <c r="X23" s="1260"/>
      <c r="Y23" s="3385"/>
      <c r="Z23" s="1259" t="str">
        <f>Q23</f>
        <v>自然及人文环境</v>
      </c>
      <c r="AA23" s="1259">
        <f>D23/F23</f>
        <v>1</v>
      </c>
      <c r="AB23" s="1259">
        <f>D23/H23</f>
        <v>1</v>
      </c>
      <c r="AC23" s="1259">
        <f>D23/J23</f>
        <v>1</v>
      </c>
    </row>
    <row r="24" spans="1:29" ht="15">
      <c r="A24" s="365"/>
      <c r="B24" s="393"/>
      <c r="C24" s="384"/>
      <c r="D24" s="385"/>
      <c r="E24" s="1746"/>
      <c r="F24" s="385"/>
      <c r="G24" s="1747"/>
      <c r="H24" s="385"/>
      <c r="I24" s="1747"/>
      <c r="J24" s="385"/>
      <c r="K24" s="1748"/>
      <c r="L24" s="2486"/>
      <c r="M24" s="2481"/>
      <c r="N24" s="2481"/>
      <c r="O24" s="2481"/>
      <c r="P24" s="3453"/>
      <c r="Q24" s="1258"/>
      <c r="R24" s="663"/>
      <c r="S24" s="664"/>
      <c r="T24" s="663"/>
      <c r="U24" s="664"/>
      <c r="V24" s="663"/>
      <c r="W24" s="664"/>
      <c r="X24" s="1260"/>
      <c r="Y24" s="3385"/>
      <c r="Z24" s="1259"/>
      <c r="AA24" s="1259">
        <v>1</v>
      </c>
      <c r="AB24" s="1259">
        <v>1</v>
      </c>
      <c r="AC24" s="1259">
        <v>1</v>
      </c>
    </row>
    <row r="25" spans="1:29" ht="15">
      <c r="A25" s="365"/>
      <c r="B25" s="362" t="s">
        <v>1692</v>
      </c>
      <c r="C25" s="397"/>
      <c r="D25" s="372">
        <v>100</v>
      </c>
      <c r="E25" s="1755"/>
      <c r="F25" s="372">
        <f>SUMIF(86:86,E25,87:87)-SUMIF(86:86,C25,87:87)+100</f>
        <v>100</v>
      </c>
      <c r="G25" s="1756"/>
      <c r="H25" s="372">
        <f>SUMIF(86:86,G25,87:87)-SUMIF(86:86,C25,87:87)+100</f>
        <v>100</v>
      </c>
      <c r="I25" s="1756"/>
      <c r="J25" s="372">
        <f>SUMIF(86:86,I25,87:87)-SUMIF(86:86,C25,87:87)+100</f>
        <v>100</v>
      </c>
      <c r="K25" s="363"/>
      <c r="L25" s="2486"/>
      <c r="M25" s="2481"/>
      <c r="N25" s="2481"/>
      <c r="O25" s="2481"/>
      <c r="P25" s="3453"/>
      <c r="Q25" s="1258" t="str">
        <f t="shared" ref="Q25:Q46" si="11">B25</f>
        <v>楼层-1</v>
      </c>
      <c r="R25" s="663" t="s">
        <v>18</v>
      </c>
      <c r="S25" s="664">
        <f t="shared" ref="S25:S46" si="12">F25</f>
        <v>100</v>
      </c>
      <c r="T25" s="663" t="s">
        <v>18</v>
      </c>
      <c r="U25" s="664">
        <f t="shared" ref="U25:U46" si="13">H25</f>
        <v>100</v>
      </c>
      <c r="V25" s="663" t="s">
        <v>18</v>
      </c>
      <c r="W25" s="664">
        <f t="shared" ref="W25:W46" si="14">J25</f>
        <v>100</v>
      </c>
      <c r="X25" s="1260"/>
      <c r="Y25" s="3385"/>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5"/>
      <c r="F26" s="372">
        <f>SUMIF(88:88,E26,89:89)-SUMIF(88:88,C26,89:89)+100</f>
        <v>100</v>
      </c>
      <c r="G26" s="1756"/>
      <c r="H26" s="372">
        <f>SUMIF(88:88,G26,89:89)-SUMIF(88:88,C26,89:89)+100</f>
        <v>100</v>
      </c>
      <c r="I26" s="1756"/>
      <c r="J26" s="372">
        <f>SUMIF(88:88,I26,89:89)-SUMIF(88:88,C26,89:89)+100</f>
        <v>100</v>
      </c>
      <c r="K26" s="363"/>
      <c r="L26" s="2486"/>
      <c r="M26" s="2481"/>
      <c r="N26" s="2481"/>
      <c r="O26" s="2481"/>
      <c r="P26" s="3453"/>
      <c r="Q26" s="1258" t="str">
        <f t="shared" si="11"/>
        <v>朝向</v>
      </c>
      <c r="R26" s="663" t="s">
        <v>18</v>
      </c>
      <c r="S26" s="664">
        <f t="shared" si="12"/>
        <v>100</v>
      </c>
      <c r="T26" s="663" t="s">
        <v>18</v>
      </c>
      <c r="U26" s="664">
        <f t="shared" si="13"/>
        <v>100</v>
      </c>
      <c r="V26" s="663" t="s">
        <v>18</v>
      </c>
      <c r="W26" s="664">
        <f t="shared" si="14"/>
        <v>100</v>
      </c>
      <c r="X26" s="1260"/>
      <c r="Y26" s="3385"/>
      <c r="Z26" s="1259" t="str">
        <f>Q26</f>
        <v>朝向</v>
      </c>
      <c r="AA26" s="1259">
        <f t="shared" si="15"/>
        <v>1</v>
      </c>
      <c r="AB26" s="1259">
        <f t="shared" si="16"/>
        <v>1</v>
      </c>
      <c r="AC26" s="1259">
        <f t="shared" si="17"/>
        <v>1</v>
      </c>
    </row>
    <row r="27" spans="1:29" s="101" customFormat="1" ht="15">
      <c r="A27" s="368"/>
      <c r="B27" s="1062">
        <v>111</v>
      </c>
      <c r="C27" s="369"/>
      <c r="D27" s="399">
        <v>100</v>
      </c>
      <c r="E27" s="401"/>
      <c r="F27" s="399">
        <f>SUMIF(90:90,E27,91:91)-SUMIF(90:90,C27,91:91)+100</f>
        <v>100</v>
      </c>
      <c r="G27" s="400"/>
      <c r="H27" s="399">
        <f>SUMIF(90:90,G27,91:91)-SUMIF(90:90,C27,91:91)+100</f>
        <v>100</v>
      </c>
      <c r="I27" s="400"/>
      <c r="J27" s="399">
        <f>SUMIF(90:90,I27,91:91)-SUMIF(90:90,C27,91:91)+100</f>
        <v>100</v>
      </c>
      <c r="K27" s="1743"/>
      <c r="L27" s="2482"/>
      <c r="M27" s="2434"/>
      <c r="N27" s="2434"/>
      <c r="O27" s="2434"/>
      <c r="P27" s="3453"/>
      <c r="Q27" s="528">
        <f t="shared" si="11"/>
        <v>111</v>
      </c>
      <c r="R27" s="660" t="s">
        <v>18</v>
      </c>
      <c r="S27" s="661">
        <f t="shared" si="12"/>
        <v>100</v>
      </c>
      <c r="T27" s="660" t="s">
        <v>18</v>
      </c>
      <c r="U27" s="661">
        <f t="shared" si="13"/>
        <v>100</v>
      </c>
      <c r="V27" s="660" t="s">
        <v>18</v>
      </c>
      <c r="W27" s="661">
        <f t="shared" si="14"/>
        <v>100</v>
      </c>
      <c r="X27" s="662"/>
      <c r="Y27" s="3385"/>
      <c r="Z27" s="50">
        <f>Q27</f>
        <v>111</v>
      </c>
      <c r="AA27" s="1259">
        <f t="shared" si="15"/>
        <v>1</v>
      </c>
      <c r="AB27" s="1259">
        <f t="shared" si="16"/>
        <v>1</v>
      </c>
      <c r="AC27" s="1259">
        <f t="shared" si="17"/>
        <v>1</v>
      </c>
    </row>
    <row r="28" spans="1:29" ht="15">
      <c r="A28" s="365"/>
      <c r="B28" s="1062">
        <v>111</v>
      </c>
      <c r="C28" s="371"/>
      <c r="D28" s="372">
        <v>100</v>
      </c>
      <c r="E28" s="371"/>
      <c r="F28" s="372">
        <f>SUMIF(92:92,E28,93:93)-SUMIF(92:92,C28,93:93)+100</f>
        <v>100</v>
      </c>
      <c r="G28" s="1757"/>
      <c r="H28" s="372">
        <f>SUMIF(92:92,G28,93:93)-SUMIF(92:92,C28,93:93)+100</f>
        <v>100</v>
      </c>
      <c r="I28" s="371"/>
      <c r="J28" s="372">
        <f>SUMIF(92:92,I28,93:93)-SUMIF(92:92,C28,93:93)+100</f>
        <v>100</v>
      </c>
      <c r="K28" s="1743"/>
      <c r="L28" s="2486"/>
      <c r="M28" s="2481"/>
      <c r="N28" s="2481"/>
      <c r="O28" s="2481"/>
      <c r="P28" s="3453"/>
      <c r="Q28" s="1258">
        <f t="shared" si="11"/>
        <v>111</v>
      </c>
      <c r="R28" s="663" t="s">
        <v>18</v>
      </c>
      <c r="S28" s="664">
        <f t="shared" si="12"/>
        <v>100</v>
      </c>
      <c r="T28" s="663" t="s">
        <v>18</v>
      </c>
      <c r="U28" s="664">
        <f t="shared" si="13"/>
        <v>100</v>
      </c>
      <c r="V28" s="663" t="s">
        <v>18</v>
      </c>
      <c r="W28" s="664">
        <f t="shared" si="14"/>
        <v>100</v>
      </c>
      <c r="X28" s="1260"/>
      <c r="Y28" s="3385"/>
      <c r="Z28" s="1259">
        <f t="shared" ref="Z28:Z46" si="18">Q28</f>
        <v>111</v>
      </c>
      <c r="AA28" s="1259">
        <f t="shared" si="15"/>
        <v>1</v>
      </c>
      <c r="AB28" s="1259">
        <f t="shared" si="16"/>
        <v>1</v>
      </c>
      <c r="AC28" s="1259">
        <f t="shared" si="17"/>
        <v>1</v>
      </c>
    </row>
    <row r="29" spans="1:29" ht="15">
      <c r="A29" s="365"/>
      <c r="B29" s="1062">
        <v>111</v>
      </c>
      <c r="C29" s="371"/>
      <c r="D29" s="372">
        <v>100</v>
      </c>
      <c r="E29" s="371"/>
      <c r="F29" s="372">
        <f>SUMIF(94:94,E29,95:95)-SUMIF(94:94,C29,95:95)+100</f>
        <v>100</v>
      </c>
      <c r="G29" s="1757"/>
      <c r="H29" s="372">
        <f>SUMIF(94:94,G29,95:95)-SUMIF(94:94,C29,95:95)+100</f>
        <v>100</v>
      </c>
      <c r="I29" s="371"/>
      <c r="J29" s="372">
        <f>SUMIF(94:94,I29,95:95)-SUMIF(94:94,C29,95:95)+100</f>
        <v>100</v>
      </c>
      <c r="K29" s="1743"/>
      <c r="L29" s="2486"/>
      <c r="M29" s="2481"/>
      <c r="N29" s="2481"/>
      <c r="O29" s="2481"/>
      <c r="P29" s="3453"/>
      <c r="Q29" s="1258">
        <f t="shared" si="11"/>
        <v>111</v>
      </c>
      <c r="R29" s="663" t="s">
        <v>18</v>
      </c>
      <c r="S29" s="664">
        <f t="shared" si="12"/>
        <v>100</v>
      </c>
      <c r="T29" s="663" t="s">
        <v>18</v>
      </c>
      <c r="U29" s="664">
        <f t="shared" si="13"/>
        <v>100</v>
      </c>
      <c r="V29" s="663" t="s">
        <v>18</v>
      </c>
      <c r="W29" s="664">
        <f t="shared" si="14"/>
        <v>100</v>
      </c>
      <c r="X29" s="1260"/>
      <c r="Y29" s="3385"/>
      <c r="Z29" s="1259">
        <f t="shared" si="18"/>
        <v>111</v>
      </c>
      <c r="AA29" s="1259">
        <f t="shared" si="15"/>
        <v>1</v>
      </c>
      <c r="AB29" s="1259">
        <f t="shared" si="16"/>
        <v>1</v>
      </c>
      <c r="AC29" s="1259">
        <f t="shared" si="17"/>
        <v>1</v>
      </c>
    </row>
    <row r="30" spans="1:29" ht="15">
      <c r="A30" s="365"/>
      <c r="B30" s="1062">
        <v>111</v>
      </c>
      <c r="C30" s="371"/>
      <c r="D30" s="372">
        <v>100</v>
      </c>
      <c r="E30" s="371"/>
      <c r="F30" s="372">
        <f>SUMIF(96:96,E30,97:97)-SUMIF(96:96,C30,97:97)+100</f>
        <v>100</v>
      </c>
      <c r="G30" s="1757"/>
      <c r="H30" s="372">
        <f>SUMIF(96:96,G30,97:97)-SUMIF(96:96,C30,97:97)+100</f>
        <v>100</v>
      </c>
      <c r="I30" s="371"/>
      <c r="J30" s="372">
        <f>SUMIF(96:96,I30,97:97)-SUMIF(96:96,C30,97:97)+100</f>
        <v>100</v>
      </c>
      <c r="K30" s="1743"/>
      <c r="L30" s="2486"/>
      <c r="M30" s="2481"/>
      <c r="N30" s="2481"/>
      <c r="O30" s="2481"/>
      <c r="P30" s="3453"/>
      <c r="Q30" s="1258">
        <f t="shared" si="11"/>
        <v>111</v>
      </c>
      <c r="R30" s="663" t="s">
        <v>18</v>
      </c>
      <c r="S30" s="664">
        <f t="shared" si="12"/>
        <v>100</v>
      </c>
      <c r="T30" s="663" t="s">
        <v>18</v>
      </c>
      <c r="U30" s="664">
        <f t="shared" si="13"/>
        <v>100</v>
      </c>
      <c r="V30" s="663" t="s">
        <v>18</v>
      </c>
      <c r="W30" s="664">
        <f t="shared" si="14"/>
        <v>100</v>
      </c>
      <c r="X30" s="1260"/>
      <c r="Y30" s="3385"/>
      <c r="Z30" s="1259">
        <f t="shared" si="18"/>
        <v>111</v>
      </c>
      <c r="AA30" s="1259">
        <f t="shared" si="15"/>
        <v>1</v>
      </c>
      <c r="AB30" s="1259">
        <f t="shared" si="16"/>
        <v>1</v>
      </c>
      <c r="AC30" s="1259">
        <f t="shared" si="17"/>
        <v>1</v>
      </c>
    </row>
    <row r="31" spans="1:29" ht="15.75" thickBot="1">
      <c r="A31" s="373"/>
      <c r="B31" s="1062">
        <v>111</v>
      </c>
      <c r="C31" s="374"/>
      <c r="D31" s="375">
        <v>100</v>
      </c>
      <c r="E31" s="374"/>
      <c r="F31" s="375">
        <f>SUMIF(98:98,E31,99:99)-SUMIF(98:98,C31,99:99)+100</f>
        <v>100</v>
      </c>
      <c r="G31" s="1758"/>
      <c r="H31" s="375">
        <f>SUMIF(98:98,G31,99:99)-SUMIF(98:98,C31,99:99)+100</f>
        <v>100</v>
      </c>
      <c r="I31" s="374"/>
      <c r="J31" s="375">
        <f>SUMIF(98:98,I31,99:99)-SUMIF(98:98,C31,99:99)+100</f>
        <v>100</v>
      </c>
      <c r="K31" s="1743"/>
      <c r="L31" s="2486"/>
      <c r="M31" s="2481"/>
      <c r="N31" s="2481"/>
      <c r="O31" s="2481"/>
      <c r="P31" s="3453"/>
      <c r="Q31" s="1258">
        <f t="shared" si="11"/>
        <v>111</v>
      </c>
      <c r="R31" s="663" t="s">
        <v>18</v>
      </c>
      <c r="S31" s="664">
        <f t="shared" si="12"/>
        <v>100</v>
      </c>
      <c r="T31" s="663" t="s">
        <v>18</v>
      </c>
      <c r="U31" s="664">
        <f t="shared" si="13"/>
        <v>100</v>
      </c>
      <c r="V31" s="663" t="s">
        <v>18</v>
      </c>
      <c r="W31" s="664">
        <f t="shared" si="14"/>
        <v>100</v>
      </c>
      <c r="X31" s="1260"/>
      <c r="Y31" s="3385"/>
      <c r="Z31" s="1259">
        <f t="shared" si="18"/>
        <v>111</v>
      </c>
      <c r="AA31" s="1259">
        <f t="shared" si="15"/>
        <v>1</v>
      </c>
      <c r="AB31" s="1259">
        <f t="shared" si="16"/>
        <v>1</v>
      </c>
      <c r="AC31" s="1259">
        <f t="shared" si="17"/>
        <v>1</v>
      </c>
    </row>
    <row r="32" spans="1:29" ht="15">
      <c r="A32" s="377" t="s">
        <v>1694</v>
      </c>
      <c r="B32" s="60" t="s">
        <v>1695</v>
      </c>
      <c r="C32" s="1759"/>
      <c r="D32" s="403">
        <v>100</v>
      </c>
      <c r="E32" s="1760"/>
      <c r="F32" s="398">
        <f>SUMIF(100:100,E32,101:101)-SUMIF(100:100,C32,101:101)+100</f>
        <v>100</v>
      </c>
      <c r="G32" s="1759"/>
      <c r="H32" s="403">
        <f>SUMIF(100:100,G32,101:101)-SUMIF(100:100,C32,101:101)+100</f>
        <v>100</v>
      </c>
      <c r="I32" s="1760"/>
      <c r="J32" s="372">
        <f>SUMIF(100:100,I32,101:101)-SUMIF(100:100,C32,101:101)+100</f>
        <v>100</v>
      </c>
      <c r="K32" s="363"/>
      <c r="L32" s="2486"/>
      <c r="M32" s="2481"/>
      <c r="N32" s="2481"/>
      <c r="O32" s="2481"/>
      <c r="P32" s="3448" t="s">
        <v>1696</v>
      </c>
      <c r="Q32" s="1258" t="str">
        <f t="shared" si="11"/>
        <v>建筑类型</v>
      </c>
      <c r="R32" s="663" t="s">
        <v>18</v>
      </c>
      <c r="S32" s="664">
        <f t="shared" si="12"/>
        <v>100</v>
      </c>
      <c r="T32" s="663" t="s">
        <v>18</v>
      </c>
      <c r="U32" s="664">
        <f t="shared" si="13"/>
        <v>100</v>
      </c>
      <c r="V32" s="663" t="s">
        <v>18</v>
      </c>
      <c r="W32" s="664">
        <f t="shared" si="14"/>
        <v>100</v>
      </c>
      <c r="X32" s="1260"/>
      <c r="Y32" s="3387" t="s">
        <v>1696</v>
      </c>
      <c r="Z32" s="1259" t="str">
        <f t="shared" si="18"/>
        <v>建筑类型</v>
      </c>
      <c r="AA32" s="1259">
        <f t="shared" si="15"/>
        <v>1</v>
      </c>
      <c r="AB32" s="1259">
        <f t="shared" si="16"/>
        <v>1</v>
      </c>
      <c r="AC32" s="1259">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3"/>
      <c r="L33" s="2485"/>
      <c r="M33" s="2487"/>
      <c r="N33" s="2487"/>
      <c r="O33" s="2487"/>
      <c r="P33" s="3449"/>
      <c r="Q33" s="529" t="str">
        <f t="shared" si="11"/>
        <v>项目建筑规模</v>
      </c>
      <c r="R33" s="665" t="s">
        <v>18</v>
      </c>
      <c r="S33" s="666" t="e">
        <f t="shared" si="12"/>
        <v>#N/A</v>
      </c>
      <c r="T33" s="665" t="s">
        <v>18</v>
      </c>
      <c r="U33" s="666" t="e">
        <f t="shared" si="13"/>
        <v>#N/A</v>
      </c>
      <c r="V33" s="665" t="s">
        <v>18</v>
      </c>
      <c r="W33" s="666" t="e">
        <f t="shared" si="14"/>
        <v>#N/A</v>
      </c>
      <c r="X33" s="667"/>
      <c r="Y33" s="3387"/>
      <c r="Z33" s="668" t="str">
        <f t="shared" si="18"/>
        <v>项目建筑规模</v>
      </c>
      <c r="AA33" s="1259" t="e">
        <f t="shared" si="15"/>
        <v>#N/A</v>
      </c>
      <c r="AB33" s="1259" t="e">
        <f t="shared" si="16"/>
        <v>#N/A</v>
      </c>
      <c r="AC33" s="1259" t="e">
        <f t="shared" si="17"/>
        <v>#N/A</v>
      </c>
    </row>
    <row r="34" spans="1:29" ht="15">
      <c r="A34" s="407"/>
      <c r="B34" s="362" t="s">
        <v>1698</v>
      </c>
      <c r="C34" s="397"/>
      <c r="D34" s="372">
        <v>100</v>
      </c>
      <c r="E34" s="1761"/>
      <c r="F34" s="398">
        <f>SUMIF(105:105,E34,106:106)-SUMIF(105:105,C34,106:106)+100</f>
        <v>100</v>
      </c>
      <c r="G34" s="397"/>
      <c r="H34" s="372">
        <f>SUMIF(105:105,G34,106:106)-SUMIF(105:105,C34,106:106)+100</f>
        <v>100</v>
      </c>
      <c r="I34" s="1761"/>
      <c r="J34" s="372">
        <f>SUMIF(105:105,I34,106:106)-SUMIF(105:105,C34,106:106)+100</f>
        <v>100</v>
      </c>
      <c r="K34" s="363"/>
      <c r="L34" s="2486"/>
      <c r="M34" s="2481"/>
      <c r="N34" s="2481"/>
      <c r="O34" s="2481"/>
      <c r="P34" s="3449"/>
      <c r="Q34" s="1258" t="str">
        <f t="shared" si="11"/>
        <v>建筑结构</v>
      </c>
      <c r="R34" s="663" t="s">
        <v>18</v>
      </c>
      <c r="S34" s="664">
        <f t="shared" si="12"/>
        <v>100</v>
      </c>
      <c r="T34" s="663" t="s">
        <v>18</v>
      </c>
      <c r="U34" s="664">
        <f t="shared" si="13"/>
        <v>100</v>
      </c>
      <c r="V34" s="663" t="s">
        <v>18</v>
      </c>
      <c r="W34" s="664">
        <f t="shared" si="14"/>
        <v>100</v>
      </c>
      <c r="X34" s="1260"/>
      <c r="Y34" s="3387"/>
      <c r="Z34" s="1259" t="str">
        <f t="shared" si="18"/>
        <v>建筑结构</v>
      </c>
      <c r="AA34" s="1259">
        <f t="shared" si="15"/>
        <v>1</v>
      </c>
      <c r="AB34" s="1259">
        <f t="shared" si="16"/>
        <v>1</v>
      </c>
      <c r="AC34" s="1259">
        <f t="shared" si="17"/>
        <v>1</v>
      </c>
    </row>
    <row r="35" spans="1:29" ht="15">
      <c r="A35" s="407"/>
      <c r="B35" s="362" t="s">
        <v>1699</v>
      </c>
      <c r="C35" s="1755"/>
      <c r="D35" s="372">
        <v>100</v>
      </c>
      <c r="E35" s="1756"/>
      <c r="F35" s="398">
        <f>SUMIF(107:107,E35,108:108)-SUMIF(107:107,C35,108:108)+100</f>
        <v>100</v>
      </c>
      <c r="G35" s="1755"/>
      <c r="H35" s="372">
        <f>SUMIF(107:107,G35,108:108)-SUMIF(107:107,C35,108:108)+100</f>
        <v>100</v>
      </c>
      <c r="I35" s="1756"/>
      <c r="J35" s="372">
        <f>SUMIF(107:107,I35,108:108)-SUMIF(107:107,C35,108:108)+100</f>
        <v>100</v>
      </c>
      <c r="K35" s="363"/>
      <c r="L35" s="2486"/>
      <c r="M35" s="2481"/>
      <c r="N35" s="2481"/>
      <c r="O35" s="2481"/>
      <c r="P35" s="3449"/>
      <c r="Q35" s="1258" t="str">
        <f t="shared" si="11"/>
        <v>建筑品质</v>
      </c>
      <c r="R35" s="663" t="s">
        <v>18</v>
      </c>
      <c r="S35" s="664">
        <f t="shared" si="12"/>
        <v>100</v>
      </c>
      <c r="T35" s="663" t="s">
        <v>18</v>
      </c>
      <c r="U35" s="664">
        <f t="shared" si="13"/>
        <v>100</v>
      </c>
      <c r="V35" s="663" t="s">
        <v>18</v>
      </c>
      <c r="W35" s="664">
        <f t="shared" si="14"/>
        <v>100</v>
      </c>
      <c r="X35" s="1260"/>
      <c r="Y35" s="3387"/>
      <c r="Z35" s="1259" t="str">
        <f t="shared" si="18"/>
        <v>建筑品质</v>
      </c>
      <c r="AA35" s="1259">
        <f t="shared" si="15"/>
        <v>1</v>
      </c>
      <c r="AB35" s="1259">
        <f t="shared" si="16"/>
        <v>1</v>
      </c>
      <c r="AC35" s="1259">
        <f t="shared" si="17"/>
        <v>1</v>
      </c>
    </row>
    <row r="36" spans="1:29" ht="15">
      <c r="A36" s="407"/>
      <c r="B36" s="362" t="s">
        <v>1700</v>
      </c>
      <c r="C36" s="1755"/>
      <c r="D36" s="372">
        <v>100</v>
      </c>
      <c r="E36" s="1756"/>
      <c r="F36" s="398">
        <f>SUMIF(109:109,E36,110:110)-SUMIF(109:109,C36,110:110)+100</f>
        <v>100</v>
      </c>
      <c r="G36" s="1755"/>
      <c r="H36" s="372">
        <f>SUMIF(109:109,G36,110:110)-SUMIF(109:109,C36,110:110)+100</f>
        <v>100</v>
      </c>
      <c r="I36" s="1756"/>
      <c r="J36" s="372">
        <f>SUMIF(109:109,I36,110:110)-SUMIF(109:109,C36,110:110)+100</f>
        <v>100</v>
      </c>
      <c r="K36" s="363"/>
      <c r="L36" s="2486"/>
      <c r="M36" s="2481"/>
      <c r="N36" s="2481"/>
      <c r="O36" s="2481"/>
      <c r="P36" s="3449"/>
      <c r="Q36" s="1258" t="str">
        <f t="shared" si="11"/>
        <v>公共部分装修</v>
      </c>
      <c r="R36" s="663" t="s">
        <v>18</v>
      </c>
      <c r="S36" s="664">
        <f t="shared" si="12"/>
        <v>100</v>
      </c>
      <c r="T36" s="663" t="s">
        <v>18</v>
      </c>
      <c r="U36" s="664">
        <f t="shared" si="13"/>
        <v>100</v>
      </c>
      <c r="V36" s="663" t="s">
        <v>18</v>
      </c>
      <c r="W36" s="664">
        <f t="shared" si="14"/>
        <v>100</v>
      </c>
      <c r="X36" s="1260"/>
      <c r="Y36" s="3387"/>
      <c r="Z36" s="1259" t="str">
        <f t="shared" si="18"/>
        <v>公共部分装修</v>
      </c>
      <c r="AA36" s="1259">
        <f t="shared" si="15"/>
        <v>1</v>
      </c>
      <c r="AB36" s="1259">
        <f t="shared" si="16"/>
        <v>1</v>
      </c>
      <c r="AC36" s="1259">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2"/>
      <c r="M37" s="2434"/>
      <c r="N37" s="2434"/>
      <c r="O37" s="2434"/>
      <c r="P37" s="3449"/>
      <c r="Q37" s="528" t="str">
        <f t="shared" si="11"/>
        <v>成新度</v>
      </c>
      <c r="R37" s="660" t="s">
        <v>18</v>
      </c>
      <c r="S37" s="661" t="e">
        <f t="shared" si="12"/>
        <v>#N/A</v>
      </c>
      <c r="T37" s="660" t="s">
        <v>18</v>
      </c>
      <c r="U37" s="661" t="e">
        <f t="shared" si="13"/>
        <v>#N/A</v>
      </c>
      <c r="V37" s="660" t="s">
        <v>18</v>
      </c>
      <c r="W37" s="661" t="e">
        <f t="shared" si="14"/>
        <v>#N/A</v>
      </c>
      <c r="X37" s="662"/>
      <c r="Y37" s="3387"/>
      <c r="Z37" s="50" t="str">
        <f t="shared" si="18"/>
        <v>成新度</v>
      </c>
      <c r="AA37" s="50" t="e">
        <f t="shared" si="15"/>
        <v>#N/A</v>
      </c>
      <c r="AB37" s="50" t="e">
        <f t="shared" si="16"/>
        <v>#N/A</v>
      </c>
      <c r="AC37" s="50" t="e">
        <f t="shared" si="17"/>
        <v>#N/A</v>
      </c>
    </row>
    <row r="38" spans="1:29" ht="15">
      <c r="A38" s="407"/>
      <c r="B38" s="362" t="s">
        <v>1702</v>
      </c>
      <c r="C38" s="1755"/>
      <c r="D38" s="372">
        <v>100</v>
      </c>
      <c r="E38" s="1756"/>
      <c r="F38" s="398">
        <f>SUMIF(114:114,E38,115:115)-SUMIF(114:114,C38,115:115)+100</f>
        <v>100</v>
      </c>
      <c r="G38" s="1755"/>
      <c r="H38" s="372">
        <f>SUMIF(114:114,G38,115:115)-SUMIF(114:114,C38,115:115)+100</f>
        <v>100</v>
      </c>
      <c r="I38" s="1756"/>
      <c r="J38" s="372">
        <f>SUMIF(114:114,I38,115:115)-SUMIF(114:114,C38,115:115)+100</f>
        <v>100</v>
      </c>
      <c r="K38" s="363"/>
      <c r="L38" s="2486"/>
      <c r="M38" s="2481"/>
      <c r="N38" s="2481"/>
      <c r="O38" s="2481"/>
      <c r="P38" s="3449" t="s">
        <v>1696</v>
      </c>
      <c r="Q38" s="1258" t="str">
        <f t="shared" si="11"/>
        <v>物业管理</v>
      </c>
      <c r="R38" s="663" t="s">
        <v>18</v>
      </c>
      <c r="S38" s="664">
        <f t="shared" si="12"/>
        <v>100</v>
      </c>
      <c r="T38" s="663" t="s">
        <v>18</v>
      </c>
      <c r="U38" s="664">
        <f t="shared" si="13"/>
        <v>100</v>
      </c>
      <c r="V38" s="663" t="s">
        <v>18</v>
      </c>
      <c r="W38" s="664">
        <f t="shared" si="14"/>
        <v>100</v>
      </c>
      <c r="X38" s="1260"/>
      <c r="Y38" s="3387" t="s">
        <v>1696</v>
      </c>
      <c r="Z38" s="1259" t="str">
        <f t="shared" si="18"/>
        <v>物业管理</v>
      </c>
      <c r="AA38" s="1259">
        <f t="shared" si="15"/>
        <v>1</v>
      </c>
      <c r="AB38" s="1259">
        <f t="shared" si="16"/>
        <v>1</v>
      </c>
      <c r="AC38" s="1259">
        <f t="shared" si="17"/>
        <v>1</v>
      </c>
    </row>
    <row r="39" spans="1:29" ht="15">
      <c r="A39" s="407"/>
      <c r="B39" s="362" t="s">
        <v>1703</v>
      </c>
      <c r="C39" s="1755"/>
      <c r="D39" s="372">
        <v>100</v>
      </c>
      <c r="E39" s="1756"/>
      <c r="F39" s="398">
        <f>SUMIF(116:116,E39,117:117)-SUMIF(116:116,C39,117:117)+100</f>
        <v>100</v>
      </c>
      <c r="G39" s="1755"/>
      <c r="H39" s="372">
        <f>SUMIF(116:116,G39,117:117)-SUMIF(116:116,C39,117:117)+100</f>
        <v>100</v>
      </c>
      <c r="I39" s="1756"/>
      <c r="J39" s="372">
        <f>SUMIF(116:116,I39,117:117)-SUMIF(116:116,C39,117:117)+100</f>
        <v>100</v>
      </c>
      <c r="K39" s="363"/>
      <c r="L39" s="2486"/>
      <c r="M39" s="2481"/>
      <c r="N39" s="2481"/>
      <c r="O39" s="2481"/>
      <c r="P39" s="3449"/>
      <c r="Q39" s="1258" t="str">
        <f t="shared" si="11"/>
        <v>市政基础设施</v>
      </c>
      <c r="R39" s="663" t="s">
        <v>18</v>
      </c>
      <c r="S39" s="664">
        <f t="shared" si="12"/>
        <v>100</v>
      </c>
      <c r="T39" s="663" t="s">
        <v>18</v>
      </c>
      <c r="U39" s="664">
        <f t="shared" si="13"/>
        <v>100</v>
      </c>
      <c r="V39" s="663" t="s">
        <v>18</v>
      </c>
      <c r="W39" s="664">
        <f t="shared" si="14"/>
        <v>100</v>
      </c>
      <c r="X39" s="1260"/>
      <c r="Y39" s="3387"/>
      <c r="Z39" s="1259" t="str">
        <f t="shared" si="18"/>
        <v>市政基础设施</v>
      </c>
      <c r="AA39" s="1259">
        <f t="shared" si="15"/>
        <v>1</v>
      </c>
      <c r="AB39" s="1259">
        <f t="shared" si="16"/>
        <v>1</v>
      </c>
      <c r="AC39" s="1259">
        <f t="shared" si="17"/>
        <v>1</v>
      </c>
    </row>
    <row r="40" spans="1:29" ht="15">
      <c r="A40" s="407"/>
      <c r="B40" s="362" t="s">
        <v>1704</v>
      </c>
      <c r="C40" s="1755"/>
      <c r="D40" s="372">
        <v>100</v>
      </c>
      <c r="E40" s="1756"/>
      <c r="F40" s="398">
        <f>SUMIF(118:118,E40,119:119)-SUMIF(118:118,C40,119:119)+100</f>
        <v>100</v>
      </c>
      <c r="G40" s="1755"/>
      <c r="H40" s="372">
        <f>SUMIF(118:118,G40,119:119)-SUMIF(118:118,C40,119:119)+100</f>
        <v>100</v>
      </c>
      <c r="I40" s="1756"/>
      <c r="J40" s="372">
        <f>SUMIF(118:118,I40,119:119)-SUMIF(118:118,C40,119:119)+100</f>
        <v>100</v>
      </c>
      <c r="K40" s="363"/>
      <c r="L40" s="2486"/>
      <c r="M40" s="2481"/>
      <c r="N40" s="2481"/>
      <c r="O40" s="2481"/>
      <c r="P40" s="3449"/>
      <c r="Q40" s="1258" t="str">
        <f t="shared" si="11"/>
        <v>房型</v>
      </c>
      <c r="R40" s="663" t="s">
        <v>18</v>
      </c>
      <c r="S40" s="664">
        <f t="shared" si="12"/>
        <v>100</v>
      </c>
      <c r="T40" s="663" t="s">
        <v>18</v>
      </c>
      <c r="U40" s="664">
        <f t="shared" si="13"/>
        <v>100</v>
      </c>
      <c r="V40" s="663" t="s">
        <v>18</v>
      </c>
      <c r="W40" s="664">
        <f t="shared" si="14"/>
        <v>100</v>
      </c>
      <c r="X40" s="1260"/>
      <c r="Y40" s="3387"/>
      <c r="Z40" s="1259" t="str">
        <f t="shared" si="18"/>
        <v>房型</v>
      </c>
      <c r="AA40" s="1259">
        <f t="shared" si="15"/>
        <v>1</v>
      </c>
      <c r="AB40" s="1259">
        <f t="shared" si="16"/>
        <v>1</v>
      </c>
      <c r="AC40" s="1259">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3"/>
      <c r="L41" s="2485"/>
      <c r="M41" s="2487"/>
      <c r="N41" s="2487"/>
      <c r="O41" s="2487"/>
      <c r="P41" s="3449"/>
      <c r="Q41" s="529" t="str">
        <f t="shared" si="11"/>
        <v>单套/主力户型建筑面积</v>
      </c>
      <c r="R41" s="665" t="s">
        <v>18</v>
      </c>
      <c r="S41" s="666">
        <f t="shared" si="12"/>
        <v>100</v>
      </c>
      <c r="T41" s="665" t="s">
        <v>18</v>
      </c>
      <c r="U41" s="666">
        <f t="shared" si="13"/>
        <v>100</v>
      </c>
      <c r="V41" s="665" t="s">
        <v>18</v>
      </c>
      <c r="W41" s="666">
        <f t="shared" si="14"/>
        <v>100</v>
      </c>
      <c r="X41" s="667"/>
      <c r="Y41" s="3387"/>
      <c r="Z41" s="668" t="str">
        <f t="shared" si="18"/>
        <v>单套/主力户型建筑面积</v>
      </c>
      <c r="AA41" s="1259">
        <f t="shared" si="15"/>
        <v>1</v>
      </c>
      <c r="AB41" s="1259">
        <f t="shared" si="16"/>
        <v>1</v>
      </c>
      <c r="AC41" s="1259">
        <f t="shared" si="17"/>
        <v>1</v>
      </c>
    </row>
    <row r="42" spans="1:29" ht="15">
      <c r="A42" s="407"/>
      <c r="B42" s="362" t="s">
        <v>1706</v>
      </c>
      <c r="C42" s="1755"/>
      <c r="D42" s="372">
        <v>100</v>
      </c>
      <c r="E42" s="1756"/>
      <c r="F42" s="398">
        <f>SUMIF(122:122,E42,123:123)-SUMIF(122:122,C42,123:123)+100</f>
        <v>100</v>
      </c>
      <c r="G42" s="1755"/>
      <c r="H42" s="372">
        <f>SUMIF(122:122,G42,123:123)-SUMIF(122:122,C42,123:123)+100</f>
        <v>100</v>
      </c>
      <c r="I42" s="1756"/>
      <c r="J42" s="372">
        <f>SUMIF(122:122,I42,123:123)-SUMIF(122:122,C42,123:123)+100</f>
        <v>100</v>
      </c>
      <c r="K42" s="363"/>
      <c r="L42" s="2486"/>
      <c r="M42" s="2481"/>
      <c r="N42" s="2481"/>
      <c r="O42" s="2481"/>
      <c r="P42" s="3449"/>
      <c r="Q42" s="1258" t="str">
        <f t="shared" si="11"/>
        <v>内部装修</v>
      </c>
      <c r="R42" s="663" t="s">
        <v>18</v>
      </c>
      <c r="S42" s="664">
        <f t="shared" si="12"/>
        <v>100</v>
      </c>
      <c r="T42" s="663" t="s">
        <v>18</v>
      </c>
      <c r="U42" s="664">
        <f t="shared" si="13"/>
        <v>100</v>
      </c>
      <c r="V42" s="663" t="s">
        <v>18</v>
      </c>
      <c r="W42" s="664">
        <f t="shared" si="14"/>
        <v>100</v>
      </c>
      <c r="X42" s="1260"/>
      <c r="Y42" s="3387"/>
      <c r="Z42" s="1259" t="str">
        <f t="shared" si="18"/>
        <v>内部装修</v>
      </c>
      <c r="AA42" s="1259">
        <f t="shared" si="15"/>
        <v>1</v>
      </c>
      <c r="AB42" s="1259">
        <f t="shared" si="16"/>
        <v>1</v>
      </c>
      <c r="AC42" s="1259">
        <f t="shared" si="17"/>
        <v>1</v>
      </c>
    </row>
    <row r="43" spans="1:29" ht="15">
      <c r="A43" s="407"/>
      <c r="B43" s="362" t="s">
        <v>1707</v>
      </c>
      <c r="C43" s="1755"/>
      <c r="D43" s="372">
        <v>100</v>
      </c>
      <c r="E43" s="1756"/>
      <c r="F43" s="398">
        <f>SUMIF(124:124,E43,125:125)-SUMIF(124:124,C43,125:125)+100</f>
        <v>100</v>
      </c>
      <c r="G43" s="1755"/>
      <c r="H43" s="372">
        <f>SUMIF(124:124,G43,125:125)-SUMIF(124:124,C43,125:125)+100</f>
        <v>100</v>
      </c>
      <c r="I43" s="1756"/>
      <c r="J43" s="372">
        <f>SUMIF(124:124,I43,125:125)-SUMIF(124:124,C43,125:125)+100</f>
        <v>100</v>
      </c>
      <c r="K43" s="363"/>
      <c r="L43" s="2486"/>
      <c r="M43" s="2481"/>
      <c r="N43" s="2481"/>
      <c r="O43" s="2481"/>
      <c r="P43" s="3449"/>
      <c r="Q43" s="1258" t="str">
        <f t="shared" si="11"/>
        <v>内部装修维护情况</v>
      </c>
      <c r="R43" s="663" t="s">
        <v>18</v>
      </c>
      <c r="S43" s="664">
        <f t="shared" si="12"/>
        <v>100</v>
      </c>
      <c r="T43" s="663" t="s">
        <v>18</v>
      </c>
      <c r="U43" s="664">
        <f t="shared" si="13"/>
        <v>100</v>
      </c>
      <c r="V43" s="663" t="s">
        <v>18</v>
      </c>
      <c r="W43" s="664">
        <f t="shared" si="14"/>
        <v>100</v>
      </c>
      <c r="X43" s="1260"/>
      <c r="Y43" s="3387"/>
      <c r="Z43" s="1259" t="str">
        <f t="shared" si="18"/>
        <v>内部装修维护情况</v>
      </c>
      <c r="AA43" s="1259">
        <f t="shared" si="15"/>
        <v>1</v>
      </c>
      <c r="AB43" s="1259">
        <f t="shared" si="16"/>
        <v>1</v>
      </c>
      <c r="AC43" s="1259">
        <f t="shared" si="17"/>
        <v>1</v>
      </c>
    </row>
    <row r="44" spans="1:29" s="101" customFormat="1" ht="15">
      <c r="A44" s="408"/>
      <c r="B44" s="1062">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3"/>
      <c r="L44" s="2482"/>
      <c r="M44" s="2434"/>
      <c r="N44" s="2434"/>
      <c r="O44" s="2434"/>
      <c r="P44" s="3449"/>
      <c r="Q44" s="528">
        <f t="shared" si="11"/>
        <v>111</v>
      </c>
      <c r="R44" s="660" t="s">
        <v>18</v>
      </c>
      <c r="S44" s="661">
        <f t="shared" si="12"/>
        <v>100</v>
      </c>
      <c r="T44" s="660" t="s">
        <v>18</v>
      </c>
      <c r="U44" s="661">
        <f t="shared" si="13"/>
        <v>100</v>
      </c>
      <c r="V44" s="660" t="s">
        <v>18</v>
      </c>
      <c r="W44" s="661">
        <f t="shared" si="14"/>
        <v>100</v>
      </c>
      <c r="X44" s="662"/>
      <c r="Y44" s="3387"/>
      <c r="Z44" s="50">
        <f t="shared" si="18"/>
        <v>111</v>
      </c>
      <c r="AA44" s="50">
        <f t="shared" si="15"/>
        <v>1</v>
      </c>
      <c r="AB44" s="50">
        <f t="shared" si="16"/>
        <v>1</v>
      </c>
      <c r="AC44" s="50">
        <f t="shared" si="17"/>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3"/>
      <c r="L45" s="2486"/>
      <c r="M45" s="2481"/>
      <c r="N45" s="2481"/>
      <c r="O45" s="2481"/>
      <c r="P45" s="3449"/>
      <c r="Q45" s="1258">
        <f t="shared" si="11"/>
        <v>111</v>
      </c>
      <c r="R45" s="663" t="s">
        <v>18</v>
      </c>
      <c r="S45" s="664">
        <f t="shared" si="12"/>
        <v>100</v>
      </c>
      <c r="T45" s="663" t="s">
        <v>18</v>
      </c>
      <c r="U45" s="664">
        <f t="shared" si="13"/>
        <v>100</v>
      </c>
      <c r="V45" s="663" t="s">
        <v>18</v>
      </c>
      <c r="W45" s="664">
        <f t="shared" si="14"/>
        <v>100</v>
      </c>
      <c r="X45" s="1260"/>
      <c r="Y45" s="3387"/>
      <c r="Z45" s="1259">
        <f t="shared" si="18"/>
        <v>111</v>
      </c>
      <c r="AA45" s="1259">
        <f t="shared" si="15"/>
        <v>1</v>
      </c>
      <c r="AB45" s="1259">
        <f t="shared" si="16"/>
        <v>1</v>
      </c>
      <c r="AC45" s="1259">
        <f t="shared" si="17"/>
        <v>1</v>
      </c>
    </row>
    <row r="46" spans="1:29" ht="15.75" thickBot="1">
      <c r="A46" s="413"/>
      <c r="B46" s="1744">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3"/>
      <c r="L46" s="2486"/>
      <c r="M46" s="2481"/>
      <c r="N46" s="2481"/>
      <c r="O46" s="2481"/>
      <c r="P46" s="3450"/>
      <c r="Q46" s="1258">
        <f t="shared" si="11"/>
        <v>111</v>
      </c>
      <c r="R46" s="663" t="s">
        <v>17</v>
      </c>
      <c r="S46" s="664">
        <f t="shared" si="12"/>
        <v>100</v>
      </c>
      <c r="T46" s="663" t="s">
        <v>17</v>
      </c>
      <c r="U46" s="664">
        <f t="shared" si="13"/>
        <v>100</v>
      </c>
      <c r="V46" s="663" t="s">
        <v>17</v>
      </c>
      <c r="W46" s="664">
        <f t="shared" si="14"/>
        <v>100</v>
      </c>
      <c r="X46" s="1260"/>
      <c r="Y46" s="3451"/>
      <c r="Z46" s="1259">
        <f t="shared" si="18"/>
        <v>111</v>
      </c>
      <c r="AA46" s="1259">
        <f t="shared" si="15"/>
        <v>1</v>
      </c>
      <c r="AB46" s="1259">
        <f t="shared" si="16"/>
        <v>1</v>
      </c>
      <c r="AC46" s="1259">
        <f t="shared" si="17"/>
        <v>1</v>
      </c>
    </row>
    <row r="47" spans="1:29" ht="15">
      <c r="A47" s="414" t="s">
        <v>1708</v>
      </c>
      <c r="B47" s="415"/>
      <c r="C47" s="1077" t="s">
        <v>16</v>
      </c>
      <c r="D47" s="416"/>
      <c r="E47" s="417"/>
      <c r="F47" s="418"/>
      <c r="G47" s="419"/>
      <c r="H47" s="420"/>
      <c r="I47" s="417"/>
      <c r="J47" s="420"/>
      <c r="K47" s="1762"/>
      <c r="L47" s="2488"/>
      <c r="M47" s="2481"/>
      <c r="N47" s="2481"/>
      <c r="O47" s="2481"/>
      <c r="P47" s="3383" t="str">
        <f>A47</f>
        <v>成交单价（元/平方米）</v>
      </c>
      <c r="Q47" s="3383"/>
      <c r="R47" s="3388">
        <f>E47</f>
        <v>0</v>
      </c>
      <c r="S47" s="3388"/>
      <c r="T47" s="3388">
        <f>G47</f>
        <v>0</v>
      </c>
      <c r="U47" s="3388"/>
      <c r="V47" s="3388">
        <f>I47</f>
        <v>0</v>
      </c>
      <c r="W47" s="3388"/>
      <c r="X47" s="383"/>
      <c r="Y47" s="669"/>
      <c r="Z47" s="383"/>
      <c r="AA47" s="383"/>
      <c r="AB47" s="383"/>
      <c r="AC47" s="383"/>
    </row>
    <row r="48" spans="1:29" ht="15.75" thickBot="1">
      <c r="A48" s="421" t="s">
        <v>1709</v>
      </c>
      <c r="B48" s="422"/>
      <c r="C48" s="1078" t="e">
        <f>R49</f>
        <v>#DIV/0!</v>
      </c>
      <c r="D48" s="2136" t="s">
        <v>2138</v>
      </c>
      <c r="E48" s="1079" t="e">
        <f>R48</f>
        <v>#DIV/0!</v>
      </c>
      <c r="F48" s="2137"/>
      <c r="G48" s="1078" t="e">
        <f>T48</f>
        <v>#DIV/0!</v>
      </c>
      <c r="H48" s="2137"/>
      <c r="I48" s="1079" t="e">
        <f>V48</f>
        <v>#DIV/0!</v>
      </c>
      <c r="J48" s="2137"/>
      <c r="K48" s="2138">
        <f>F48+H48+J48</f>
        <v>0</v>
      </c>
      <c r="L48" s="2488"/>
      <c r="M48" s="2481"/>
      <c r="N48" s="2481"/>
      <c r="O48" s="2481"/>
      <c r="P48" s="3383" t="str">
        <f>A48</f>
        <v>比较价值（元/平方米）</v>
      </c>
      <c r="Q48" s="338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3"/>
      <c r="Y48" s="383"/>
      <c r="Z48" s="383"/>
      <c r="AA48" s="383"/>
      <c r="AB48" s="383"/>
      <c r="AC48" s="383"/>
    </row>
    <row r="49" spans="1:29" ht="15.75" thickBot="1">
      <c r="A49" s="425" t="s">
        <v>1710</v>
      </c>
      <c r="B49" s="426"/>
      <c r="C49" s="1080" t="e">
        <f>R49</f>
        <v>#DIV/0!</v>
      </c>
      <c r="D49" s="349"/>
      <c r="E49" s="349"/>
      <c r="F49" s="349"/>
      <c r="G49" s="349"/>
      <c r="H49" s="349"/>
      <c r="I49" s="349"/>
      <c r="J49" s="349"/>
      <c r="K49" s="1763"/>
      <c r="L49" s="2488"/>
      <c r="M49" s="2481"/>
      <c r="N49" s="2481"/>
      <c r="O49" s="2481"/>
      <c r="P49" s="3377" t="str">
        <f>A49</f>
        <v>估价对象XX用房的比较价值（楼面单价，元/平方米）</v>
      </c>
      <c r="Q49" s="3378"/>
      <c r="R49" s="3447" t="e">
        <f>IF(F1="售价",ROUND(IF(D48="简单平均",AVERAGE(R48:V48),R48*F48+T48*H48+V48*J48),0),ROUND(IF(D48="简单平均",AVERAGE(R48:V48),R48*F48+T48*H48+V48*J48),1))</f>
        <v>#DIV/0!</v>
      </c>
      <c r="S49" s="3447"/>
      <c r="T49" s="3447"/>
      <c r="U49" s="3447"/>
      <c r="V49" s="3447"/>
      <c r="W49" s="3447"/>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row>
    <row r="53" spans="1:29" ht="13.5" customHeight="1">
      <c r="A53" s="2481"/>
      <c r="B53" s="2481"/>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row>
    <row r="54" spans="1:29" s="435" customFormat="1" ht="13.5" customHeight="1">
      <c r="A54" s="2491"/>
      <c r="B54" s="2491"/>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1765"/>
    </row>
    <row r="55" spans="1:29" s="435" customFormat="1">
      <c r="A55" s="2491"/>
      <c r="B55" s="2494"/>
      <c r="C55" s="2495"/>
      <c r="D55" s="2491"/>
      <c r="E55" s="2491"/>
      <c r="F55" s="2491"/>
      <c r="G55" s="2491"/>
      <c r="H55" s="2491"/>
      <c r="I55" s="2491"/>
      <c r="J55" s="2491"/>
      <c r="K55" s="2496"/>
      <c r="L55" s="2490"/>
      <c r="M55" s="2491"/>
      <c r="N55" s="2491"/>
      <c r="O55" s="2491"/>
      <c r="P55" s="1765"/>
    </row>
    <row r="56" spans="1:29">
      <c r="A56" s="2481"/>
      <c r="B56" s="2494"/>
      <c r="C56" s="2495"/>
      <c r="D56" s="2481"/>
      <c r="E56" s="2481"/>
      <c r="F56" s="2481"/>
      <c r="G56" s="2481"/>
      <c r="H56" s="2481"/>
      <c r="I56" s="2481"/>
      <c r="J56" s="2481"/>
      <c r="K56" s="2493"/>
      <c r="L56" s="2489"/>
      <c r="M56" s="2481"/>
      <c r="N56" s="2481"/>
      <c r="O56" s="2481"/>
    </row>
    <row r="57" spans="1:29" ht="21.75" thickBot="1">
      <c r="A57" s="654" t="s">
        <v>1714</v>
      </c>
      <c r="B57" s="383"/>
      <c r="C57" s="655"/>
      <c r="D57" s="655"/>
      <c r="E57" s="655"/>
      <c r="F57" s="656"/>
      <c r="G57" s="656"/>
      <c r="H57" s="655"/>
      <c r="I57" s="655"/>
      <c r="J57" s="655"/>
      <c r="K57" s="883"/>
      <c r="L57" s="884"/>
      <c r="M57" s="882"/>
      <c r="N57" s="882"/>
      <c r="O57" s="882"/>
      <c r="P57" s="1766"/>
      <c r="Q57" s="437"/>
    </row>
    <row r="58" spans="1:29" s="440" customFormat="1" ht="15">
      <c r="A58" s="438" t="s">
        <v>1715</v>
      </c>
      <c r="B58" s="439"/>
      <c r="C58" s="1100" t="str">
        <f>YEAR(C7)&amp;"-"&amp;MONTH(C7)</f>
        <v>2024-11</v>
      </c>
      <c r="D58" s="1099">
        <f>EDATE(C58,-1)</f>
        <v>45566</v>
      </c>
      <c r="E58" s="1099">
        <f>EDATE(D58,-1)</f>
        <v>45536</v>
      </c>
      <c r="F58" s="1099">
        <f t="shared" ref="F58:O58" si="19">EDATE(E58,-1)</f>
        <v>45505</v>
      </c>
      <c r="G58" s="1099">
        <f t="shared" si="19"/>
        <v>45474</v>
      </c>
      <c r="H58" s="1099">
        <f t="shared" si="19"/>
        <v>45444</v>
      </c>
      <c r="I58" s="1099">
        <f t="shared" si="19"/>
        <v>45413</v>
      </c>
      <c r="J58" s="1099">
        <f t="shared" si="19"/>
        <v>45383</v>
      </c>
      <c r="K58" s="1099">
        <f t="shared" si="19"/>
        <v>45352</v>
      </c>
      <c r="L58" s="1099">
        <f t="shared" si="19"/>
        <v>45323</v>
      </c>
      <c r="M58" s="1099">
        <f t="shared" si="19"/>
        <v>45292</v>
      </c>
      <c r="N58" s="1099">
        <f t="shared" si="19"/>
        <v>45261</v>
      </c>
      <c r="O58" s="1099">
        <f t="shared" si="19"/>
        <v>45231</v>
      </c>
      <c r="P58" s="1095"/>
    </row>
    <row r="59" spans="1:29" s="101" customFormat="1" ht="15">
      <c r="A59" s="441"/>
      <c r="B59" s="1767"/>
      <c r="C59" s="1097">
        <v>100</v>
      </c>
      <c r="D59" s="443"/>
      <c r="E59" s="444"/>
      <c r="F59" s="444"/>
      <c r="G59" s="444"/>
      <c r="H59" s="444"/>
      <c r="I59" s="444"/>
      <c r="J59" s="444"/>
      <c r="K59" s="444"/>
      <c r="L59" s="444"/>
      <c r="M59" s="445"/>
      <c r="N59" s="444"/>
      <c r="O59" s="445"/>
      <c r="P59" s="1768"/>
    </row>
    <row r="60" spans="1:29" s="101" customFormat="1" ht="15.75" thickBot="1">
      <c r="A60" s="447" t="s">
        <v>1716</v>
      </c>
      <c r="B60" s="448"/>
      <c r="C60" s="449"/>
      <c r="D60" s="450"/>
      <c r="E60" s="450"/>
      <c r="F60" s="450"/>
      <c r="G60" s="450"/>
      <c r="H60" s="450"/>
      <c r="I60" s="450"/>
      <c r="J60" s="450"/>
      <c r="K60" s="450"/>
      <c r="L60" s="450"/>
      <c r="M60" s="451"/>
      <c r="N60" s="450"/>
      <c r="O60" s="451"/>
      <c r="P60" s="1768"/>
      <c r="Q60" s="437"/>
    </row>
    <row r="61" spans="1:29" s="101" customFormat="1" ht="15">
      <c r="A61" s="453" t="s">
        <v>1717</v>
      </c>
      <c r="B61" s="442"/>
      <c r="C61" s="454" t="s">
        <v>1718</v>
      </c>
      <c r="D61" s="31"/>
      <c r="E61" s="31"/>
      <c r="F61" s="31"/>
      <c r="G61" s="31"/>
      <c r="H61" s="31"/>
      <c r="I61" s="31"/>
      <c r="J61" s="31"/>
      <c r="K61" s="31"/>
      <c r="L61" s="455"/>
      <c r="M61" s="456"/>
      <c r="N61" s="874"/>
      <c r="O61" s="874"/>
      <c r="P61" s="1769"/>
      <c r="Q61" s="437"/>
    </row>
    <row r="62" spans="1:29" s="101" customFormat="1" ht="15.75" thickBot="1">
      <c r="A62" s="453"/>
      <c r="B62" s="442"/>
      <c r="C62" s="443">
        <v>100</v>
      </c>
      <c r="D62" s="444"/>
      <c r="E62" s="444"/>
      <c r="F62" s="444"/>
      <c r="G62" s="444"/>
      <c r="H62" s="444"/>
      <c r="I62" s="444"/>
      <c r="J62" s="444"/>
      <c r="K62" s="444"/>
      <c r="L62" s="444"/>
      <c r="M62" s="446"/>
      <c r="N62" s="874"/>
      <c r="O62" s="874"/>
      <c r="P62" s="1768"/>
      <c r="Q62" s="437"/>
    </row>
    <row r="63" spans="1:29">
      <c r="A63" s="377" t="s">
        <v>1719</v>
      </c>
      <c r="B63" s="458" t="s">
        <v>1685</v>
      </c>
      <c r="C63" s="459">
        <f>C9</f>
        <v>0</v>
      </c>
      <c r="D63" s="460"/>
      <c r="E63" s="460"/>
      <c r="F63" s="460"/>
      <c r="G63" s="460"/>
      <c r="H63" s="460"/>
      <c r="I63" s="460"/>
      <c r="J63" s="460"/>
      <c r="K63" s="461"/>
      <c r="L63" s="462"/>
      <c r="M63" s="463"/>
      <c r="N63" s="875"/>
      <c r="O63" s="875"/>
      <c r="P63" s="1770"/>
      <c r="Q63" s="437"/>
    </row>
    <row r="64" spans="1:29" ht="15.75" thickBot="1">
      <c r="A64" s="365"/>
      <c r="B64" s="464"/>
      <c r="C64" s="465">
        <v>100</v>
      </c>
      <c r="D64" s="465"/>
      <c r="E64" s="465"/>
      <c r="F64" s="465"/>
      <c r="G64" s="465"/>
      <c r="H64" s="465"/>
      <c r="I64" s="465"/>
      <c r="J64" s="465"/>
      <c r="K64" s="465"/>
      <c r="L64" s="465"/>
      <c r="M64" s="466"/>
      <c r="N64" s="876"/>
      <c r="O64" s="876"/>
      <c r="P64" s="1770"/>
      <c r="Q64" s="437"/>
    </row>
    <row r="65" spans="1:17" ht="27.75" thickTop="1">
      <c r="A65" s="365"/>
      <c r="B65" s="467" t="s">
        <v>1688</v>
      </c>
      <c r="C65" s="511"/>
      <c r="D65" s="511"/>
      <c r="E65" s="511"/>
      <c r="F65" s="511"/>
      <c r="G65" s="511"/>
      <c r="H65" s="511"/>
      <c r="I65" s="511"/>
      <c r="J65" s="511"/>
      <c r="K65" s="511"/>
      <c r="L65" s="511"/>
      <c r="M65" s="511"/>
      <c r="N65" s="876"/>
      <c r="O65" s="876"/>
      <c r="P65" s="1770"/>
      <c r="Q65" s="437"/>
    </row>
    <row r="66" spans="1:17" ht="15.75" thickBot="1">
      <c r="A66" s="365"/>
      <c r="B66" s="472"/>
      <c r="C66" s="465"/>
      <c r="D66" s="465"/>
      <c r="E66" s="465"/>
      <c r="F66" s="465"/>
      <c r="G66" s="465"/>
      <c r="H66" s="465"/>
      <c r="I66" s="465"/>
      <c r="J66" s="465"/>
      <c r="K66" s="465"/>
      <c r="L66" s="465"/>
      <c r="M66" s="466"/>
      <c r="N66" s="876"/>
      <c r="O66" s="876"/>
      <c r="P66" s="1770"/>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6"/>
      <c r="O67" s="876"/>
      <c r="P67" s="1770"/>
      <c r="Q67" s="437"/>
    </row>
    <row r="68" spans="1:17" ht="15">
      <c r="A68" s="365"/>
      <c r="B68" s="477"/>
      <c r="C68" s="478"/>
      <c r="D68" s="478"/>
      <c r="E68" s="478"/>
      <c r="F68" s="478"/>
      <c r="G68" s="478"/>
      <c r="H68" s="478"/>
      <c r="I68" s="478"/>
      <c r="J68" s="478"/>
      <c r="K68" s="479"/>
      <c r="L68" s="480"/>
      <c r="M68" s="481"/>
      <c r="N68" s="875"/>
      <c r="O68" s="875"/>
      <c r="P68" s="1770"/>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6"/>
      <c r="O69" s="876"/>
      <c r="P69" s="1770"/>
      <c r="Q69" s="437"/>
    </row>
    <row r="70" spans="1:17" s="406" customFormat="1" ht="15.75" thickTop="1">
      <c r="A70" s="482"/>
      <c r="B70" s="467">
        <f>B12</f>
        <v>111</v>
      </c>
      <c r="C70" s="483"/>
      <c r="D70" s="483"/>
      <c r="E70" s="483"/>
      <c r="F70" s="483"/>
      <c r="G70" s="483"/>
      <c r="H70" s="484"/>
      <c r="I70" s="484"/>
      <c r="J70" s="484"/>
      <c r="K70" s="484"/>
      <c r="L70" s="485"/>
      <c r="M70" s="486"/>
      <c r="N70" s="877"/>
      <c r="O70" s="877"/>
      <c r="P70" s="1771"/>
      <c r="Q70" s="488"/>
    </row>
    <row r="71" spans="1:17" s="406" customFormat="1" ht="15.75" thickBot="1">
      <c r="A71" s="482"/>
      <c r="B71" s="472"/>
      <c r="C71" s="489"/>
      <c r="D71" s="465"/>
      <c r="E71" s="465"/>
      <c r="F71" s="465"/>
      <c r="G71" s="465"/>
      <c r="H71" s="465"/>
      <c r="I71" s="465"/>
      <c r="J71" s="465"/>
      <c r="K71" s="465"/>
      <c r="L71" s="465"/>
      <c r="M71" s="466"/>
      <c r="N71" s="876"/>
      <c r="O71" s="876"/>
      <c r="P71" s="1771"/>
      <c r="Q71" s="488"/>
    </row>
    <row r="72" spans="1:17" s="406" customFormat="1" ht="15.75" thickTop="1">
      <c r="A72" s="482"/>
      <c r="B72" s="467">
        <f>B13</f>
        <v>111</v>
      </c>
      <c r="C72" s="483"/>
      <c r="D72" s="483"/>
      <c r="E72" s="483"/>
      <c r="F72" s="483"/>
      <c r="G72" s="483"/>
      <c r="H72" s="484"/>
      <c r="I72" s="484"/>
      <c r="J72" s="484"/>
      <c r="K72" s="484"/>
      <c r="L72" s="485"/>
      <c r="M72" s="486"/>
      <c r="N72" s="877"/>
      <c r="O72" s="877"/>
      <c r="P72" s="1772"/>
      <c r="Q72" s="490"/>
    </row>
    <row r="73" spans="1:17" s="406" customFormat="1" ht="15.75" thickBot="1">
      <c r="A73" s="482"/>
      <c r="B73" s="472"/>
      <c r="C73" s="489"/>
      <c r="D73" s="489"/>
      <c r="E73" s="489"/>
      <c r="F73" s="489"/>
      <c r="G73" s="489"/>
      <c r="H73" s="491"/>
      <c r="I73" s="491"/>
      <c r="J73" s="491"/>
      <c r="K73" s="491"/>
      <c r="L73" s="491"/>
      <c r="M73" s="492"/>
      <c r="N73" s="877"/>
      <c r="O73" s="877"/>
      <c r="P73" s="1771"/>
      <c r="Q73" s="488"/>
    </row>
    <row r="74" spans="1:17" s="406" customFormat="1" ht="15.75" thickTop="1">
      <c r="A74" s="482"/>
      <c r="B74" s="475">
        <f>B14</f>
        <v>111</v>
      </c>
      <c r="C74" s="483"/>
      <c r="D74" s="483"/>
      <c r="E74" s="483"/>
      <c r="F74" s="483"/>
      <c r="G74" s="31"/>
      <c r="H74" s="493"/>
      <c r="I74" s="493"/>
      <c r="J74" s="493"/>
      <c r="K74" s="493"/>
      <c r="L74" s="494"/>
      <c r="M74" s="495"/>
      <c r="N74" s="877"/>
      <c r="O74" s="877"/>
      <c r="P74" s="1773"/>
      <c r="Q74" s="488"/>
    </row>
    <row r="75" spans="1:17" s="406" customFormat="1" ht="15.75" thickBot="1">
      <c r="A75" s="497"/>
      <c r="B75" s="498"/>
      <c r="C75" s="499"/>
      <c r="D75" s="499"/>
      <c r="E75" s="499"/>
      <c r="F75" s="499"/>
      <c r="G75" s="499"/>
      <c r="H75" s="500"/>
      <c r="I75" s="500"/>
      <c r="J75" s="500"/>
      <c r="K75" s="500"/>
      <c r="L75" s="500"/>
      <c r="M75" s="501"/>
      <c r="N75" s="877"/>
      <c r="O75" s="877"/>
      <c r="P75" s="1771"/>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5"/>
      <c r="O76" s="875"/>
      <c r="P76" s="1774"/>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6"/>
      <c r="O77" s="876"/>
      <c r="P77" s="1770"/>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5"/>
      <c r="O78" s="875"/>
      <c r="P78" s="1770"/>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6"/>
      <c r="O79" s="876"/>
      <c r="P79" s="1770"/>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5"/>
      <c r="O80" s="875"/>
      <c r="P80" s="1770"/>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6"/>
      <c r="O81" s="876"/>
      <c r="P81" s="1770"/>
      <c r="Q81" s="437"/>
    </row>
    <row r="82" spans="1:17" ht="15.75" thickTop="1">
      <c r="A82" s="365"/>
      <c r="B82" s="475" t="s">
        <v>1260</v>
      </c>
      <c r="C82" s="468" t="s">
        <v>1728</v>
      </c>
      <c r="D82" s="468" t="s">
        <v>1729</v>
      </c>
      <c r="E82" s="468" t="s">
        <v>1730</v>
      </c>
      <c r="F82" s="468" t="s">
        <v>1731</v>
      </c>
      <c r="G82" s="468" t="s">
        <v>1732</v>
      </c>
      <c r="H82" s="468"/>
      <c r="I82" s="468"/>
      <c r="J82" s="468"/>
      <c r="K82" s="468"/>
      <c r="L82" s="468"/>
      <c r="M82" s="1059"/>
      <c r="N82" s="876"/>
      <c r="O82" s="876"/>
      <c r="P82" s="1770"/>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6"/>
      <c r="O83" s="876"/>
      <c r="P83" s="1770"/>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5"/>
      <c r="O84" s="875"/>
      <c r="P84" s="1770"/>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6"/>
      <c r="O85" s="876"/>
      <c r="P85" s="1770"/>
      <c r="Q85" s="437"/>
    </row>
    <row r="86" spans="1:17" s="101" customFormat="1" ht="15.75" thickTop="1">
      <c r="A86" s="368"/>
      <c r="B86" s="467" t="s">
        <v>1734</v>
      </c>
      <c r="C86" s="483"/>
      <c r="D86" s="483"/>
      <c r="E86" s="483"/>
      <c r="F86" s="483"/>
      <c r="G86" s="483"/>
      <c r="H86" s="483"/>
      <c r="I86" s="483"/>
      <c r="J86" s="483"/>
      <c r="K86" s="483"/>
      <c r="L86" s="508"/>
      <c r="M86" s="509"/>
      <c r="N86" s="874"/>
      <c r="O86" s="874"/>
      <c r="P86" s="1770"/>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6"/>
      <c r="O87" s="876"/>
      <c r="P87" s="1770"/>
      <c r="Q87" s="437"/>
    </row>
    <row r="88" spans="1:17" s="101" customFormat="1" ht="15.75" thickTop="1">
      <c r="A88" s="368"/>
      <c r="B88" s="467" t="s">
        <v>1735</v>
      </c>
      <c r="C88" s="483"/>
      <c r="D88" s="483"/>
      <c r="E88" s="483"/>
      <c r="F88" s="1775"/>
      <c r="G88" s="483"/>
      <c r="H88" s="483"/>
      <c r="I88" s="483"/>
      <c r="J88" s="483"/>
      <c r="K88" s="483"/>
      <c r="L88" s="483"/>
      <c r="M88" s="509"/>
      <c r="N88" s="874"/>
      <c r="O88" s="874"/>
      <c r="P88" s="1770"/>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6"/>
      <c r="O89" s="876"/>
      <c r="P89" s="1770"/>
      <c r="Q89" s="437"/>
    </row>
    <row r="90" spans="1:17" s="406" customFormat="1" ht="15.75" thickTop="1">
      <c r="A90" s="482"/>
      <c r="B90" s="467">
        <f>B27</f>
        <v>111</v>
      </c>
      <c r="C90" s="483"/>
      <c r="D90" s="483"/>
      <c r="E90" s="483"/>
      <c r="F90" s="483"/>
      <c r="G90" s="483"/>
      <c r="H90" s="484"/>
      <c r="I90" s="484"/>
      <c r="J90" s="484"/>
      <c r="K90" s="484"/>
      <c r="L90" s="485"/>
      <c r="M90" s="486"/>
      <c r="N90" s="877"/>
      <c r="O90" s="877"/>
      <c r="P90" s="1771"/>
      <c r="Q90" s="488"/>
    </row>
    <row r="91" spans="1:17" s="406" customFormat="1" ht="15.75" thickBot="1">
      <c r="A91" s="482"/>
      <c r="B91" s="472"/>
      <c r="C91" s="489"/>
      <c r="D91" s="489"/>
      <c r="E91" s="489"/>
      <c r="F91" s="489"/>
      <c r="G91" s="489"/>
      <c r="H91" s="491"/>
      <c r="I91" s="491"/>
      <c r="J91" s="491"/>
      <c r="K91" s="491"/>
      <c r="L91" s="491"/>
      <c r="M91" s="492"/>
      <c r="N91" s="877"/>
      <c r="O91" s="877"/>
      <c r="P91" s="1771"/>
      <c r="Q91" s="488"/>
    </row>
    <row r="92" spans="1:17" ht="15.75" thickTop="1">
      <c r="A92" s="365"/>
      <c r="B92" s="467">
        <f>B28</f>
        <v>111</v>
      </c>
      <c r="C92" s="483"/>
      <c r="D92" s="483"/>
      <c r="E92" s="483"/>
      <c r="F92" s="483"/>
      <c r="G92" s="511"/>
      <c r="H92" s="511"/>
      <c r="I92" s="511"/>
      <c r="J92" s="511"/>
      <c r="K92" s="512"/>
      <c r="L92" s="513"/>
      <c r="M92" s="514"/>
      <c r="N92" s="875"/>
      <c r="O92" s="875"/>
      <c r="P92" s="1770"/>
      <c r="Q92" s="437"/>
    </row>
    <row r="93" spans="1:17" ht="15.75" thickBot="1">
      <c r="A93" s="365"/>
      <c r="B93" s="472"/>
      <c r="C93" s="489"/>
      <c r="D93" s="465"/>
      <c r="E93" s="465"/>
      <c r="F93" s="465"/>
      <c r="G93" s="465"/>
      <c r="H93" s="465"/>
      <c r="I93" s="465"/>
      <c r="J93" s="465"/>
      <c r="K93" s="465"/>
      <c r="L93" s="465"/>
      <c r="M93" s="466"/>
      <c r="N93" s="876"/>
      <c r="O93" s="876"/>
      <c r="P93" s="1770"/>
      <c r="Q93" s="437"/>
    </row>
    <row r="94" spans="1:17" ht="15.75" thickTop="1">
      <c r="A94" s="365"/>
      <c r="B94" s="467">
        <f>B29</f>
        <v>111</v>
      </c>
      <c r="C94" s="483"/>
      <c r="D94" s="483"/>
      <c r="E94" s="483"/>
      <c r="F94" s="483"/>
      <c r="G94" s="511"/>
      <c r="H94" s="511"/>
      <c r="I94" s="511"/>
      <c r="J94" s="511"/>
      <c r="K94" s="512"/>
      <c r="L94" s="513"/>
      <c r="M94" s="514"/>
      <c r="N94" s="875"/>
      <c r="O94" s="875"/>
      <c r="P94" s="1770"/>
      <c r="Q94" s="437"/>
    </row>
    <row r="95" spans="1:17" ht="15.75" thickBot="1">
      <c r="A95" s="365"/>
      <c r="B95" s="472"/>
      <c r="C95" s="489"/>
      <c r="D95" s="489"/>
      <c r="E95" s="489"/>
      <c r="F95" s="489"/>
      <c r="G95" s="465"/>
      <c r="H95" s="465"/>
      <c r="I95" s="465"/>
      <c r="J95" s="465"/>
      <c r="K95" s="465"/>
      <c r="L95" s="465"/>
      <c r="M95" s="466"/>
      <c r="N95" s="876"/>
      <c r="O95" s="876"/>
      <c r="P95" s="1770"/>
      <c r="Q95" s="437"/>
    </row>
    <row r="96" spans="1:17" ht="15.75" thickTop="1">
      <c r="A96" s="365"/>
      <c r="B96" s="467">
        <f>B30</f>
        <v>111</v>
      </c>
      <c r="C96" s="483"/>
      <c r="D96" s="483"/>
      <c r="E96" s="483"/>
      <c r="F96" s="483"/>
      <c r="G96" s="511"/>
      <c r="H96" s="511"/>
      <c r="I96" s="511"/>
      <c r="J96" s="511"/>
      <c r="K96" s="512"/>
      <c r="L96" s="513"/>
      <c r="M96" s="514"/>
      <c r="N96" s="875"/>
      <c r="O96" s="875"/>
      <c r="P96" s="1770"/>
      <c r="Q96" s="437"/>
    </row>
    <row r="97" spans="1:17" ht="15.75" thickBot="1">
      <c r="A97" s="365"/>
      <c r="B97" s="472"/>
      <c r="C97" s="499"/>
      <c r="D97" s="499"/>
      <c r="E97" s="499"/>
      <c r="F97" s="499"/>
      <c r="G97" s="465"/>
      <c r="H97" s="465"/>
      <c r="I97" s="465"/>
      <c r="J97" s="465"/>
      <c r="K97" s="465"/>
      <c r="L97" s="465"/>
      <c r="M97" s="466"/>
      <c r="N97" s="876"/>
      <c r="O97" s="876"/>
      <c r="P97" s="1770"/>
      <c r="Q97" s="437"/>
    </row>
    <row r="98" spans="1:17" ht="15.75" thickTop="1">
      <c r="A98" s="365"/>
      <c r="B98" s="475">
        <f>B31</f>
        <v>111</v>
      </c>
      <c r="C98" s="515"/>
      <c r="D98" s="515"/>
      <c r="E98" s="515"/>
      <c r="F98" s="515"/>
      <c r="G98" s="515"/>
      <c r="H98" s="515"/>
      <c r="I98" s="515"/>
      <c r="J98" s="515"/>
      <c r="K98" s="516"/>
      <c r="L98" s="517"/>
      <c r="M98" s="518"/>
      <c r="N98" s="875"/>
      <c r="O98" s="875"/>
      <c r="P98" s="1770"/>
      <c r="Q98" s="437"/>
    </row>
    <row r="99" spans="1:17" ht="15.75" thickBot="1">
      <c r="A99" s="373"/>
      <c r="B99" s="498"/>
      <c r="C99" s="519"/>
      <c r="D99" s="519"/>
      <c r="E99" s="519"/>
      <c r="F99" s="519"/>
      <c r="G99" s="519"/>
      <c r="H99" s="519"/>
      <c r="I99" s="519"/>
      <c r="J99" s="519"/>
      <c r="K99" s="519"/>
      <c r="L99" s="519"/>
      <c r="M99" s="520"/>
      <c r="N99" s="876"/>
      <c r="O99" s="876"/>
      <c r="P99" s="1770"/>
      <c r="Q99" s="437"/>
    </row>
    <row r="100" spans="1:17">
      <c r="A100" s="377" t="s">
        <v>1694</v>
      </c>
      <c r="B100" s="458" t="s">
        <v>1736</v>
      </c>
      <c r="C100" s="460"/>
      <c r="D100" s="460"/>
      <c r="E100" s="460"/>
      <c r="F100" s="460"/>
      <c r="G100" s="460"/>
      <c r="H100" s="460"/>
      <c r="I100" s="460"/>
      <c r="J100" s="460"/>
      <c r="K100" s="461"/>
      <c r="L100" s="462"/>
      <c r="M100" s="463"/>
      <c r="N100" s="875"/>
      <c r="O100" s="875"/>
      <c r="P100" s="1770"/>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6"/>
      <c r="O101" s="876"/>
      <c r="P101" s="1770"/>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4"/>
      <c r="O102" s="874"/>
      <c r="P102" s="1770"/>
      <c r="Q102" s="437"/>
    </row>
    <row r="103" spans="1:17" s="406" customFormat="1">
      <c r="A103" s="404"/>
      <c r="B103" s="521"/>
      <c r="C103" s="6"/>
      <c r="D103" s="6"/>
      <c r="E103" s="6"/>
      <c r="F103" s="6"/>
      <c r="G103" s="6"/>
      <c r="H103" s="6"/>
      <c r="I103" s="6"/>
      <c r="J103" s="522"/>
      <c r="K103" s="522"/>
      <c r="L103" s="523"/>
      <c r="M103" s="524"/>
      <c r="N103" s="877"/>
      <c r="O103" s="877"/>
      <c r="P103" s="1771"/>
      <c r="Q103" s="488"/>
    </row>
    <row r="104" spans="1:17" s="406" customFormat="1" ht="15.75" thickBot="1">
      <c r="A104" s="482"/>
      <c r="B104" s="472"/>
      <c r="C104" s="489"/>
      <c r="D104" s="465"/>
      <c r="E104" s="465"/>
      <c r="F104" s="465"/>
      <c r="G104" s="465"/>
      <c r="H104" s="465"/>
      <c r="I104" s="465"/>
      <c r="J104" s="465"/>
      <c r="K104" s="465"/>
      <c r="L104" s="465"/>
      <c r="M104" s="465"/>
      <c r="N104" s="876"/>
      <c r="O104" s="876"/>
      <c r="P104" s="1771"/>
      <c r="Q104" s="488"/>
    </row>
    <row r="105" spans="1:17" ht="15" thickTop="1">
      <c r="A105" s="407"/>
      <c r="B105" s="467" t="s">
        <v>1738</v>
      </c>
      <c r="C105" s="483"/>
      <c r="D105" s="483"/>
      <c r="E105" s="511"/>
      <c r="F105" s="511"/>
      <c r="G105" s="511"/>
      <c r="H105" s="511"/>
      <c r="I105" s="511"/>
      <c r="J105" s="511"/>
      <c r="K105" s="512"/>
      <c r="L105" s="513"/>
      <c r="M105" s="514"/>
      <c r="N105" s="875"/>
      <c r="O105" s="875"/>
      <c r="P105" s="1770"/>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6"/>
      <c r="O106" s="876"/>
      <c r="P106" s="1770"/>
      <c r="Q106" s="437"/>
    </row>
    <row r="107" spans="1:17" ht="15" thickTop="1">
      <c r="A107" s="407"/>
      <c r="B107" s="467" t="s">
        <v>1739</v>
      </c>
      <c r="C107" s="511"/>
      <c r="D107" s="511"/>
      <c r="E107" s="511"/>
      <c r="F107" s="511"/>
      <c r="G107" s="511"/>
      <c r="H107" s="511"/>
      <c r="I107" s="511"/>
      <c r="J107" s="511"/>
      <c r="K107" s="512"/>
      <c r="L107" s="513"/>
      <c r="M107" s="514"/>
      <c r="N107" s="875"/>
      <c r="O107" s="875"/>
      <c r="P107" s="1770"/>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6"/>
      <c r="O108" s="876"/>
      <c r="P108" s="1770"/>
      <c r="Q108" s="437"/>
    </row>
    <row r="109" spans="1:17" ht="15" thickTop="1">
      <c r="A109" s="407"/>
      <c r="B109" s="467" t="s">
        <v>1740</v>
      </c>
      <c r="C109" s="483"/>
      <c r="D109" s="483"/>
      <c r="E109" s="483"/>
      <c r="F109" s="511"/>
      <c r="G109" s="511"/>
      <c r="H109" s="511"/>
      <c r="I109" s="511"/>
      <c r="J109" s="511"/>
      <c r="K109" s="512"/>
      <c r="L109" s="513"/>
      <c r="M109" s="514"/>
      <c r="N109" s="875"/>
      <c r="O109" s="875"/>
      <c r="P109" s="1770"/>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6"/>
      <c r="O110" s="876"/>
      <c r="P110" s="1770"/>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71"/>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71"/>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7"/>
      <c r="O113" s="877"/>
      <c r="P113" s="1771"/>
      <c r="Q113" s="488"/>
    </row>
    <row r="114" spans="1:17" ht="15" thickTop="1">
      <c r="A114" s="407"/>
      <c r="B114" s="467" t="s">
        <v>1741</v>
      </c>
      <c r="C114" s="483"/>
      <c r="D114" s="483"/>
      <c r="E114" s="511"/>
      <c r="F114" s="511"/>
      <c r="G114" s="511"/>
      <c r="H114" s="511"/>
      <c r="I114" s="511"/>
      <c r="J114" s="511"/>
      <c r="K114" s="512"/>
      <c r="L114" s="513"/>
      <c r="M114" s="514"/>
      <c r="N114" s="875"/>
      <c r="O114" s="875"/>
      <c r="P114" s="1770"/>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6"/>
      <c r="O115" s="876"/>
      <c r="P115" s="1770"/>
      <c r="Q115" s="437"/>
    </row>
    <row r="116" spans="1:17" ht="15" thickTop="1">
      <c r="A116" s="407"/>
      <c r="B116" s="467" t="s">
        <v>1742</v>
      </c>
      <c r="C116" s="483"/>
      <c r="D116" s="483"/>
      <c r="E116" s="483"/>
      <c r="F116" s="483"/>
      <c r="G116" s="483"/>
      <c r="H116" s="511"/>
      <c r="I116" s="511"/>
      <c r="J116" s="511"/>
      <c r="K116" s="512"/>
      <c r="L116" s="513"/>
      <c r="M116" s="514"/>
      <c r="N116" s="875"/>
      <c r="O116" s="875"/>
      <c r="P116" s="1770"/>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6"/>
      <c r="O117" s="876"/>
      <c r="P117" s="1770"/>
      <c r="Q117" s="437"/>
    </row>
    <row r="118" spans="1:17" ht="15" thickTop="1">
      <c r="A118" s="407"/>
      <c r="B118" s="467" t="s">
        <v>1743</v>
      </c>
      <c r="C118" s="511"/>
      <c r="D118" s="511"/>
      <c r="E118" s="511"/>
      <c r="F118" s="511"/>
      <c r="G118" s="511"/>
      <c r="H118" s="511"/>
      <c r="I118" s="511"/>
      <c r="J118" s="511"/>
      <c r="K118" s="512"/>
      <c r="L118" s="513"/>
      <c r="M118" s="514"/>
      <c r="N118" s="875"/>
      <c r="O118" s="875"/>
      <c r="P118" s="1770"/>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6"/>
      <c r="O119" s="876"/>
      <c r="P119" s="1770"/>
      <c r="Q119" s="437"/>
    </row>
    <row r="120" spans="1:17" s="406" customFormat="1" ht="28.5" thickTop="1">
      <c r="A120" s="404"/>
      <c r="B120" s="467" t="s">
        <v>1705</v>
      </c>
      <c r="C120" s="483"/>
      <c r="D120" s="483"/>
      <c r="E120" s="483"/>
      <c r="F120" s="483"/>
      <c r="G120" s="483"/>
      <c r="H120" s="483"/>
      <c r="I120" s="483"/>
      <c r="J120" s="483"/>
      <c r="K120" s="483"/>
      <c r="L120" s="508"/>
      <c r="M120" s="509"/>
      <c r="N120" s="877"/>
      <c r="O120" s="877"/>
      <c r="P120" s="1771"/>
      <c r="Q120" s="488"/>
    </row>
    <row r="121" spans="1:17" s="406" customFormat="1" ht="15.75" thickBot="1">
      <c r="A121" s="482"/>
      <c r="B121" s="464"/>
      <c r="C121" s="489"/>
      <c r="D121" s="465"/>
      <c r="E121" s="465"/>
      <c r="F121" s="465"/>
      <c r="G121" s="465"/>
      <c r="H121" s="465"/>
      <c r="I121" s="465"/>
      <c r="J121" s="465"/>
      <c r="K121" s="465"/>
      <c r="L121" s="465"/>
      <c r="M121" s="465"/>
      <c r="N121" s="877"/>
      <c r="O121" s="877"/>
      <c r="P121" s="1771"/>
      <c r="Q121" s="488"/>
    </row>
    <row r="122" spans="1:17" ht="15" thickTop="1">
      <c r="A122" s="407"/>
      <c r="B122" s="467" t="s">
        <v>1744</v>
      </c>
      <c r="C122" s="483"/>
      <c r="D122" s="483"/>
      <c r="E122" s="483"/>
      <c r="F122" s="511"/>
      <c r="G122" s="511"/>
      <c r="H122" s="511"/>
      <c r="I122" s="511"/>
      <c r="J122" s="511"/>
      <c r="K122" s="512"/>
      <c r="L122" s="513"/>
      <c r="M122" s="514"/>
      <c r="N122" s="875"/>
      <c r="O122" s="875"/>
      <c r="P122" s="1770"/>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6"/>
      <c r="O123" s="876"/>
      <c r="P123" s="1770"/>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71"/>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6"/>
      <c r="O125" s="876"/>
      <c r="P125" s="1770"/>
      <c r="Q125" s="437"/>
    </row>
    <row r="126" spans="1:17" s="406" customFormat="1" ht="15" thickTop="1">
      <c r="A126" s="404"/>
      <c r="B126" s="467">
        <f>B44</f>
        <v>111</v>
      </c>
      <c r="C126" s="483"/>
      <c r="D126" s="483"/>
      <c r="E126" s="483"/>
      <c r="F126" s="483"/>
      <c r="G126" s="483"/>
      <c r="H126" s="484"/>
      <c r="I126" s="484"/>
      <c r="J126" s="484"/>
      <c r="K126" s="484"/>
      <c r="L126" s="485"/>
      <c r="M126" s="486"/>
      <c r="N126" s="877"/>
      <c r="O126" s="877"/>
      <c r="P126" s="1771"/>
      <c r="Q126" s="488"/>
    </row>
    <row r="127" spans="1:17" s="406" customFormat="1" ht="15.75" thickBot="1">
      <c r="A127" s="482"/>
      <c r="B127" s="472"/>
      <c r="C127" s="489"/>
      <c r="D127" s="465"/>
      <c r="E127" s="465"/>
      <c r="F127" s="465"/>
      <c r="G127" s="489"/>
      <c r="H127" s="491"/>
      <c r="I127" s="491"/>
      <c r="J127" s="491"/>
      <c r="K127" s="491"/>
      <c r="L127" s="491"/>
      <c r="M127" s="492"/>
      <c r="N127" s="877"/>
      <c r="O127" s="877"/>
      <c r="P127" s="1771"/>
      <c r="Q127" s="488"/>
    </row>
    <row r="128" spans="1:17" ht="15" thickTop="1">
      <c r="A128" s="407"/>
      <c r="B128" s="467">
        <f>B45</f>
        <v>111</v>
      </c>
      <c r="C128" s="483"/>
      <c r="D128" s="483"/>
      <c r="E128" s="483"/>
      <c r="F128" s="483"/>
      <c r="G128" s="511"/>
      <c r="H128" s="511"/>
      <c r="I128" s="511"/>
      <c r="J128" s="511"/>
      <c r="K128" s="512"/>
      <c r="L128" s="513"/>
      <c r="M128" s="514"/>
      <c r="N128" s="875"/>
      <c r="O128" s="875"/>
      <c r="P128" s="1770"/>
      <c r="Q128" s="437"/>
    </row>
    <row r="129" spans="1:17" ht="15.75" thickBot="1">
      <c r="A129" s="365"/>
      <c r="B129" s="472"/>
      <c r="C129" s="489"/>
      <c r="D129" s="489"/>
      <c r="E129" s="489"/>
      <c r="F129" s="489"/>
      <c r="G129" s="465"/>
      <c r="H129" s="465"/>
      <c r="I129" s="465"/>
      <c r="J129" s="465"/>
      <c r="K129" s="465"/>
      <c r="L129" s="465"/>
      <c r="M129" s="466"/>
      <c r="N129" s="876"/>
      <c r="O129" s="876"/>
      <c r="P129" s="1770"/>
      <c r="Q129" s="437"/>
    </row>
    <row r="130" spans="1:17" ht="15" thickTop="1">
      <c r="A130" s="407"/>
      <c r="B130" s="475">
        <f>B46</f>
        <v>111</v>
      </c>
      <c r="C130" s="483"/>
      <c r="D130" s="483"/>
      <c r="E130" s="483"/>
      <c r="F130" s="483"/>
      <c r="G130" s="515"/>
      <c r="H130" s="515"/>
      <c r="I130" s="515"/>
      <c r="J130" s="515"/>
      <c r="K130" s="31"/>
      <c r="L130" s="455"/>
      <c r="M130" s="518"/>
      <c r="N130" s="875"/>
      <c r="O130" s="875"/>
      <c r="P130" s="1770"/>
      <c r="Q130" s="437"/>
    </row>
    <row r="131" spans="1:17" ht="15.75" thickBot="1">
      <c r="A131" s="373"/>
      <c r="B131" s="498"/>
      <c r="C131" s="499"/>
      <c r="D131" s="499"/>
      <c r="E131" s="499"/>
      <c r="F131" s="499"/>
      <c r="G131" s="519"/>
      <c r="H131" s="519"/>
      <c r="I131" s="519"/>
      <c r="J131" s="519"/>
      <c r="K131" s="519"/>
      <c r="L131" s="519"/>
      <c r="M131" s="520"/>
      <c r="N131" s="876"/>
      <c r="O131" s="876"/>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7" t="s">
        <v>1749</v>
      </c>
      <c r="D138" s="127" t="s">
        <v>1750</v>
      </c>
      <c r="E138" s="1784" t="s">
        <v>1751</v>
      </c>
      <c r="F138" s="1785" t="s">
        <v>1752</v>
      </c>
      <c r="G138" s="127" t="s">
        <v>1750</v>
      </c>
      <c r="H138" s="128" t="s">
        <v>1751</v>
      </c>
      <c r="I138" s="1786"/>
      <c r="J138" s="127" t="s">
        <v>1753</v>
      </c>
      <c r="K138" s="128" t="s">
        <v>1754</v>
      </c>
    </row>
    <row r="139" spans="1:17" ht="15">
      <c r="B139" s="810">
        <v>6</v>
      </c>
      <c r="C139" s="811">
        <v>96</v>
      </c>
      <c r="D139" s="1787" t="s">
        <v>1755</v>
      </c>
      <c r="E139" s="812">
        <v>100</v>
      </c>
      <c r="F139" s="813">
        <v>102.5</v>
      </c>
      <c r="G139" s="1787" t="s">
        <v>1755</v>
      </c>
      <c r="H139" s="814">
        <v>105</v>
      </c>
      <c r="I139" s="1788" t="s">
        <v>1756</v>
      </c>
      <c r="J139" s="811">
        <v>20</v>
      </c>
      <c r="K139" s="815">
        <f>C145/(J139-2)</f>
        <v>4.0555555555555553E-3</v>
      </c>
    </row>
    <row r="140" spans="1:17" ht="15">
      <c r="B140" s="816">
        <v>5</v>
      </c>
      <c r="C140" s="817">
        <v>100</v>
      </c>
      <c r="D140" s="817"/>
      <c r="E140" s="818"/>
      <c r="F140" s="819">
        <v>102</v>
      </c>
      <c r="G140" s="817"/>
      <c r="H140" s="820"/>
      <c r="I140" s="1789" t="s">
        <v>1757</v>
      </c>
      <c r="J140" s="261">
        <f>ROUNDUP((J139-1)/2,0)</f>
        <v>10</v>
      </c>
      <c r="K140" s="821">
        <v>100</v>
      </c>
    </row>
    <row r="141" spans="1:17" ht="15">
      <c r="B141" s="816">
        <v>4</v>
      </c>
      <c r="C141" s="817">
        <v>102</v>
      </c>
      <c r="D141" s="817"/>
      <c r="E141" s="818"/>
      <c r="F141" s="819">
        <v>101.5</v>
      </c>
      <c r="G141" s="817"/>
      <c r="H141" s="820"/>
      <c r="I141" s="1789" t="s">
        <v>1758</v>
      </c>
      <c r="J141" s="261">
        <v>1</v>
      </c>
      <c r="K141" s="822">
        <f>ROUND(100+(J141-J140)*K139*100,1)</f>
        <v>96.4</v>
      </c>
    </row>
    <row r="142" spans="1:17" ht="15">
      <c r="B142" s="816">
        <v>3</v>
      </c>
      <c r="C142" s="817">
        <v>103</v>
      </c>
      <c r="D142" s="817"/>
      <c r="E142" s="818"/>
      <c r="F142" s="819">
        <v>101</v>
      </c>
      <c r="G142" s="817"/>
      <c r="H142" s="820"/>
      <c r="I142" s="1789" t="s">
        <v>1759</v>
      </c>
      <c r="J142" s="261">
        <f>J139</f>
        <v>20</v>
      </c>
      <c r="K142" s="823">
        <v>95</v>
      </c>
    </row>
    <row r="143" spans="1:17" ht="15">
      <c r="B143" s="816">
        <v>2</v>
      </c>
      <c r="C143" s="817">
        <v>100</v>
      </c>
      <c r="D143" s="817"/>
      <c r="E143" s="818"/>
      <c r="F143" s="819">
        <v>100.5</v>
      </c>
      <c r="G143" s="817"/>
      <c r="H143" s="820"/>
      <c r="I143" s="1789" t="s">
        <v>1760</v>
      </c>
      <c r="J143" s="817">
        <v>15</v>
      </c>
      <c r="K143" s="822">
        <f>ROUND(100+(J143-J140)*K139*100,1)</f>
        <v>102</v>
      </c>
    </row>
    <row r="144" spans="1:17" ht="15">
      <c r="B144" s="816">
        <v>1</v>
      </c>
      <c r="C144" s="817">
        <v>98</v>
      </c>
      <c r="D144" s="1790" t="s">
        <v>1761</v>
      </c>
      <c r="E144" s="818">
        <v>102</v>
      </c>
      <c r="F144" s="824">
        <v>100</v>
      </c>
      <c r="G144" s="1790" t="s">
        <v>1761</v>
      </c>
      <c r="H144" s="820">
        <v>105</v>
      </c>
      <c r="I144" s="1789" t="s">
        <v>1760</v>
      </c>
      <c r="J144" s="817">
        <v>18</v>
      </c>
      <c r="K144" s="822">
        <f>ROUND(100+(J144-J140)*K139*100,1)</f>
        <v>103.2</v>
      </c>
    </row>
    <row r="145" spans="2:11" ht="15.75" thickBot="1">
      <c r="B145" s="1791" t="s">
        <v>1762</v>
      </c>
      <c r="C145" s="825">
        <f>ROUND(MAX(C139:C144)/MIN(C139:C144)-1,3)</f>
        <v>7.2999999999999995E-2</v>
      </c>
      <c r="D145" s="826"/>
      <c r="E145" s="826"/>
      <c r="F145" s="1792" t="s">
        <v>1763</v>
      </c>
      <c r="G145" s="1793"/>
      <c r="H145" s="1794"/>
      <c r="I145" s="1795" t="s">
        <v>1760</v>
      </c>
      <c r="J145" s="827">
        <v>8</v>
      </c>
      <c r="K145" s="828">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受贵公司委托，我公司对北京市北京经济技术开发区兴海路1号院1号楼-3至6层商业、地下车库用房房地产抵押价值进行了预评估。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7.75">
      <c r="A8" s="1380" t="s">
        <v>901</v>
      </c>
    </row>
    <row r="9" spans="1:1" ht="18.75">
      <c r="A9" s="1379" t="s">
        <v>902</v>
      </c>
    </row>
    <row r="10" spans="1:1" ht="7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2024年11月18日（评估专业人员实地查勘之日）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896</v>
      </c>
    </row>
    <row r="24" spans="1:1" ht="18">
      <c r="A24" s="1382" t="str">
        <f>"本次评估采用的主估价方法为"&amp;结果表!K4&amp;"和"&amp;结果表!L4&amp;"。"</f>
        <v>本次评估采用的主估价方法为成本法和收益法。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T47" sqref="T47:T4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4"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1766</v>
      </c>
      <c r="C1" s="1150" t="s">
        <v>1662</v>
      </c>
      <c r="D1" s="1137"/>
      <c r="E1" s="3118"/>
      <c r="F1" s="1730"/>
      <c r="G1" s="1147" t="s">
        <v>1767</v>
      </c>
      <c r="H1" s="1146"/>
      <c r="I1" s="1146"/>
      <c r="J1" s="1146"/>
      <c r="K1" s="1148"/>
      <c r="L1" s="1149"/>
      <c r="M1" s="1150"/>
      <c r="N1" s="1150"/>
      <c r="O1" s="1150"/>
      <c r="P1" s="1796"/>
      <c r="Q1" s="1797"/>
      <c r="R1" s="1797"/>
      <c r="S1" s="1797"/>
      <c r="T1" s="1797"/>
      <c r="U1" s="1797"/>
      <c r="V1" s="1797"/>
      <c r="W1" s="1797"/>
      <c r="X1" s="1797"/>
      <c r="Y1" s="1797"/>
      <c r="Z1" s="1797"/>
      <c r="AA1" s="1797"/>
      <c r="AB1" s="1797"/>
      <c r="AC1" s="1798"/>
    </row>
    <row r="2" spans="1:29" s="340" customFormat="1" ht="28.5" customHeight="1" thickTop="1">
      <c r="A2" s="1133" t="s">
        <v>1462</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7"/>
      <c r="M2" s="2498"/>
      <c r="N2" s="2498"/>
      <c r="O2" s="2498"/>
      <c r="P2" s="1799"/>
      <c r="Q2" s="855"/>
      <c r="R2" s="855"/>
      <c r="S2" s="855"/>
      <c r="T2" s="855"/>
      <c r="U2" s="855"/>
      <c r="V2" s="855"/>
      <c r="W2" s="855"/>
      <c r="X2" s="855"/>
      <c r="Y2" s="855"/>
      <c r="Z2" s="855"/>
      <c r="AA2" s="855"/>
      <c r="AB2" s="855"/>
      <c r="AC2" s="1800"/>
    </row>
    <row r="3" spans="1:29" s="340" customFormat="1" ht="28.5" customHeight="1" thickBot="1">
      <c r="A3" s="193" t="s">
        <v>1464</v>
      </c>
      <c r="B3" s="534">
        <f>IF(C2="——",C49,ROUND(B2*10000/D3,0))</f>
        <v>0</v>
      </c>
      <c r="C3" s="342" t="s">
        <v>1768</v>
      </c>
      <c r="D3" s="341">
        <f>IF(D1="",'数据-汇总表'!E3,SUMIF('数据-汇总表'!$C19:$C33,D1,'数据-汇总表'!$E19:$E33))</f>
        <v>154306.03</v>
      </c>
      <c r="E3" s="1800"/>
      <c r="F3" s="852"/>
      <c r="G3" s="851"/>
      <c r="H3" s="851"/>
      <c r="I3" s="851"/>
      <c r="J3" s="851"/>
      <c r="K3" s="853"/>
      <c r="L3" s="2497"/>
      <c r="M3" s="2498"/>
      <c r="N3" s="2498"/>
      <c r="O3" s="2498"/>
      <c r="P3" s="1799"/>
      <c r="Q3" s="855"/>
      <c r="R3" s="855"/>
      <c r="S3" s="855"/>
      <c r="T3" s="855"/>
      <c r="U3" s="855"/>
      <c r="V3" s="855"/>
      <c r="W3" s="855"/>
      <c r="X3" s="855"/>
      <c r="Y3" s="855"/>
      <c r="Z3" s="855"/>
      <c r="AA3" s="855"/>
      <c r="AB3" s="855"/>
      <c r="AC3" s="1800"/>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395" t="s">
        <v>1775</v>
      </c>
      <c r="Q4" s="3396"/>
      <c r="R4" s="3401" t="s">
        <v>1771</v>
      </c>
      <c r="S4" s="3402"/>
      <c r="T4" s="3401" t="s">
        <v>1772</v>
      </c>
      <c r="U4" s="3402"/>
      <c r="V4" s="3388" t="s">
        <v>1773</v>
      </c>
      <c r="W4" s="3388"/>
      <c r="X4" s="1260"/>
      <c r="Y4" s="3401" t="s">
        <v>1775</v>
      </c>
      <c r="Z4" s="3402"/>
      <c r="AA4" s="3389" t="s">
        <v>1771</v>
      </c>
      <c r="AB4" s="3388" t="s">
        <v>1772</v>
      </c>
      <c r="AC4" s="3389" t="s">
        <v>1773</v>
      </c>
    </row>
    <row r="5" spans="1:29" ht="15">
      <c r="A5" s="346"/>
      <c r="B5" s="347"/>
      <c r="C5" s="3409" t="s">
        <v>1673</v>
      </c>
      <c r="D5" s="3410"/>
      <c r="E5" s="3416" t="s">
        <v>1674</v>
      </c>
      <c r="F5" s="3417"/>
      <c r="G5" s="3409" t="s">
        <v>1675</v>
      </c>
      <c r="H5" s="3410"/>
      <c r="I5" s="3409" t="s">
        <v>1676</v>
      </c>
      <c r="J5" s="3410"/>
      <c r="K5" s="535"/>
      <c r="L5" s="2480"/>
      <c r="M5" s="2481"/>
      <c r="N5" s="2481"/>
      <c r="O5" s="2481"/>
      <c r="P5" s="3397"/>
      <c r="Q5" s="3398"/>
      <c r="R5" s="3403"/>
      <c r="S5" s="3404"/>
      <c r="T5" s="3403"/>
      <c r="U5" s="3404"/>
      <c r="V5" s="3388"/>
      <c r="W5" s="3388"/>
      <c r="X5" s="1260"/>
      <c r="Y5" s="3403"/>
      <c r="Z5" s="3404"/>
      <c r="AA5" s="3390"/>
      <c r="AB5" s="3388"/>
      <c r="AC5" s="3390"/>
    </row>
    <row r="6" spans="1:29" ht="15.75" thickBot="1">
      <c r="A6" s="348"/>
      <c r="B6" s="349"/>
      <c r="C6" s="3407" t="s">
        <v>1677</v>
      </c>
      <c r="D6" s="3408"/>
      <c r="E6" s="3414" t="s">
        <v>1677</v>
      </c>
      <c r="F6" s="3415"/>
      <c r="G6" s="3407" t="s">
        <v>1677</v>
      </c>
      <c r="H6" s="3408"/>
      <c r="I6" s="3407" t="s">
        <v>1677</v>
      </c>
      <c r="J6" s="3408"/>
      <c r="K6" s="535" t="s">
        <v>1678</v>
      </c>
      <c r="L6" s="2480"/>
      <c r="M6" s="2481"/>
      <c r="N6" s="2481"/>
      <c r="O6" s="2481"/>
      <c r="P6" s="3399"/>
      <c r="Q6" s="3400"/>
      <c r="R6" s="3403"/>
      <c r="S6" s="3404"/>
      <c r="T6" s="3405"/>
      <c r="U6" s="3406"/>
      <c r="V6" s="3388"/>
      <c r="W6" s="3388"/>
      <c r="X6" s="1260"/>
      <c r="Y6" s="3405"/>
      <c r="Z6" s="3406"/>
      <c r="AA6" s="3391"/>
      <c r="AB6" s="3388"/>
      <c r="AC6" s="3391"/>
    </row>
    <row r="7" spans="1:29" s="101" customFormat="1" ht="15.75" thickBot="1">
      <c r="A7" s="350" t="s">
        <v>1679</v>
      </c>
      <c r="B7" s="351"/>
      <c r="C7" s="352">
        <f>'数据-取费表'!B2</f>
        <v>45614</v>
      </c>
      <c r="D7" s="353">
        <v>100</v>
      </c>
      <c r="E7" s="354"/>
      <c r="F7" s="355">
        <f>SUMIF(58:58,YEAR(E7)&amp;"-"&amp;MONTH(E7),59:59)</f>
        <v>0</v>
      </c>
      <c r="G7" s="354"/>
      <c r="H7" s="353">
        <f>SUMIF(58:58,YEAR(G7)&amp;"-"&amp;MONTH(G7),59:59)</f>
        <v>0</v>
      </c>
      <c r="I7" s="354"/>
      <c r="J7" s="353">
        <f>SUMIF(58:58,YEAR(I7)&amp;"-"&amp;MONTH(I7),59:59)</f>
        <v>0</v>
      </c>
      <c r="K7" s="38"/>
      <c r="L7" s="2482"/>
      <c r="M7" s="2434"/>
      <c r="N7" s="2434"/>
      <c r="O7" s="2434"/>
      <c r="P7" s="3411" t="s">
        <v>1680</v>
      </c>
      <c r="Q7" s="3413"/>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4"/>
      <c r="N8" s="2434"/>
      <c r="O8" s="2434"/>
      <c r="P8" s="3411" t="s">
        <v>1683</v>
      </c>
      <c r="Q8" s="3412"/>
      <c r="R8" s="660" t="s">
        <v>14</v>
      </c>
      <c r="S8" s="661">
        <f t="shared" si="0"/>
        <v>100</v>
      </c>
      <c r="T8" s="660" t="s">
        <v>14</v>
      </c>
      <c r="U8" s="661">
        <f t="shared" si="1"/>
        <v>100</v>
      </c>
      <c r="V8" s="660" t="s">
        <v>14</v>
      </c>
      <c r="W8" s="661">
        <f t="shared" si="2"/>
        <v>100</v>
      </c>
      <c r="X8" s="662"/>
      <c r="Y8" s="3411" t="s">
        <v>1683</v>
      </c>
      <c r="Z8" s="3412"/>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4"/>
      <c r="N9" s="2434"/>
      <c r="O9" s="2434"/>
      <c r="P9" s="3382" t="s">
        <v>1686</v>
      </c>
      <c r="Q9" s="528" t="str">
        <f t="shared" ref="Q9:Q15" si="6">B9</f>
        <v>用途</v>
      </c>
      <c r="R9" s="660" t="s">
        <v>14</v>
      </c>
      <c r="S9" s="661">
        <f t="shared" si="0"/>
        <v>100</v>
      </c>
      <c r="T9" s="660" t="s">
        <v>14</v>
      </c>
      <c r="U9" s="661">
        <f t="shared" si="1"/>
        <v>100</v>
      </c>
      <c r="V9" s="660" t="s">
        <v>14</v>
      </c>
      <c r="W9" s="661">
        <f t="shared" si="2"/>
        <v>100</v>
      </c>
      <c r="X9" s="662"/>
      <c r="Y9" s="3283" t="s">
        <v>1687</v>
      </c>
      <c r="Z9" s="50" t="str">
        <f t="shared" ref="Z9:Z15" si="7">Q9</f>
        <v>用途</v>
      </c>
      <c r="AA9" s="50">
        <f t="shared" si="3"/>
        <v>1</v>
      </c>
      <c r="AB9" s="50">
        <f t="shared" si="4"/>
        <v>1</v>
      </c>
      <c r="AC9" s="50">
        <f t="shared" si="5"/>
        <v>1</v>
      </c>
    </row>
    <row r="10" spans="1:29" s="364" customFormat="1" ht="27">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8"/>
      <c r="L10" s="2483"/>
      <c r="M10" s="2484"/>
      <c r="N10" s="2484"/>
      <c r="O10" s="2484"/>
      <c r="P10" s="3382"/>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382"/>
      <c r="Q11" s="528" t="str">
        <f t="shared" si="6"/>
        <v>容积率</v>
      </c>
      <c r="R11" s="660" t="s">
        <v>14</v>
      </c>
      <c r="S11" s="661" t="e">
        <f t="shared" si="0"/>
        <v>#N/A</v>
      </c>
      <c r="T11" s="660" t="s">
        <v>14</v>
      </c>
      <c r="U11" s="661" t="e">
        <f t="shared" si="1"/>
        <v>#N/A</v>
      </c>
      <c r="V11" s="660" t="s">
        <v>14</v>
      </c>
      <c r="W11" s="661" t="e">
        <f t="shared" si="2"/>
        <v>#N/A</v>
      </c>
      <c r="X11" s="662"/>
      <c r="Y11" s="3283"/>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4"/>
      <c r="N12" s="2434"/>
      <c r="O12" s="2434"/>
      <c r="P12" s="3382"/>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382"/>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50">
        <f t="shared" si="5"/>
        <v>1</v>
      </c>
    </row>
    <row r="14" spans="1:29" ht="15.75" thickBot="1">
      <c r="A14" s="373"/>
      <c r="B14" s="1744">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382"/>
      <c r="Q14" s="528">
        <f t="shared" si="6"/>
        <v>111</v>
      </c>
      <c r="R14" s="660" t="s">
        <v>14</v>
      </c>
      <c r="S14" s="661">
        <f t="shared" si="0"/>
        <v>100</v>
      </c>
      <c r="T14" s="660" t="s">
        <v>14</v>
      </c>
      <c r="U14" s="661">
        <f t="shared" si="1"/>
        <v>100</v>
      </c>
      <c r="V14" s="660" t="s">
        <v>14</v>
      </c>
      <c r="W14" s="661">
        <f t="shared" si="2"/>
        <v>100</v>
      </c>
      <c r="X14" s="662"/>
      <c r="Y14" s="3283"/>
      <c r="Z14" s="50">
        <f t="shared" si="7"/>
        <v>111</v>
      </c>
      <c r="AA14" s="50">
        <f t="shared" si="3"/>
        <v>1</v>
      </c>
      <c r="AB14" s="50">
        <f t="shared" si="4"/>
        <v>1</v>
      </c>
      <c r="AC14" s="50">
        <f t="shared" si="5"/>
        <v>1</v>
      </c>
    </row>
    <row r="15" spans="1:29" ht="71.25">
      <c r="A15" s="377" t="s">
        <v>1690</v>
      </c>
      <c r="B15" s="58" t="s">
        <v>1777</v>
      </c>
      <c r="C15" s="1745" t="str">
        <f>估价对象房地状况!C4</f>
        <v>位于亦庄，周边商业氛围成熟度一般，人流量较大，商业繁华度一般</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452" t="s">
        <v>1691</v>
      </c>
      <c r="Q15" s="1258" t="str">
        <f t="shared" si="6"/>
        <v>商业繁华度</v>
      </c>
      <c r="R15" s="663" t="s">
        <v>14</v>
      </c>
      <c r="S15" s="664">
        <f t="shared" si="0"/>
        <v>100</v>
      </c>
      <c r="T15" s="663" t="s">
        <v>14</v>
      </c>
      <c r="U15" s="664">
        <f t="shared" si="1"/>
        <v>100</v>
      </c>
      <c r="V15" s="663" t="s">
        <v>14</v>
      </c>
      <c r="W15" s="664">
        <f t="shared" si="2"/>
        <v>100</v>
      </c>
      <c r="X15" s="1260"/>
      <c r="Y15" s="3384"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6"/>
      <c r="M16" s="2481"/>
      <c r="N16" s="2481"/>
      <c r="O16" s="2481"/>
      <c r="P16" s="3453"/>
      <c r="Q16" s="1258"/>
      <c r="R16" s="663"/>
      <c r="S16" s="664"/>
      <c r="T16" s="663"/>
      <c r="U16" s="664"/>
      <c r="V16" s="663"/>
      <c r="W16" s="664"/>
      <c r="X16" s="1260"/>
      <c r="Y16" s="3385"/>
      <c r="Z16" s="1259"/>
      <c r="AA16" s="1259">
        <v>1</v>
      </c>
      <c r="AB16" s="1259">
        <v>1</v>
      </c>
      <c r="AC16" s="1259">
        <v>1</v>
      </c>
    </row>
    <row r="17" spans="1:29" ht="85.5">
      <c r="A17" s="365"/>
      <c r="B17" s="388" t="s">
        <v>1259</v>
      </c>
      <c r="C17" s="1749"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453"/>
      <c r="Q17" s="1258" t="str">
        <f>B17</f>
        <v>交通便捷度</v>
      </c>
      <c r="R17" s="663" t="s">
        <v>14</v>
      </c>
      <c r="S17" s="664">
        <f>F17</f>
        <v>100</v>
      </c>
      <c r="T17" s="663" t="s">
        <v>14</v>
      </c>
      <c r="U17" s="664">
        <f>H17</f>
        <v>100</v>
      </c>
      <c r="V17" s="663" t="s">
        <v>14</v>
      </c>
      <c r="W17" s="664">
        <f>J17</f>
        <v>100</v>
      </c>
      <c r="X17" s="1260"/>
      <c r="Y17" s="3385"/>
      <c r="Z17" s="1259" t="str">
        <f>Q17</f>
        <v>交通便捷度</v>
      </c>
      <c r="AA17" s="1259">
        <f t="shared" si="3"/>
        <v>1</v>
      </c>
      <c r="AB17" s="1259">
        <f t="shared" si="4"/>
        <v>1</v>
      </c>
      <c r="AC17" s="1259">
        <f t="shared" si="5"/>
        <v>1</v>
      </c>
    </row>
    <row r="18" spans="1:29" ht="15">
      <c r="A18" s="365"/>
      <c r="B18" s="393"/>
      <c r="C18" s="1750"/>
      <c r="D18" s="387"/>
      <c r="E18" s="1752"/>
      <c r="F18" s="390"/>
      <c r="G18" s="1751"/>
      <c r="H18" s="385"/>
      <c r="I18" s="1752"/>
      <c r="J18" s="385"/>
      <c r="K18" s="539"/>
      <c r="L18" s="2486"/>
      <c r="M18" s="2481"/>
      <c r="N18" s="2481"/>
      <c r="O18" s="2481"/>
      <c r="P18" s="3453"/>
      <c r="Q18" s="1258"/>
      <c r="R18" s="663"/>
      <c r="S18" s="664"/>
      <c r="T18" s="663"/>
      <c r="U18" s="664"/>
      <c r="V18" s="663"/>
      <c r="W18" s="664"/>
      <c r="X18" s="1260"/>
      <c r="Y18" s="3385"/>
      <c r="Z18" s="1259"/>
      <c r="AA18" s="1259">
        <v>1</v>
      </c>
      <c r="AB18" s="1259">
        <v>1</v>
      </c>
      <c r="AC18" s="1259">
        <v>1</v>
      </c>
    </row>
    <row r="19" spans="1:29" ht="42.75">
      <c r="A19" s="365"/>
      <c r="B19" s="388" t="s">
        <v>1778</v>
      </c>
      <c r="C19" s="1749"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453"/>
      <c r="Q19" s="1258" t="str">
        <f>B19</f>
        <v>公共配套设施</v>
      </c>
      <c r="R19" s="663" t="s">
        <v>14</v>
      </c>
      <c r="S19" s="664">
        <f>F19</f>
        <v>100</v>
      </c>
      <c r="T19" s="663" t="s">
        <v>14</v>
      </c>
      <c r="U19" s="664">
        <f>H19</f>
        <v>100</v>
      </c>
      <c r="V19" s="663" t="s">
        <v>14</v>
      </c>
      <c r="W19" s="664">
        <f>J19</f>
        <v>100</v>
      </c>
      <c r="X19" s="1260"/>
      <c r="Y19" s="3385"/>
      <c r="Z19" s="1259" t="str">
        <f>Q19</f>
        <v>公共配套设施</v>
      </c>
      <c r="AA19" s="1259">
        <f t="shared" si="3"/>
        <v>1</v>
      </c>
      <c r="AB19" s="1259">
        <f t="shared" si="4"/>
        <v>1</v>
      </c>
      <c r="AC19" s="1259">
        <f t="shared" si="5"/>
        <v>1</v>
      </c>
    </row>
    <row r="20" spans="1:29" ht="15">
      <c r="A20" s="365"/>
      <c r="B20" s="393"/>
      <c r="C20" s="384"/>
      <c r="D20" s="385"/>
      <c r="E20" s="1747"/>
      <c r="F20" s="386"/>
      <c r="G20" s="1746"/>
      <c r="H20" s="385"/>
      <c r="I20" s="1747"/>
      <c r="J20" s="385"/>
      <c r="K20" s="539"/>
      <c r="L20" s="2486"/>
      <c r="M20" s="2481"/>
      <c r="N20" s="2481"/>
      <c r="O20" s="2481"/>
      <c r="P20" s="3453"/>
      <c r="Q20" s="1258"/>
      <c r="R20" s="663"/>
      <c r="S20" s="664"/>
      <c r="T20" s="663"/>
      <c r="U20" s="664"/>
      <c r="V20" s="663"/>
      <c r="W20" s="664"/>
      <c r="X20" s="1260"/>
      <c r="Y20" s="3385"/>
      <c r="Z20" s="1259"/>
      <c r="AA20" s="1259">
        <v>1</v>
      </c>
      <c r="AB20" s="1259">
        <v>1</v>
      </c>
      <c r="AC20" s="1259">
        <v>1</v>
      </c>
    </row>
    <row r="21" spans="1:29" ht="28.5">
      <c r="A21" s="365"/>
      <c r="B21" s="584" t="s">
        <v>1779</v>
      </c>
      <c r="C21" s="1749"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453"/>
      <c r="Q21" s="1258" t="str">
        <f>B21</f>
        <v>基础设施水平</v>
      </c>
      <c r="R21" s="663" t="s">
        <v>14</v>
      </c>
      <c r="S21" s="664">
        <f>F21</f>
        <v>100</v>
      </c>
      <c r="T21" s="663" t="s">
        <v>14</v>
      </c>
      <c r="U21" s="664">
        <f>H21</f>
        <v>100</v>
      </c>
      <c r="V21" s="663" t="s">
        <v>14</v>
      </c>
      <c r="W21" s="664">
        <f>J21</f>
        <v>100</v>
      </c>
      <c r="X21" s="1260"/>
      <c r="Y21" s="3385"/>
      <c r="Z21" s="1259" t="str">
        <f>Q21</f>
        <v>基础设施水平</v>
      </c>
      <c r="AA21" s="1259">
        <f t="shared" ref="AA21" si="8">D21/F21</f>
        <v>1</v>
      </c>
      <c r="AB21" s="1259">
        <f t="shared" ref="AB21" si="9">D21/H21</f>
        <v>1</v>
      </c>
      <c r="AC21" s="1259">
        <f t="shared" ref="AC21" si="10">D21/J21</f>
        <v>1</v>
      </c>
    </row>
    <row r="22" spans="1:29" ht="15">
      <c r="A22" s="365"/>
      <c r="B22" s="584"/>
      <c r="C22" s="1750"/>
      <c r="D22" s="385"/>
      <c r="E22" s="384"/>
      <c r="F22" s="386"/>
      <c r="G22" s="384"/>
      <c r="H22" s="385"/>
      <c r="I22" s="384"/>
      <c r="J22" s="385"/>
      <c r="K22" s="1060"/>
      <c r="L22" s="2486"/>
      <c r="M22" s="2481"/>
      <c r="N22" s="2481"/>
      <c r="O22" s="2481"/>
      <c r="P22" s="3453"/>
      <c r="Q22" s="1258"/>
      <c r="R22" s="663"/>
      <c r="S22" s="664"/>
      <c r="T22" s="663"/>
      <c r="U22" s="664"/>
      <c r="V22" s="663"/>
      <c r="W22" s="664"/>
      <c r="X22" s="1260"/>
      <c r="Y22" s="3385"/>
      <c r="Z22" s="1259"/>
      <c r="AA22" s="1259">
        <v>1</v>
      </c>
      <c r="AB22" s="1259">
        <v>1</v>
      </c>
      <c r="AC22" s="1259">
        <v>1</v>
      </c>
    </row>
    <row r="23" spans="1:29" ht="57">
      <c r="A23" s="365"/>
      <c r="B23" s="388" t="s">
        <v>1261</v>
      </c>
      <c r="C23" s="1801"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453"/>
      <c r="Q23" s="1258" t="str">
        <f>B23</f>
        <v>自然及人文环境</v>
      </c>
      <c r="R23" s="663" t="s">
        <v>14</v>
      </c>
      <c r="S23" s="664">
        <f>F23</f>
        <v>100</v>
      </c>
      <c r="T23" s="663" t="s">
        <v>14</v>
      </c>
      <c r="U23" s="664">
        <f>H23</f>
        <v>100</v>
      </c>
      <c r="V23" s="663" t="s">
        <v>14</v>
      </c>
      <c r="W23" s="664">
        <f>J23</f>
        <v>100</v>
      </c>
      <c r="X23" s="1260"/>
      <c r="Y23" s="3385"/>
      <c r="Z23" s="1259" t="str">
        <f>Q23</f>
        <v>自然及人文环境</v>
      </c>
      <c r="AA23" s="1259">
        <f t="shared" si="3"/>
        <v>1</v>
      </c>
      <c r="AB23" s="1259">
        <f t="shared" si="4"/>
        <v>1</v>
      </c>
      <c r="AC23" s="1259">
        <f t="shared" si="5"/>
        <v>1</v>
      </c>
    </row>
    <row r="24" spans="1:29" ht="15">
      <c r="A24" s="365"/>
      <c r="B24" s="393"/>
      <c r="C24" s="384"/>
      <c r="D24" s="385"/>
      <c r="E24" s="1747"/>
      <c r="F24" s="386"/>
      <c r="G24" s="1746"/>
      <c r="H24" s="385"/>
      <c r="I24" s="1747"/>
      <c r="J24" s="385"/>
      <c r="K24" s="539"/>
      <c r="L24" s="2486"/>
      <c r="M24" s="2481"/>
      <c r="N24" s="2481"/>
      <c r="O24" s="2481"/>
      <c r="P24" s="3453"/>
      <c r="Q24" s="1258"/>
      <c r="R24" s="663"/>
      <c r="S24" s="664"/>
      <c r="T24" s="663"/>
      <c r="U24" s="664"/>
      <c r="V24" s="663"/>
      <c r="W24" s="664"/>
      <c r="X24" s="1260"/>
      <c r="Y24" s="3385"/>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453"/>
      <c r="Q25" s="1258" t="str">
        <f t="shared" ref="Q25:Q46" si="11">B25</f>
        <v>临街状况</v>
      </c>
      <c r="R25" s="663" t="s">
        <v>14</v>
      </c>
      <c r="S25" s="664">
        <f>F25</f>
        <v>100</v>
      </c>
      <c r="T25" s="663" t="s">
        <v>14</v>
      </c>
      <c r="U25" s="664">
        <f>H25</f>
        <v>100</v>
      </c>
      <c r="V25" s="663" t="s">
        <v>14</v>
      </c>
      <c r="W25" s="664">
        <f>J25</f>
        <v>100</v>
      </c>
      <c r="X25" s="1260"/>
      <c r="Y25" s="3385"/>
      <c r="Z25" s="1259" t="str">
        <f>Q25</f>
        <v>临街状况</v>
      </c>
      <c r="AA25" s="1259">
        <f t="shared" si="3"/>
        <v>1</v>
      </c>
      <c r="AB25" s="1259">
        <f t="shared" si="4"/>
        <v>1</v>
      </c>
      <c r="AC25" s="1259">
        <f t="shared" si="5"/>
        <v>1</v>
      </c>
    </row>
    <row r="26" spans="1:29" ht="15">
      <c r="A26" s="365"/>
      <c r="B26" s="1062" t="s">
        <v>1781</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453"/>
      <c r="Q26" s="1258" t="str">
        <f t="shared" si="11"/>
        <v>平面位置/可视性</v>
      </c>
      <c r="R26" s="663" t="s">
        <v>14</v>
      </c>
      <c r="S26" s="664">
        <f>F26</f>
        <v>100</v>
      </c>
      <c r="T26" s="663" t="s">
        <v>14</v>
      </c>
      <c r="U26" s="664">
        <f>H26</f>
        <v>100</v>
      </c>
      <c r="V26" s="663" t="s">
        <v>14</v>
      </c>
      <c r="W26" s="664">
        <f>J26</f>
        <v>100</v>
      </c>
      <c r="X26" s="1260"/>
      <c r="Y26" s="3385"/>
      <c r="Z26" s="1259" t="str">
        <f>Q26</f>
        <v>平面位置/可视性</v>
      </c>
      <c r="AA26" s="1259">
        <f t="shared" si="3"/>
        <v>1</v>
      </c>
      <c r="AB26" s="1259">
        <f t="shared" si="4"/>
        <v>1</v>
      </c>
      <c r="AC26" s="1259">
        <f t="shared" si="5"/>
        <v>1</v>
      </c>
    </row>
    <row r="27" spans="1:29" s="101" customFormat="1" ht="15">
      <c r="A27" s="368"/>
      <c r="B27" s="388" t="s">
        <v>1782</v>
      </c>
      <c r="C27" s="1802"/>
      <c r="D27" s="399">
        <v>100</v>
      </c>
      <c r="E27" s="1802"/>
      <c r="F27" s="393">
        <f>SUMIF(90:90,E27,91:91)-SUMIF(90:90,C27,91:91)+100</f>
        <v>100</v>
      </c>
      <c r="G27" s="1802"/>
      <c r="H27" s="399">
        <f>SUMIF(90:90,G27,91:91)-SUMIF(90:90,C27,91:91)+100</f>
        <v>100</v>
      </c>
      <c r="I27" s="1802"/>
      <c r="J27" s="399">
        <f>SUMIF(90:90,I27,91:91)-SUMIF(90:90,C27,91:91)+100</f>
        <v>100</v>
      </c>
      <c r="K27" s="536"/>
      <c r="L27" s="2482"/>
      <c r="M27" s="2434"/>
      <c r="N27" s="2434"/>
      <c r="O27" s="2434"/>
      <c r="P27" s="3453"/>
      <c r="Q27" s="528" t="str">
        <f t="shared" si="11"/>
        <v>人流量</v>
      </c>
      <c r="R27" s="660" t="s">
        <v>14</v>
      </c>
      <c r="S27" s="661">
        <f>F27</f>
        <v>100</v>
      </c>
      <c r="T27" s="660" t="s">
        <v>14</v>
      </c>
      <c r="U27" s="661">
        <f>H27</f>
        <v>100</v>
      </c>
      <c r="V27" s="660" t="s">
        <v>14</v>
      </c>
      <c r="W27" s="661">
        <f>J27</f>
        <v>100</v>
      </c>
      <c r="X27" s="662"/>
      <c r="Y27" s="3385"/>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453"/>
      <c r="Q28" s="1258" t="str">
        <f t="shared" si="11"/>
        <v>楼层</v>
      </c>
      <c r="R28" s="663" t="s">
        <v>14</v>
      </c>
      <c r="S28" s="664">
        <f t="shared" ref="S28:S46" si="12">F28</f>
        <v>100</v>
      </c>
      <c r="T28" s="663" t="s">
        <v>14</v>
      </c>
      <c r="U28" s="664">
        <f t="shared" ref="U28:U46" si="13">H28</f>
        <v>100</v>
      </c>
      <c r="V28" s="663" t="s">
        <v>14</v>
      </c>
      <c r="W28" s="664">
        <f t="shared" ref="W28:W46" si="14">J28</f>
        <v>100</v>
      </c>
      <c r="X28" s="1260"/>
      <c r="Y28" s="3385"/>
      <c r="Z28" s="1259" t="str">
        <f t="shared" ref="Z28:Z46" si="15">Q28</f>
        <v>楼层</v>
      </c>
      <c r="AA28" s="1259">
        <f t="shared" si="3"/>
        <v>1</v>
      </c>
      <c r="AB28" s="1259">
        <f t="shared" si="4"/>
        <v>1</v>
      </c>
      <c r="AC28" s="1259">
        <f t="shared" si="5"/>
        <v>1</v>
      </c>
    </row>
    <row r="29" spans="1:29" ht="15">
      <c r="A29" s="365"/>
      <c r="B29" s="1062">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453"/>
      <c r="Q29" s="1258">
        <f t="shared" si="11"/>
        <v>111</v>
      </c>
      <c r="R29" s="663" t="s">
        <v>14</v>
      </c>
      <c r="S29" s="664">
        <f t="shared" si="12"/>
        <v>100</v>
      </c>
      <c r="T29" s="663" t="s">
        <v>14</v>
      </c>
      <c r="U29" s="664">
        <f t="shared" si="13"/>
        <v>100</v>
      </c>
      <c r="V29" s="663" t="s">
        <v>14</v>
      </c>
      <c r="W29" s="664">
        <f t="shared" si="14"/>
        <v>100</v>
      </c>
      <c r="X29" s="1260"/>
      <c r="Y29" s="3385"/>
      <c r="Z29" s="1259">
        <f t="shared" si="15"/>
        <v>111</v>
      </c>
      <c r="AA29" s="1259">
        <f t="shared" si="3"/>
        <v>1</v>
      </c>
      <c r="AB29" s="1259">
        <f t="shared" si="4"/>
        <v>1</v>
      </c>
      <c r="AC29" s="1259">
        <f t="shared" si="5"/>
        <v>1</v>
      </c>
    </row>
    <row r="30" spans="1:29" ht="15">
      <c r="A30" s="365"/>
      <c r="B30" s="1062">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453"/>
      <c r="Q30" s="1258">
        <f t="shared" si="11"/>
        <v>111</v>
      </c>
      <c r="R30" s="663" t="s">
        <v>14</v>
      </c>
      <c r="S30" s="664">
        <f t="shared" si="12"/>
        <v>100</v>
      </c>
      <c r="T30" s="663" t="s">
        <v>14</v>
      </c>
      <c r="U30" s="664">
        <f t="shared" si="13"/>
        <v>100</v>
      </c>
      <c r="V30" s="663" t="s">
        <v>14</v>
      </c>
      <c r="W30" s="664">
        <f t="shared" si="14"/>
        <v>100</v>
      </c>
      <c r="X30" s="1260"/>
      <c r="Y30" s="3385"/>
      <c r="Z30" s="1259">
        <f t="shared" si="15"/>
        <v>111</v>
      </c>
      <c r="AA30" s="1259">
        <f t="shared" si="3"/>
        <v>1</v>
      </c>
      <c r="AB30" s="1259">
        <f t="shared" si="4"/>
        <v>1</v>
      </c>
      <c r="AC30" s="1259">
        <f t="shared" si="5"/>
        <v>1</v>
      </c>
    </row>
    <row r="31" spans="1:29" ht="15.75" thickBot="1">
      <c r="A31" s="373"/>
      <c r="B31" s="1062">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453"/>
      <c r="Q31" s="1258">
        <f t="shared" si="11"/>
        <v>111</v>
      </c>
      <c r="R31" s="663" t="s">
        <v>14</v>
      </c>
      <c r="S31" s="664">
        <f t="shared" si="12"/>
        <v>100</v>
      </c>
      <c r="T31" s="663" t="s">
        <v>14</v>
      </c>
      <c r="U31" s="664">
        <f t="shared" si="13"/>
        <v>100</v>
      </c>
      <c r="V31" s="663" t="s">
        <v>14</v>
      </c>
      <c r="W31" s="664">
        <f t="shared" si="14"/>
        <v>100</v>
      </c>
      <c r="X31" s="1260"/>
      <c r="Y31" s="3385"/>
      <c r="Z31" s="1259">
        <f t="shared" si="15"/>
        <v>111</v>
      </c>
      <c r="AA31" s="1259">
        <f t="shared" si="3"/>
        <v>1</v>
      </c>
      <c r="AB31" s="1259">
        <f t="shared" si="4"/>
        <v>1</v>
      </c>
      <c r="AC31" s="1259">
        <f t="shared" si="5"/>
        <v>1</v>
      </c>
    </row>
    <row r="32" spans="1:29" ht="15">
      <c r="A32" s="377" t="s">
        <v>1694</v>
      </c>
      <c r="B32" s="60" t="s">
        <v>1784</v>
      </c>
      <c r="C32" s="1759"/>
      <c r="D32" s="403">
        <v>100</v>
      </c>
      <c r="E32" s="1759"/>
      <c r="F32" s="398">
        <f>SUMIF(100:100,E32,101:101)-SUMIF(100:100,C32,101:101)+100</f>
        <v>100</v>
      </c>
      <c r="G32" s="1759"/>
      <c r="H32" s="372">
        <f>SUMIF(100:100,G32,101:101)-SUMIF(100:100,C32,101:101)+100</f>
        <v>100</v>
      </c>
      <c r="I32" s="1759"/>
      <c r="J32" s="403">
        <f>SUMIF(100:100,I32,101:101)-SUMIF(100:100,C32,101:101)+100</f>
        <v>100</v>
      </c>
      <c r="K32" s="536"/>
      <c r="L32" s="2486"/>
      <c r="M32" s="2481"/>
      <c r="N32" s="2481"/>
      <c r="O32" s="2481"/>
      <c r="P32" s="3448" t="s">
        <v>1696</v>
      </c>
      <c r="Q32" s="1258" t="str">
        <f t="shared" si="11"/>
        <v>商业类型</v>
      </c>
      <c r="R32" s="663" t="s">
        <v>14</v>
      </c>
      <c r="S32" s="664">
        <f t="shared" si="12"/>
        <v>100</v>
      </c>
      <c r="T32" s="663" t="s">
        <v>14</v>
      </c>
      <c r="U32" s="664">
        <f t="shared" si="13"/>
        <v>100</v>
      </c>
      <c r="V32" s="663" t="s">
        <v>14</v>
      </c>
      <c r="W32" s="664">
        <f t="shared" si="14"/>
        <v>100</v>
      </c>
      <c r="X32" s="1260"/>
      <c r="Y32" s="3387"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449"/>
      <c r="Q33" s="529" t="str">
        <f t="shared" si="11"/>
        <v>项目建筑规模</v>
      </c>
      <c r="R33" s="665" t="s">
        <v>14</v>
      </c>
      <c r="S33" s="666" t="e">
        <f t="shared" si="12"/>
        <v>#N/A</v>
      </c>
      <c r="T33" s="665" t="s">
        <v>14</v>
      </c>
      <c r="U33" s="666" t="e">
        <f t="shared" si="13"/>
        <v>#N/A</v>
      </c>
      <c r="V33" s="665" t="s">
        <v>14</v>
      </c>
      <c r="W33" s="666" t="e">
        <f t="shared" si="14"/>
        <v>#N/A</v>
      </c>
      <c r="X33" s="667"/>
      <c r="Y33" s="3387"/>
      <c r="Z33" s="668"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449"/>
      <c r="Q34" s="1258" t="str">
        <f t="shared" si="11"/>
        <v>建筑结构</v>
      </c>
      <c r="R34" s="663" t="s">
        <v>14</v>
      </c>
      <c r="S34" s="664">
        <f t="shared" si="12"/>
        <v>100</v>
      </c>
      <c r="T34" s="663" t="s">
        <v>14</v>
      </c>
      <c r="U34" s="664">
        <f t="shared" si="13"/>
        <v>100</v>
      </c>
      <c r="V34" s="663" t="s">
        <v>14</v>
      </c>
      <c r="W34" s="664">
        <f t="shared" si="14"/>
        <v>100</v>
      </c>
      <c r="X34" s="1260"/>
      <c r="Y34" s="3387"/>
      <c r="Z34" s="1259" t="str">
        <f t="shared" si="15"/>
        <v>建筑结构</v>
      </c>
      <c r="AA34" s="1259">
        <f t="shared" si="3"/>
        <v>1</v>
      </c>
      <c r="AB34" s="1259">
        <f t="shared" si="4"/>
        <v>1</v>
      </c>
      <c r="AC34" s="1259">
        <f t="shared" si="5"/>
        <v>1</v>
      </c>
    </row>
    <row r="35" spans="1:29" ht="15">
      <c r="A35" s="407"/>
      <c r="B35" s="362" t="s">
        <v>1785</v>
      </c>
      <c r="C35" s="1755"/>
      <c r="D35" s="372">
        <v>100</v>
      </c>
      <c r="E35" s="1755"/>
      <c r="F35" s="398">
        <f>SUMIF(107:107,E35,108:108)-SUMIF(107:107,C35,108:108)+100</f>
        <v>100</v>
      </c>
      <c r="G35" s="1755"/>
      <c r="H35" s="372">
        <f>SUMIF(107:107,G35,108:108)-SUMIF(107:107,C35,108:108)+100</f>
        <v>100</v>
      </c>
      <c r="I35" s="1755"/>
      <c r="J35" s="372">
        <f>SUMIF(107:107,I35,108:108)-SUMIF(107:107,C35,108:108)+100</f>
        <v>100</v>
      </c>
      <c r="K35" s="536"/>
      <c r="L35" s="2486"/>
      <c r="M35" s="2481"/>
      <c r="N35" s="2481"/>
      <c r="O35" s="2481"/>
      <c r="P35" s="3449"/>
      <c r="Q35" s="1258" t="str">
        <f t="shared" si="11"/>
        <v>公共部分装修</v>
      </c>
      <c r="R35" s="663" t="s">
        <v>14</v>
      </c>
      <c r="S35" s="664">
        <f t="shared" si="12"/>
        <v>100</v>
      </c>
      <c r="T35" s="663" t="s">
        <v>14</v>
      </c>
      <c r="U35" s="664">
        <f t="shared" si="13"/>
        <v>100</v>
      </c>
      <c r="V35" s="663" t="s">
        <v>14</v>
      </c>
      <c r="W35" s="664">
        <f t="shared" si="14"/>
        <v>100</v>
      </c>
      <c r="X35" s="1260"/>
      <c r="Y35" s="3387"/>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449"/>
      <c r="Q36" s="1258" t="str">
        <f t="shared" si="11"/>
        <v>成新度</v>
      </c>
      <c r="R36" s="663" t="s">
        <v>14</v>
      </c>
      <c r="S36" s="664" t="e">
        <f t="shared" si="12"/>
        <v>#N/A</v>
      </c>
      <c r="T36" s="663" t="s">
        <v>14</v>
      </c>
      <c r="U36" s="664" t="e">
        <f t="shared" si="13"/>
        <v>#N/A</v>
      </c>
      <c r="V36" s="663" t="s">
        <v>14</v>
      </c>
      <c r="W36" s="664" t="e">
        <f t="shared" si="14"/>
        <v>#N/A</v>
      </c>
      <c r="X36" s="1260"/>
      <c r="Y36" s="3387"/>
      <c r="Z36" s="1259" t="str">
        <f t="shared" si="15"/>
        <v>成新度</v>
      </c>
      <c r="AA36" s="1259" t="e">
        <f t="shared" si="3"/>
        <v>#N/A</v>
      </c>
      <c r="AB36" s="1259" t="e">
        <f t="shared" si="4"/>
        <v>#N/A</v>
      </c>
      <c r="AC36" s="1259" t="e">
        <f t="shared" si="5"/>
        <v>#N/A</v>
      </c>
    </row>
    <row r="37" spans="1:29" s="101" customFormat="1" ht="15">
      <c r="A37" s="408"/>
      <c r="B37" s="362" t="s">
        <v>1787</v>
      </c>
      <c r="C37" s="1755"/>
      <c r="D37" s="117">
        <v>100</v>
      </c>
      <c r="E37" s="1755"/>
      <c r="F37" s="398">
        <f>SUMIF(112:112,E37,113:113)-SUMIF(112:112,C37,113:113)+100</f>
        <v>100</v>
      </c>
      <c r="G37" s="1755"/>
      <c r="H37" s="372">
        <f>SUMIF(112:112,G37,113:113)-SUMIF(112:112,C37,113:113)+100</f>
        <v>100</v>
      </c>
      <c r="I37" s="1755"/>
      <c r="J37" s="372">
        <f>SUMIF(112:112,I37,113:113)-SUMIF(112:112,C37,113:113)+100</f>
        <v>100</v>
      </c>
      <c r="K37" s="536"/>
      <c r="L37" s="2482"/>
      <c r="M37" s="2434"/>
      <c r="N37" s="2434"/>
      <c r="O37" s="2434"/>
      <c r="P37" s="3449"/>
      <c r="Q37" s="528" t="str">
        <f t="shared" si="11"/>
        <v>市政基础设施</v>
      </c>
      <c r="R37" s="660" t="s">
        <v>14</v>
      </c>
      <c r="S37" s="661">
        <f t="shared" si="12"/>
        <v>100</v>
      </c>
      <c r="T37" s="660" t="s">
        <v>14</v>
      </c>
      <c r="U37" s="661">
        <f t="shared" si="13"/>
        <v>100</v>
      </c>
      <c r="V37" s="660" t="s">
        <v>14</v>
      </c>
      <c r="W37" s="661">
        <f t="shared" si="14"/>
        <v>100</v>
      </c>
      <c r="X37" s="662"/>
      <c r="Y37" s="3387"/>
      <c r="Z37" s="50" t="str">
        <f t="shared" si="15"/>
        <v>市政基础设施</v>
      </c>
      <c r="AA37" s="50">
        <f t="shared" si="3"/>
        <v>1</v>
      </c>
      <c r="AB37" s="50">
        <f t="shared" si="4"/>
        <v>1</v>
      </c>
      <c r="AC37" s="50">
        <f t="shared" si="5"/>
        <v>1</v>
      </c>
    </row>
    <row r="38" spans="1:29" ht="15">
      <c r="A38" s="407"/>
      <c r="B38" s="362" t="s">
        <v>1788</v>
      </c>
      <c r="C38" s="1755"/>
      <c r="D38" s="372">
        <v>100</v>
      </c>
      <c r="E38" s="1755"/>
      <c r="F38" s="398">
        <f>SUMIF(114:114,E38,115:115)-SUMIF(114:114,C38,115:115)+100</f>
        <v>100</v>
      </c>
      <c r="G38" s="1755"/>
      <c r="H38" s="372">
        <f>SUMIF(114:114,G38,115:115)-SUMIF(114:114,C38,115:115)+100</f>
        <v>100</v>
      </c>
      <c r="I38" s="1755"/>
      <c r="J38" s="372">
        <f>SUMIF(114:114,I38,115:115)-SUMIF(114:114,C38,115:115)+100</f>
        <v>100</v>
      </c>
      <c r="K38" s="536"/>
      <c r="L38" s="2486"/>
      <c r="M38" s="2481"/>
      <c r="N38" s="2481"/>
      <c r="O38" s="2481"/>
      <c r="P38" s="3449" t="s">
        <v>1696</v>
      </c>
      <c r="Q38" s="1258" t="str">
        <f t="shared" si="11"/>
        <v>业态</v>
      </c>
      <c r="R38" s="663" t="s">
        <v>14</v>
      </c>
      <c r="S38" s="664">
        <f t="shared" si="12"/>
        <v>100</v>
      </c>
      <c r="T38" s="663" t="s">
        <v>14</v>
      </c>
      <c r="U38" s="664">
        <f t="shared" si="13"/>
        <v>100</v>
      </c>
      <c r="V38" s="663" t="s">
        <v>14</v>
      </c>
      <c r="W38" s="664">
        <f t="shared" si="14"/>
        <v>100</v>
      </c>
      <c r="X38" s="1260"/>
      <c r="Y38" s="3387" t="s">
        <v>1696</v>
      </c>
      <c r="Z38" s="1259" t="str">
        <f t="shared" si="15"/>
        <v>业态</v>
      </c>
      <c r="AA38" s="1259">
        <f t="shared" si="3"/>
        <v>1</v>
      </c>
      <c r="AB38" s="1259">
        <f t="shared" si="4"/>
        <v>1</v>
      </c>
      <c r="AC38" s="1259">
        <f t="shared" si="5"/>
        <v>1</v>
      </c>
    </row>
    <row r="39" spans="1:29" ht="15">
      <c r="A39" s="407"/>
      <c r="B39" s="362" t="s">
        <v>1789</v>
      </c>
      <c r="C39" s="1755"/>
      <c r="D39" s="372">
        <v>100</v>
      </c>
      <c r="E39" s="1755"/>
      <c r="F39" s="398">
        <f>SUMIF(116:116,E39,117:117)-SUMIF(116:116,C39,117:117)+100</f>
        <v>100</v>
      </c>
      <c r="G39" s="1755"/>
      <c r="H39" s="372">
        <f>SUMIF(116:116,G39,117:117)-SUMIF(116:116,C39,117:117)+100</f>
        <v>100</v>
      </c>
      <c r="I39" s="1755"/>
      <c r="J39" s="372">
        <f>SUMIF(116:116,I39,117:117)-SUMIF(116:116,C39,117:117)+100</f>
        <v>100</v>
      </c>
      <c r="K39" s="536"/>
      <c r="L39" s="2486"/>
      <c r="M39" s="2481"/>
      <c r="N39" s="2481"/>
      <c r="O39" s="2481"/>
      <c r="P39" s="3449"/>
      <c r="Q39" s="1258" t="str">
        <f t="shared" si="11"/>
        <v>层高</v>
      </c>
      <c r="R39" s="663" t="s">
        <v>14</v>
      </c>
      <c r="S39" s="664">
        <f t="shared" si="12"/>
        <v>100</v>
      </c>
      <c r="T39" s="663" t="s">
        <v>14</v>
      </c>
      <c r="U39" s="664">
        <f t="shared" si="13"/>
        <v>100</v>
      </c>
      <c r="V39" s="663" t="s">
        <v>14</v>
      </c>
      <c r="W39" s="664">
        <f t="shared" si="14"/>
        <v>100</v>
      </c>
      <c r="X39" s="1260"/>
      <c r="Y39" s="3387"/>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449"/>
      <c r="Q40" s="1258" t="str">
        <f t="shared" si="11"/>
        <v>单套建筑面积</v>
      </c>
      <c r="R40" s="663" t="s">
        <v>14</v>
      </c>
      <c r="S40" s="664">
        <f t="shared" si="12"/>
        <v>100</v>
      </c>
      <c r="T40" s="663" t="s">
        <v>14</v>
      </c>
      <c r="U40" s="664">
        <f t="shared" si="13"/>
        <v>100</v>
      </c>
      <c r="V40" s="663" t="s">
        <v>14</v>
      </c>
      <c r="W40" s="664">
        <f t="shared" si="14"/>
        <v>100</v>
      </c>
      <c r="X40" s="1260"/>
      <c r="Y40" s="3387"/>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449"/>
      <c r="Q41" s="529" t="str">
        <f t="shared" si="11"/>
        <v>进深比</v>
      </c>
      <c r="R41" s="665" t="s">
        <v>14</v>
      </c>
      <c r="S41" s="666">
        <f t="shared" si="12"/>
        <v>100</v>
      </c>
      <c r="T41" s="665" t="s">
        <v>14</v>
      </c>
      <c r="U41" s="666">
        <f t="shared" si="13"/>
        <v>100</v>
      </c>
      <c r="V41" s="665" t="s">
        <v>14</v>
      </c>
      <c r="W41" s="666">
        <f t="shared" si="14"/>
        <v>100</v>
      </c>
      <c r="X41" s="667"/>
      <c r="Y41" s="3387"/>
      <c r="Z41" s="668" t="str">
        <f t="shared" si="15"/>
        <v>进深比</v>
      </c>
      <c r="AA41" s="1259">
        <f t="shared" si="3"/>
        <v>1</v>
      </c>
      <c r="AB41" s="1259">
        <f t="shared" si="4"/>
        <v>1</v>
      </c>
      <c r="AC41" s="1259">
        <f t="shared" si="5"/>
        <v>1</v>
      </c>
    </row>
    <row r="42" spans="1:29" ht="15">
      <c r="A42" s="407"/>
      <c r="B42" s="362" t="s">
        <v>1792</v>
      </c>
      <c r="C42" s="1755"/>
      <c r="D42" s="372">
        <v>100</v>
      </c>
      <c r="E42" s="1755"/>
      <c r="F42" s="398">
        <f>SUMIF(122:122,E42,123:123)-SUMIF(122:122,C42,123:123)+100</f>
        <v>100</v>
      </c>
      <c r="G42" s="1755"/>
      <c r="H42" s="372">
        <f>SUMIF(122:122,G42,123:123)-SUMIF(122:122,C42,123:123)+100</f>
        <v>100</v>
      </c>
      <c r="I42" s="1755"/>
      <c r="J42" s="372">
        <f>SUMIF(122:122,I42,123:123)-SUMIF(122:122,C42,123:123)+100</f>
        <v>100</v>
      </c>
      <c r="K42" s="536"/>
      <c r="L42" s="2486"/>
      <c r="M42" s="2481"/>
      <c r="N42" s="2481"/>
      <c r="O42" s="2481"/>
      <c r="P42" s="3449"/>
      <c r="Q42" s="1258" t="str">
        <f t="shared" si="11"/>
        <v>内部装修</v>
      </c>
      <c r="R42" s="663" t="s">
        <v>14</v>
      </c>
      <c r="S42" s="664">
        <f t="shared" si="12"/>
        <v>100</v>
      </c>
      <c r="T42" s="663" t="s">
        <v>14</v>
      </c>
      <c r="U42" s="664">
        <f t="shared" si="13"/>
        <v>100</v>
      </c>
      <c r="V42" s="663" t="s">
        <v>14</v>
      </c>
      <c r="W42" s="664">
        <f t="shared" si="14"/>
        <v>100</v>
      </c>
      <c r="X42" s="1260"/>
      <c r="Y42" s="3387"/>
      <c r="Z42" s="1259" t="str">
        <f t="shared" si="15"/>
        <v>内部装修</v>
      </c>
      <c r="AA42" s="1259">
        <f t="shared" si="3"/>
        <v>1</v>
      </c>
      <c r="AB42" s="1259">
        <f t="shared" si="4"/>
        <v>1</v>
      </c>
      <c r="AC42" s="1259">
        <f t="shared" si="5"/>
        <v>1</v>
      </c>
    </row>
    <row r="43" spans="1:29" ht="15">
      <c r="A43" s="407"/>
      <c r="B43" s="362" t="s">
        <v>1707</v>
      </c>
      <c r="C43" s="1755"/>
      <c r="D43" s="372">
        <v>100</v>
      </c>
      <c r="E43" s="1755"/>
      <c r="F43" s="398">
        <f>SUMIF(124:124,E43,125:125)-SUMIF(124:124,C43,125:125)+100</f>
        <v>100</v>
      </c>
      <c r="G43" s="1755"/>
      <c r="H43" s="372">
        <f>SUMIF(124:124,G43,125:125)-SUMIF(124:124,C43,125:125)+100</f>
        <v>100</v>
      </c>
      <c r="I43" s="1755"/>
      <c r="J43" s="372">
        <f>SUMIF(124:124,I43,125:125)-SUMIF(124:124,C43,125:125)+100</f>
        <v>100</v>
      </c>
      <c r="K43" s="536"/>
      <c r="L43" s="2486"/>
      <c r="M43" s="2481"/>
      <c r="N43" s="2481"/>
      <c r="O43" s="2481"/>
      <c r="P43" s="3449"/>
      <c r="Q43" s="1258" t="str">
        <f t="shared" si="11"/>
        <v>内部装修维护情况</v>
      </c>
      <c r="R43" s="663" t="s">
        <v>14</v>
      </c>
      <c r="S43" s="664">
        <f t="shared" si="12"/>
        <v>100</v>
      </c>
      <c r="T43" s="663" t="s">
        <v>14</v>
      </c>
      <c r="U43" s="664">
        <f t="shared" si="13"/>
        <v>100</v>
      </c>
      <c r="V43" s="663" t="s">
        <v>14</v>
      </c>
      <c r="W43" s="664">
        <f t="shared" si="14"/>
        <v>100</v>
      </c>
      <c r="X43" s="1260"/>
      <c r="Y43" s="3387"/>
      <c r="Z43" s="1259" t="str">
        <f t="shared" si="15"/>
        <v>内部装修维护情况</v>
      </c>
      <c r="AA43" s="1259">
        <f t="shared" si="3"/>
        <v>1</v>
      </c>
      <c r="AB43" s="1259">
        <f t="shared" si="4"/>
        <v>1</v>
      </c>
      <c r="AC43" s="1259">
        <f t="shared" si="5"/>
        <v>1</v>
      </c>
    </row>
    <row r="44" spans="1:29" s="101" customFormat="1" ht="15">
      <c r="A44" s="408"/>
      <c r="B44" s="1062">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4"/>
      <c r="N44" s="2434"/>
      <c r="O44" s="2434"/>
      <c r="P44" s="3449"/>
      <c r="Q44" s="528">
        <f t="shared" si="11"/>
        <v>111</v>
      </c>
      <c r="R44" s="660" t="s">
        <v>14</v>
      </c>
      <c r="S44" s="661">
        <f t="shared" si="12"/>
        <v>100</v>
      </c>
      <c r="T44" s="660" t="s">
        <v>14</v>
      </c>
      <c r="U44" s="661">
        <f t="shared" si="13"/>
        <v>100</v>
      </c>
      <c r="V44" s="660" t="s">
        <v>14</v>
      </c>
      <c r="W44" s="661">
        <f t="shared" si="14"/>
        <v>100</v>
      </c>
      <c r="X44" s="662"/>
      <c r="Y44" s="3387"/>
      <c r="Z44" s="50">
        <f t="shared" si="15"/>
        <v>111</v>
      </c>
      <c r="AA44" s="50">
        <f t="shared" si="3"/>
        <v>1</v>
      </c>
      <c r="AB44" s="50">
        <f t="shared" si="4"/>
        <v>1</v>
      </c>
      <c r="AC44" s="50">
        <f t="shared" si="5"/>
        <v>1</v>
      </c>
    </row>
    <row r="45" spans="1:29" ht="15">
      <c r="A45" s="407"/>
      <c r="B45" s="1062">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449"/>
      <c r="Q45" s="1258">
        <f t="shared" si="11"/>
        <v>111</v>
      </c>
      <c r="R45" s="663" t="s">
        <v>14</v>
      </c>
      <c r="S45" s="664">
        <f t="shared" si="12"/>
        <v>100</v>
      </c>
      <c r="T45" s="663" t="s">
        <v>14</v>
      </c>
      <c r="U45" s="664">
        <f t="shared" si="13"/>
        <v>100</v>
      </c>
      <c r="V45" s="663" t="s">
        <v>14</v>
      </c>
      <c r="W45" s="664">
        <f t="shared" si="14"/>
        <v>100</v>
      </c>
      <c r="X45" s="1260"/>
      <c r="Y45" s="3387"/>
      <c r="Z45" s="1259">
        <f t="shared" si="15"/>
        <v>111</v>
      </c>
      <c r="AA45" s="1259">
        <f t="shared" si="3"/>
        <v>1</v>
      </c>
      <c r="AB45" s="1259">
        <f t="shared" si="4"/>
        <v>1</v>
      </c>
      <c r="AC45" s="1259">
        <f t="shared" si="5"/>
        <v>1</v>
      </c>
    </row>
    <row r="46" spans="1:29" ht="15.75" thickBot="1">
      <c r="A46" s="413"/>
      <c r="B46" s="1744">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450"/>
      <c r="Q46" s="1258">
        <f t="shared" si="11"/>
        <v>111</v>
      </c>
      <c r="R46" s="663" t="s">
        <v>14</v>
      </c>
      <c r="S46" s="664">
        <f t="shared" si="12"/>
        <v>100</v>
      </c>
      <c r="T46" s="663" t="s">
        <v>14</v>
      </c>
      <c r="U46" s="664">
        <f t="shared" si="13"/>
        <v>100</v>
      </c>
      <c r="V46" s="663" t="s">
        <v>14</v>
      </c>
      <c r="W46" s="664">
        <f t="shared" si="14"/>
        <v>100</v>
      </c>
      <c r="X46" s="1260"/>
      <c r="Y46" s="3451"/>
      <c r="Z46" s="1259">
        <f t="shared" si="15"/>
        <v>111</v>
      </c>
      <c r="AA46" s="1259">
        <f t="shared" si="3"/>
        <v>1</v>
      </c>
      <c r="AB46" s="1259">
        <f t="shared" si="4"/>
        <v>1</v>
      </c>
      <c r="AC46" s="1259">
        <f t="shared" si="5"/>
        <v>1</v>
      </c>
    </row>
    <row r="47" spans="1:29" ht="15">
      <c r="A47" s="414" t="s">
        <v>1708</v>
      </c>
      <c r="B47" s="415"/>
      <c r="C47" s="1077" t="s">
        <v>0</v>
      </c>
      <c r="D47" s="416"/>
      <c r="E47" s="417"/>
      <c r="F47" s="418"/>
      <c r="G47" s="419"/>
      <c r="H47" s="420"/>
      <c r="I47" s="417"/>
      <c r="J47" s="420"/>
      <c r="K47" s="670"/>
      <c r="L47" s="2488"/>
      <c r="M47" s="2481"/>
      <c r="N47" s="2481"/>
      <c r="O47" s="2481"/>
      <c r="P47" s="3383" t="str">
        <f>A47</f>
        <v>成交单价（元/平方米）</v>
      </c>
      <c r="Q47" s="3383"/>
      <c r="R47" s="3388">
        <f>E47</f>
        <v>0</v>
      </c>
      <c r="S47" s="3388"/>
      <c r="T47" s="3388">
        <f>G47</f>
        <v>0</v>
      </c>
      <c r="U47" s="3388"/>
      <c r="V47" s="3388">
        <f>I47</f>
        <v>0</v>
      </c>
      <c r="W47" s="3388"/>
      <c r="X47" s="383"/>
      <c r="Y47" s="669"/>
      <c r="Z47" s="383"/>
      <c r="AA47" s="383"/>
      <c r="AB47" s="383"/>
      <c r="AC47" s="383"/>
    </row>
    <row r="48" spans="1:29" ht="15.75" thickBot="1">
      <c r="A48" s="421" t="s">
        <v>1793</v>
      </c>
      <c r="B48" s="422"/>
      <c r="C48" s="1078" t="e">
        <f>R49</f>
        <v>#DIV/0!</v>
      </c>
      <c r="D48" s="2136" t="s">
        <v>2138</v>
      </c>
      <c r="E48" s="1079" t="e">
        <f>R48</f>
        <v>#DIV/0!</v>
      </c>
      <c r="F48" s="2137"/>
      <c r="G48" s="1078" t="e">
        <f>T48</f>
        <v>#DIV/0!</v>
      </c>
      <c r="H48" s="2137"/>
      <c r="I48" s="1079" t="e">
        <f>V48</f>
        <v>#DIV/0!</v>
      </c>
      <c r="J48" s="2137"/>
      <c r="K48" s="2139">
        <f>F48+H48+J48</f>
        <v>0</v>
      </c>
      <c r="L48" s="2488"/>
      <c r="M48" s="2481"/>
      <c r="N48" s="2481"/>
      <c r="O48" s="2481"/>
      <c r="P48" s="3383" t="str">
        <f>A48</f>
        <v>比较价值（元/平方米）</v>
      </c>
      <c r="Q48" s="338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3"/>
      <c r="Y48" s="383"/>
      <c r="Z48" s="383"/>
      <c r="AA48" s="383"/>
      <c r="AB48" s="383"/>
      <c r="AC48" s="383"/>
    </row>
    <row r="49" spans="1:29" ht="15.75" thickBot="1">
      <c r="A49" s="425" t="s">
        <v>1794</v>
      </c>
      <c r="B49" s="426"/>
      <c r="C49" s="349" t="e">
        <f>R49</f>
        <v>#DIV/0!</v>
      </c>
      <c r="D49" s="349"/>
      <c r="E49" s="349"/>
      <c r="F49" s="349"/>
      <c r="G49" s="349"/>
      <c r="H49" s="349"/>
      <c r="I49" s="349"/>
      <c r="J49" s="349"/>
      <c r="K49" s="671"/>
      <c r="L49" s="2488"/>
      <c r="M49" s="2481"/>
      <c r="N49" s="2481"/>
      <c r="O49" s="2481"/>
      <c r="P49" s="3377" t="str">
        <f>A49</f>
        <v>估价对象XX用房的比较价值（楼面单价，元/平方米）</v>
      </c>
      <c r="Q49" s="3378"/>
      <c r="R49" s="3447" t="e">
        <f>IF(F1="售价",ROUND(IF(D48="简单平均",AVERAGE(R48:V48),R48*F48+T48*H48+V48*J48),0),ROUND(IF(D48="简单平均",AVERAGE(R48:V48),R48*F48+T48*H48+V48*J48),1))</f>
        <v>#DIV/0!</v>
      </c>
      <c r="S49" s="3447"/>
      <c r="T49" s="3447"/>
      <c r="U49" s="3447"/>
      <c r="V49" s="3447"/>
      <c r="W49" s="3447"/>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4" t="s">
        <v>1798</v>
      </c>
      <c r="B57" s="383"/>
      <c r="C57" s="655"/>
      <c r="D57" s="655"/>
      <c r="E57" s="655"/>
      <c r="F57" s="656"/>
      <c r="G57" s="656"/>
      <c r="H57" s="655"/>
      <c r="I57" s="655"/>
      <c r="J57" s="655"/>
      <c r="K57" s="657"/>
      <c r="L57" s="884"/>
      <c r="M57" s="882"/>
      <c r="N57" s="882"/>
      <c r="O57" s="882"/>
      <c r="P57" s="2501"/>
      <c r="Q57" s="2502"/>
      <c r="R57" s="2481"/>
      <c r="S57" s="2481"/>
      <c r="T57" s="2481"/>
      <c r="U57" s="2481"/>
      <c r="V57" s="2481"/>
      <c r="W57" s="2481"/>
      <c r="X57" s="2481"/>
      <c r="Y57" s="2481"/>
      <c r="Z57" s="2481"/>
      <c r="AA57" s="2481"/>
      <c r="AB57" s="2481"/>
      <c r="AC57" s="2481"/>
    </row>
    <row r="58" spans="1:29" s="440" customFormat="1" ht="15">
      <c r="A58" s="438" t="s">
        <v>1679</v>
      </c>
      <c r="B58" s="439"/>
      <c r="C58" s="1098" t="str">
        <f>YEAR(C7)&amp;"-"&amp;MONTH(C7)</f>
        <v>2024-11</v>
      </c>
      <c r="D58" s="1099">
        <f>EDATE(C58,-1)</f>
        <v>45566</v>
      </c>
      <c r="E58" s="1099">
        <f t="shared" ref="E58:N58" si="16">EDATE(D58,-1)</f>
        <v>45536</v>
      </c>
      <c r="F58" s="1099">
        <f t="shared" si="16"/>
        <v>45505</v>
      </c>
      <c r="G58" s="1099">
        <f t="shared" si="16"/>
        <v>45474</v>
      </c>
      <c r="H58" s="1099">
        <f t="shared" si="16"/>
        <v>45444</v>
      </c>
      <c r="I58" s="1099">
        <f t="shared" si="16"/>
        <v>45413</v>
      </c>
      <c r="J58" s="1099">
        <f t="shared" si="16"/>
        <v>45383</v>
      </c>
      <c r="K58" s="1099">
        <f t="shared" si="16"/>
        <v>45352</v>
      </c>
      <c r="L58" s="1099">
        <f t="shared" si="16"/>
        <v>45323</v>
      </c>
      <c r="M58" s="1099">
        <f t="shared" si="16"/>
        <v>45292</v>
      </c>
      <c r="N58" s="1099">
        <f t="shared" si="16"/>
        <v>45261</v>
      </c>
      <c r="O58" s="1099">
        <f>EDATE(N58,-1)</f>
        <v>45231</v>
      </c>
      <c r="P58" s="2503"/>
      <c r="Q58" s="2504"/>
      <c r="R58" s="2504"/>
      <c r="S58" s="2504"/>
      <c r="T58" s="2504"/>
      <c r="U58" s="2504"/>
      <c r="V58" s="2504"/>
      <c r="W58" s="2504"/>
      <c r="X58" s="2504"/>
      <c r="Y58" s="2504"/>
      <c r="Z58" s="2504"/>
      <c r="AA58" s="2504"/>
      <c r="AB58" s="2504"/>
      <c r="AC58" s="2504"/>
    </row>
    <row r="59" spans="1:29" s="101" customFormat="1" ht="15">
      <c r="A59" s="441"/>
      <c r="B59" s="442"/>
      <c r="C59" s="1097">
        <v>100</v>
      </c>
      <c r="D59" s="444"/>
      <c r="E59" s="444"/>
      <c r="F59" s="444"/>
      <c r="G59" s="444"/>
      <c r="H59" s="444"/>
      <c r="I59" s="444"/>
      <c r="J59" s="444"/>
      <c r="K59" s="444"/>
      <c r="L59" s="444"/>
      <c r="M59" s="445"/>
      <c r="N59" s="444"/>
      <c r="O59" s="445"/>
      <c r="P59" s="2505"/>
      <c r="Q59" s="2434"/>
      <c r="R59" s="2434"/>
      <c r="S59" s="2434"/>
      <c r="T59" s="2434"/>
      <c r="U59" s="2434"/>
      <c r="V59" s="2434"/>
      <c r="W59" s="2434"/>
      <c r="X59" s="2434"/>
      <c r="Y59" s="2434"/>
      <c r="Z59" s="2434"/>
      <c r="AA59" s="2434"/>
      <c r="AB59" s="2434"/>
      <c r="AC59" s="2434"/>
    </row>
    <row r="60" spans="1:29" s="101" customFormat="1" ht="15.75" thickBot="1">
      <c r="A60" s="447" t="s">
        <v>1716</v>
      </c>
      <c r="B60" s="448"/>
      <c r="C60" s="449"/>
      <c r="D60" s="450"/>
      <c r="E60" s="450"/>
      <c r="F60" s="450"/>
      <c r="G60" s="450"/>
      <c r="H60" s="450"/>
      <c r="I60" s="450"/>
      <c r="J60" s="450"/>
      <c r="K60" s="450"/>
      <c r="L60" s="450"/>
      <c r="M60" s="451"/>
      <c r="N60" s="450"/>
      <c r="O60" s="451"/>
      <c r="P60" s="2505"/>
      <c r="Q60" s="2502"/>
      <c r="R60" s="2434"/>
      <c r="S60" s="2434"/>
      <c r="T60" s="2434"/>
      <c r="U60" s="2434"/>
      <c r="V60" s="2434"/>
      <c r="W60" s="2434"/>
      <c r="X60" s="2434"/>
      <c r="Y60" s="2434"/>
      <c r="Z60" s="2434"/>
      <c r="AA60" s="2434"/>
      <c r="AB60" s="2434"/>
      <c r="AC60" s="2434"/>
    </row>
    <row r="61" spans="1:29" s="101" customFormat="1" ht="15">
      <c r="A61" s="453" t="s">
        <v>1681</v>
      </c>
      <c r="B61" s="442"/>
      <c r="C61" s="454" t="s">
        <v>1776</v>
      </c>
      <c r="D61" s="31"/>
      <c r="E61" s="31"/>
      <c r="F61" s="31"/>
      <c r="G61" s="31"/>
      <c r="H61" s="31"/>
      <c r="I61" s="31"/>
      <c r="J61" s="31"/>
      <c r="K61" s="31"/>
      <c r="L61" s="455"/>
      <c r="M61" s="456"/>
      <c r="N61" s="2514"/>
      <c r="O61" s="2514"/>
      <c r="P61" s="2506"/>
      <c r="Q61" s="2502"/>
      <c r="R61" s="2434"/>
      <c r="S61" s="2434"/>
      <c r="T61" s="2434"/>
      <c r="U61" s="2434"/>
      <c r="V61" s="2434"/>
      <c r="W61" s="2434"/>
      <c r="X61" s="2434"/>
      <c r="Y61" s="2434"/>
      <c r="Z61" s="2434"/>
      <c r="AA61" s="2434"/>
      <c r="AB61" s="2434"/>
      <c r="AC61" s="2434"/>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4"/>
      <c r="S62" s="2434"/>
      <c r="T62" s="2434"/>
      <c r="U62" s="2434"/>
      <c r="V62" s="2434"/>
      <c r="W62" s="2434"/>
      <c r="X62" s="2434"/>
      <c r="Y62" s="2434"/>
      <c r="Z62" s="2434"/>
      <c r="AA62" s="2434"/>
      <c r="AB62" s="2434"/>
      <c r="AC62" s="2434"/>
    </row>
    <row r="63" spans="1:29">
      <c r="A63" s="377" t="s">
        <v>1719</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1720</v>
      </c>
      <c r="C76" s="502" t="s">
        <v>1721</v>
      </c>
      <c r="D76" s="502" t="s">
        <v>1722</v>
      </c>
      <c r="E76" s="502" t="s">
        <v>1723</v>
      </c>
      <c r="F76" s="502" t="s">
        <v>1724</v>
      </c>
      <c r="G76" s="502" t="s">
        <v>1725</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1726</v>
      </c>
      <c r="C78" s="507" t="s">
        <v>1721</v>
      </c>
      <c r="D78" s="507" t="s">
        <v>1722</v>
      </c>
      <c r="E78" s="507" t="s">
        <v>1723</v>
      </c>
      <c r="F78" s="507" t="s">
        <v>1724</v>
      </c>
      <c r="G78" s="507" t="s">
        <v>1725</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1727</v>
      </c>
      <c r="C80" s="507" t="s">
        <v>1721</v>
      </c>
      <c r="D80" s="507" t="s">
        <v>1722</v>
      </c>
      <c r="E80" s="507" t="s">
        <v>1723</v>
      </c>
      <c r="F80" s="507" t="s">
        <v>1724</v>
      </c>
      <c r="G80" s="507" t="s">
        <v>1725</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1779</v>
      </c>
      <c r="C82" s="579" t="s">
        <v>1799</v>
      </c>
      <c r="D82" s="579" t="s">
        <v>1800</v>
      </c>
      <c r="E82" s="579" t="s">
        <v>1801</v>
      </c>
      <c r="F82" s="579" t="s">
        <v>1802</v>
      </c>
      <c r="G82" s="579" t="s">
        <v>1803</v>
      </c>
      <c r="H82" s="468"/>
      <c r="I82" s="468"/>
      <c r="J82" s="468"/>
      <c r="K82" s="468"/>
      <c r="L82" s="468"/>
      <c r="M82" s="1059"/>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1733</v>
      </c>
      <c r="C84" s="507" t="s">
        <v>1721</v>
      </c>
      <c r="D84" s="507" t="s">
        <v>1722</v>
      </c>
      <c r="E84" s="507" t="s">
        <v>1723</v>
      </c>
      <c r="F84" s="507" t="s">
        <v>1724</v>
      </c>
      <c r="G84" s="507" t="s">
        <v>1725</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1804</v>
      </c>
      <c r="C86" s="483"/>
      <c r="D86" s="483"/>
      <c r="E86" s="483"/>
      <c r="F86" s="483"/>
      <c r="G86" s="483"/>
      <c r="H86" s="483"/>
      <c r="I86" s="483"/>
      <c r="J86" s="483"/>
      <c r="K86" s="483"/>
      <c r="L86" s="508"/>
      <c r="M86" s="509"/>
      <c r="N86" s="2514"/>
      <c r="O86" s="2514"/>
      <c r="P86" s="2507"/>
      <c r="Q86" s="2502"/>
      <c r="R86" s="2434"/>
      <c r="S86" s="2434"/>
      <c r="T86" s="2434"/>
      <c r="U86" s="2434"/>
      <c r="V86" s="2434"/>
      <c r="W86" s="2434"/>
      <c r="X86" s="2434"/>
      <c r="Y86" s="2434"/>
      <c r="Z86" s="2434"/>
      <c r="AA86" s="2434"/>
      <c r="AB86" s="2434"/>
      <c r="AC86" s="2434"/>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6"/>
      <c r="O87" s="2516"/>
      <c r="P87" s="2507"/>
      <c r="Q87" s="2502"/>
      <c r="R87" s="2434"/>
      <c r="S87" s="2434"/>
      <c r="T87" s="2434"/>
      <c r="U87" s="2434"/>
      <c r="V87" s="2434"/>
      <c r="W87" s="2434"/>
      <c r="X87" s="2434"/>
      <c r="Y87" s="2434"/>
      <c r="Z87" s="2434"/>
      <c r="AA87" s="2434"/>
      <c r="AB87" s="2434"/>
      <c r="AC87" s="2434"/>
    </row>
    <row r="88" spans="1:29" s="101" customFormat="1" ht="15.75" thickTop="1">
      <c r="A88" s="368"/>
      <c r="B88" s="467" t="str">
        <f>B26</f>
        <v>平面位置/可视性</v>
      </c>
      <c r="C88" s="483"/>
      <c r="D88" s="483"/>
      <c r="E88" s="483"/>
      <c r="F88" s="1775"/>
      <c r="G88" s="483"/>
      <c r="H88" s="483"/>
      <c r="I88" s="483"/>
      <c r="J88" s="483"/>
      <c r="K88" s="483"/>
      <c r="L88" s="483"/>
      <c r="M88" s="509"/>
      <c r="N88" s="2514"/>
      <c r="O88" s="2514"/>
      <c r="P88" s="2507"/>
      <c r="Q88" s="2502"/>
      <c r="R88" s="2434"/>
      <c r="S88" s="2434"/>
      <c r="T88" s="2434"/>
      <c r="U88" s="2434"/>
      <c r="V88" s="2434"/>
      <c r="W88" s="2434"/>
      <c r="X88" s="2434"/>
      <c r="Y88" s="2434"/>
      <c r="Z88" s="2434"/>
      <c r="AA88" s="2434"/>
      <c r="AB88" s="2434"/>
      <c r="AC88" s="2434"/>
    </row>
    <row r="89" spans="1:29" s="101" customFormat="1" ht="15.75" thickBot="1">
      <c r="A89" s="368"/>
      <c r="B89" s="472"/>
      <c r="C89" s="489"/>
      <c r="D89" s="465"/>
      <c r="E89" s="465"/>
      <c r="F89" s="465"/>
      <c r="G89" s="465"/>
      <c r="H89" s="465"/>
      <c r="I89" s="465"/>
      <c r="J89" s="465"/>
      <c r="K89" s="465"/>
      <c r="L89" s="465"/>
      <c r="M89" s="465"/>
      <c r="N89" s="2516"/>
      <c r="O89" s="2516"/>
      <c r="P89" s="2507"/>
      <c r="Q89" s="2502"/>
      <c r="R89" s="2434"/>
      <c r="S89" s="2434"/>
      <c r="T89" s="2434"/>
      <c r="U89" s="2434"/>
      <c r="V89" s="2434"/>
      <c r="W89" s="2434"/>
      <c r="X89" s="2434"/>
      <c r="Y89" s="2434"/>
      <c r="Z89" s="2434"/>
      <c r="AA89" s="2434"/>
      <c r="AB89" s="2434"/>
      <c r="AC89" s="2434"/>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1805</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1738</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1740</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1742</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1806</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1807</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1808</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1809</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1744</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T47" sqref="T47:T48"/>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3" t="s">
        <v>1810</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1" t="b">
        <f>IF(E1="项目模式",IF(C2="——",ROUND(C50*D3/10000,0),ROUND(C50*D3/10000,0)-D2),IF(E1="单套模式",IF(C2="——",ROUND(C50*D3/10000,4),ROUND(C50*D3/10000,4)-D2)))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f>IF(C2="——",C50,ROUND(B2*10000/D3,0))</f>
        <v>0</v>
      </c>
      <c r="C3" s="342" t="s">
        <v>1768</v>
      </c>
      <c r="D3" s="341">
        <f>IF(D1="",'数据-汇总表'!E3,SUMIF('数据-汇总表'!$C19:$C33,D1,'数据-汇总表'!$E19:$E33))</f>
        <v>154306.03</v>
      </c>
      <c r="E3" s="1800"/>
      <c r="F3" s="852"/>
      <c r="G3" s="851"/>
      <c r="H3" s="851"/>
      <c r="I3" s="851"/>
      <c r="J3" s="851"/>
      <c r="K3" s="853"/>
      <c r="L3" s="2497"/>
      <c r="M3" s="2498"/>
      <c r="N3" s="2498"/>
      <c r="O3" s="2498"/>
      <c r="P3" s="339"/>
      <c r="Q3" s="339"/>
      <c r="R3" s="339"/>
      <c r="S3" s="339"/>
      <c r="T3" s="339"/>
      <c r="U3" s="339"/>
      <c r="V3" s="339"/>
      <c r="W3" s="339"/>
      <c r="X3" s="339"/>
      <c r="Y3" s="339"/>
      <c r="Z3" s="339"/>
      <c r="AA3" s="339"/>
      <c r="AB3" s="339"/>
      <c r="AC3" s="659"/>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460" t="s">
        <v>1775</v>
      </c>
      <c r="Q4" s="3461"/>
      <c r="R4" s="3464" t="s">
        <v>1771</v>
      </c>
      <c r="S4" s="3465"/>
      <c r="T4" s="3464" t="s">
        <v>1772</v>
      </c>
      <c r="U4" s="3465"/>
      <c r="V4" s="3466" t="s">
        <v>1773</v>
      </c>
      <c r="W4" s="3466"/>
      <c r="X4" s="1804"/>
      <c r="Y4" s="3464" t="s">
        <v>1775</v>
      </c>
      <c r="Z4" s="3465"/>
      <c r="AA4" s="3468" t="s">
        <v>1771</v>
      </c>
      <c r="AB4" s="3468" t="s">
        <v>1772</v>
      </c>
      <c r="AC4" s="3457" t="s">
        <v>1773</v>
      </c>
    </row>
    <row r="5" spans="1:29" ht="15">
      <c r="A5" s="346"/>
      <c r="B5" s="347"/>
      <c r="C5" s="3409" t="s">
        <v>1673</v>
      </c>
      <c r="D5" s="3410"/>
      <c r="E5" s="3416" t="s">
        <v>1674</v>
      </c>
      <c r="F5" s="3417"/>
      <c r="G5" s="3409" t="s">
        <v>1675</v>
      </c>
      <c r="H5" s="3410"/>
      <c r="I5" s="3409" t="s">
        <v>1676</v>
      </c>
      <c r="J5" s="3410"/>
      <c r="K5" s="535"/>
      <c r="L5" s="2480"/>
      <c r="M5" s="2481"/>
      <c r="N5" s="2481"/>
      <c r="O5" s="2481"/>
      <c r="P5" s="3462"/>
      <c r="Q5" s="3398"/>
      <c r="R5" s="3403"/>
      <c r="S5" s="3404"/>
      <c r="T5" s="3403"/>
      <c r="U5" s="3404"/>
      <c r="V5" s="3388"/>
      <c r="W5" s="3388"/>
      <c r="X5" s="1260"/>
      <c r="Y5" s="3403"/>
      <c r="Z5" s="3404"/>
      <c r="AA5" s="3390"/>
      <c r="AB5" s="3390"/>
      <c r="AC5" s="3458"/>
    </row>
    <row r="6" spans="1:29" ht="15.75" thickBot="1">
      <c r="A6" s="348"/>
      <c r="B6" s="349"/>
      <c r="C6" s="3407" t="s">
        <v>1677</v>
      </c>
      <c r="D6" s="3408"/>
      <c r="E6" s="3414" t="s">
        <v>1677</v>
      </c>
      <c r="F6" s="3415"/>
      <c r="G6" s="3407" t="s">
        <v>1677</v>
      </c>
      <c r="H6" s="3408"/>
      <c r="I6" s="3407" t="s">
        <v>1677</v>
      </c>
      <c r="J6" s="3408"/>
      <c r="K6" s="535" t="s">
        <v>1678</v>
      </c>
      <c r="L6" s="2480"/>
      <c r="M6" s="2481"/>
      <c r="N6" s="2481"/>
      <c r="O6" s="2481"/>
      <c r="P6" s="3463"/>
      <c r="Q6" s="3400"/>
      <c r="R6" s="3403"/>
      <c r="S6" s="3404"/>
      <c r="T6" s="3405"/>
      <c r="U6" s="3406"/>
      <c r="V6" s="3388"/>
      <c r="W6" s="3388"/>
      <c r="X6" s="1260"/>
      <c r="Y6" s="3405"/>
      <c r="Z6" s="3406"/>
      <c r="AA6" s="3391"/>
      <c r="AB6" s="3391"/>
      <c r="AC6" s="3459"/>
    </row>
    <row r="7" spans="1:29" s="101" customFormat="1" ht="15.75" thickBot="1">
      <c r="A7" s="350" t="s">
        <v>1679</v>
      </c>
      <c r="B7" s="351"/>
      <c r="C7" s="352">
        <f>'数据-取费表'!B2</f>
        <v>45614</v>
      </c>
      <c r="D7" s="353">
        <v>100</v>
      </c>
      <c r="E7" s="354"/>
      <c r="F7" s="355">
        <f>SUMIF(59:59,YEAR(E7)&amp;"-"&amp;MONTH(E7),60:60)</f>
        <v>0</v>
      </c>
      <c r="G7" s="354"/>
      <c r="H7" s="353">
        <f>SUMIF(59:59,YEAR(G7)&amp;"-"&amp;MONTH(G7),60:60)</f>
        <v>0</v>
      </c>
      <c r="I7" s="354"/>
      <c r="J7" s="353">
        <f>SUMIF(59:59,YEAR(I7)&amp;"-"&amp;MONTH(I7),60:60)</f>
        <v>0</v>
      </c>
      <c r="K7" s="38"/>
      <c r="L7" s="2482"/>
      <c r="M7" s="2434"/>
      <c r="N7" s="2434"/>
      <c r="O7" s="2434"/>
      <c r="P7" s="3467" t="s">
        <v>1680</v>
      </c>
      <c r="Q7" s="3413"/>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798"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4"/>
      <c r="N8" s="2434"/>
      <c r="O8" s="2434"/>
      <c r="P8" s="3467" t="s">
        <v>1683</v>
      </c>
      <c r="Q8" s="3412"/>
      <c r="R8" s="660" t="s">
        <v>14</v>
      </c>
      <c r="S8" s="661">
        <f t="shared" si="0"/>
        <v>100</v>
      </c>
      <c r="T8" s="660" t="s">
        <v>14</v>
      </c>
      <c r="U8" s="661">
        <f t="shared" si="1"/>
        <v>100</v>
      </c>
      <c r="V8" s="660" t="s">
        <v>14</v>
      </c>
      <c r="W8" s="661">
        <f t="shared" si="2"/>
        <v>100</v>
      </c>
      <c r="X8" s="662"/>
      <c r="Y8" s="3411" t="s">
        <v>1683</v>
      </c>
      <c r="Z8" s="3412"/>
      <c r="AA8" s="50">
        <f t="shared" ref="AA8:AA47" si="3">D8/F8</f>
        <v>1</v>
      </c>
      <c r="AB8" s="50">
        <f t="shared" ref="AB8:AB47" si="4">D8/H8</f>
        <v>1</v>
      </c>
      <c r="AC8" s="798">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4"/>
      <c r="N9" s="2434"/>
      <c r="O9" s="2434"/>
      <c r="P9" s="3382" t="s">
        <v>1686</v>
      </c>
      <c r="Q9" s="528" t="str">
        <f t="shared" ref="Q9:Q15" si="6">B9</f>
        <v>用途</v>
      </c>
      <c r="R9" s="660" t="s">
        <v>14</v>
      </c>
      <c r="S9" s="661">
        <f t="shared" si="0"/>
        <v>100</v>
      </c>
      <c r="T9" s="660" t="s">
        <v>14</v>
      </c>
      <c r="U9" s="661">
        <f t="shared" si="1"/>
        <v>100</v>
      </c>
      <c r="V9" s="660" t="s">
        <v>14</v>
      </c>
      <c r="W9" s="661">
        <f t="shared" si="2"/>
        <v>100</v>
      </c>
      <c r="X9" s="662"/>
      <c r="Y9" s="3283" t="s">
        <v>1687</v>
      </c>
      <c r="Z9" s="50" t="str">
        <f t="shared" ref="Z9:Z15" si="7">Q9</f>
        <v>用途</v>
      </c>
      <c r="AA9" s="50">
        <f t="shared" si="3"/>
        <v>1</v>
      </c>
      <c r="AB9" s="50">
        <f t="shared" si="4"/>
        <v>1</v>
      </c>
      <c r="AC9" s="798">
        <f t="shared" si="5"/>
        <v>1</v>
      </c>
    </row>
    <row r="10" spans="1:29" s="364" customFormat="1" ht="27">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8"/>
      <c r="L10" s="2483"/>
      <c r="M10" s="2484"/>
      <c r="N10" s="2484"/>
      <c r="O10" s="2484"/>
      <c r="P10" s="3382"/>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798">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382"/>
      <c r="Q11" s="528" t="str">
        <f t="shared" si="6"/>
        <v>容积率</v>
      </c>
      <c r="R11" s="660" t="s">
        <v>14</v>
      </c>
      <c r="S11" s="661">
        <f t="shared" si="0"/>
        <v>100</v>
      </c>
      <c r="T11" s="660" t="s">
        <v>14</v>
      </c>
      <c r="U11" s="661">
        <f t="shared" si="1"/>
        <v>100</v>
      </c>
      <c r="V11" s="660" t="s">
        <v>14</v>
      </c>
      <c r="W11" s="661">
        <f t="shared" si="2"/>
        <v>100</v>
      </c>
      <c r="X11" s="662"/>
      <c r="Y11" s="3283"/>
      <c r="Z11" s="50" t="str">
        <f t="shared" si="7"/>
        <v>容积率</v>
      </c>
      <c r="AA11" s="50">
        <f t="shared" si="3"/>
        <v>1</v>
      </c>
      <c r="AB11" s="50">
        <f t="shared" si="4"/>
        <v>1</v>
      </c>
      <c r="AC11" s="798">
        <f t="shared" si="5"/>
        <v>1</v>
      </c>
    </row>
    <row r="12" spans="1:29" s="101" customFormat="1" ht="15">
      <c r="A12" s="368"/>
      <c r="B12" s="445">
        <v>111</v>
      </c>
      <c r="C12" s="369"/>
      <c r="D12" s="370">
        <v>100</v>
      </c>
      <c r="E12" s="369"/>
      <c r="F12" s="117">
        <f>SUMIF(71:71,E12,72:72)-SUMIF(71:71,C12,72:72)+100</f>
        <v>100</v>
      </c>
      <c r="G12" s="1805"/>
      <c r="H12" s="117">
        <f>SUMIF(71:71,G12,72:72)-SUMIF(71:71,C12,72:72)+100</f>
        <v>100</v>
      </c>
      <c r="I12" s="369"/>
      <c r="J12" s="117">
        <f>SUMIF(71:71,I12,72:72)-SUMIF(71:71,C12,72:72)+100</f>
        <v>100</v>
      </c>
      <c r="K12" s="537"/>
      <c r="L12" s="2482"/>
      <c r="M12" s="2434"/>
      <c r="N12" s="2434"/>
      <c r="O12" s="2434"/>
      <c r="P12" s="3382"/>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798">
        <f>D12/J12</f>
        <v>1</v>
      </c>
    </row>
    <row r="13" spans="1:29" ht="15">
      <c r="A13" s="365"/>
      <c r="B13" s="445">
        <v>111</v>
      </c>
      <c r="C13" s="371"/>
      <c r="D13" s="372">
        <v>100</v>
      </c>
      <c r="E13" s="369"/>
      <c r="F13" s="117">
        <f>SUMIF(73:73,E13,74:74)-SUMIF(73:73,C13,74:74)+100</f>
        <v>100</v>
      </c>
      <c r="G13" s="1805"/>
      <c r="H13" s="372">
        <f>SUMIF(73:73,G13,74:74)-SUMIF(73:73,C13,74:74)+100</f>
        <v>100</v>
      </c>
      <c r="I13" s="369"/>
      <c r="J13" s="372">
        <f>SUMIF(73:73,I13,74:74)-SUMIF(73:73,C13,74:74)+100</f>
        <v>100</v>
      </c>
      <c r="K13" s="537"/>
      <c r="L13" s="2486"/>
      <c r="M13" s="2481"/>
      <c r="N13" s="2481"/>
      <c r="O13" s="2481"/>
      <c r="P13" s="3382"/>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798">
        <f t="shared" si="5"/>
        <v>1</v>
      </c>
    </row>
    <row r="14" spans="1:29" ht="15.75" thickBot="1">
      <c r="A14" s="373"/>
      <c r="B14" s="1744">
        <v>111</v>
      </c>
      <c r="C14" s="374"/>
      <c r="D14" s="375">
        <v>100</v>
      </c>
      <c r="E14" s="551"/>
      <c r="F14" s="375">
        <f>SUMIF(75:75,E14,76:76)-SUMIF(75:75,C14,76:76)+100</f>
        <v>100</v>
      </c>
      <c r="G14" s="1805"/>
      <c r="H14" s="375">
        <f>SUMIF(75:75,G14,76:76)-SUMIF(75:75,C14,76:76)+100</f>
        <v>100</v>
      </c>
      <c r="I14" s="369"/>
      <c r="J14" s="375">
        <f>SUMIF(75:75,I14,76:76)-SUMIF(75:75,C14,76:76)+100</f>
        <v>100</v>
      </c>
      <c r="K14" s="537"/>
      <c r="L14" s="2486"/>
      <c r="M14" s="2481"/>
      <c r="N14" s="2481"/>
      <c r="O14" s="2481"/>
      <c r="P14" s="3382"/>
      <c r="Q14" s="528">
        <f t="shared" si="6"/>
        <v>111</v>
      </c>
      <c r="R14" s="660" t="s">
        <v>14</v>
      </c>
      <c r="S14" s="661">
        <f t="shared" si="0"/>
        <v>100</v>
      </c>
      <c r="T14" s="660" t="s">
        <v>14</v>
      </c>
      <c r="U14" s="661">
        <f t="shared" si="1"/>
        <v>100</v>
      </c>
      <c r="V14" s="660" t="s">
        <v>14</v>
      </c>
      <c r="W14" s="661">
        <f t="shared" si="2"/>
        <v>100</v>
      </c>
      <c r="X14" s="662"/>
      <c r="Y14" s="3283"/>
      <c r="Z14" s="50">
        <f t="shared" si="7"/>
        <v>111</v>
      </c>
      <c r="AA14" s="50">
        <f t="shared" si="3"/>
        <v>1</v>
      </c>
      <c r="AB14" s="50">
        <f t="shared" si="4"/>
        <v>1</v>
      </c>
      <c r="AC14" s="798">
        <f t="shared" si="5"/>
        <v>1</v>
      </c>
    </row>
    <row r="15" spans="1:29" ht="15">
      <c r="A15" s="377" t="s">
        <v>1690</v>
      </c>
      <c r="B15" s="552" t="s">
        <v>1811</v>
      </c>
      <c r="C15" s="1806">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452" t="s">
        <v>1691</v>
      </c>
      <c r="Q15" s="1258" t="str">
        <f t="shared" si="6"/>
        <v>办公集聚程度</v>
      </c>
      <c r="R15" s="663" t="s">
        <v>14</v>
      </c>
      <c r="S15" s="664">
        <f t="shared" si="0"/>
        <v>100</v>
      </c>
      <c r="T15" s="663" t="s">
        <v>14</v>
      </c>
      <c r="U15" s="664">
        <f t="shared" si="1"/>
        <v>100</v>
      </c>
      <c r="V15" s="663" t="s">
        <v>14</v>
      </c>
      <c r="W15" s="664">
        <f t="shared" si="2"/>
        <v>100</v>
      </c>
      <c r="X15" s="1260"/>
      <c r="Y15" s="3384" t="s">
        <v>1691</v>
      </c>
      <c r="Z15" s="1259" t="str">
        <f t="shared" si="7"/>
        <v>办公集聚程度</v>
      </c>
      <c r="AA15" s="1259">
        <f t="shared" si="3"/>
        <v>1</v>
      </c>
      <c r="AB15" s="1259">
        <f t="shared" si="4"/>
        <v>1</v>
      </c>
      <c r="AC15" s="1807">
        <f t="shared" si="5"/>
        <v>1</v>
      </c>
    </row>
    <row r="16" spans="1:29" ht="15">
      <c r="A16" s="365"/>
      <c r="B16" s="553"/>
      <c r="C16" s="1753"/>
      <c r="D16" s="385"/>
      <c r="E16" s="384"/>
      <c r="F16" s="385"/>
      <c r="G16" s="1753"/>
      <c r="H16" s="387"/>
      <c r="I16" s="384"/>
      <c r="J16" s="385"/>
      <c r="K16" s="539"/>
      <c r="L16" s="2486"/>
      <c r="M16" s="2481"/>
      <c r="N16" s="2481"/>
      <c r="O16" s="2481"/>
      <c r="P16" s="3453"/>
      <c r="Q16" s="1258"/>
      <c r="R16" s="663"/>
      <c r="S16" s="664"/>
      <c r="T16" s="663"/>
      <c r="U16" s="664"/>
      <c r="V16" s="663"/>
      <c r="W16" s="664"/>
      <c r="X16" s="1260"/>
      <c r="Y16" s="3385"/>
      <c r="Z16" s="1259"/>
      <c r="AA16" s="1259">
        <v>1</v>
      </c>
      <c r="AB16" s="1259">
        <v>1</v>
      </c>
      <c r="AC16" s="1807">
        <v>1</v>
      </c>
    </row>
    <row r="17" spans="1:29" ht="71.25">
      <c r="A17" s="365"/>
      <c r="B17" s="554" t="s">
        <v>1259</v>
      </c>
      <c r="C17" s="1808"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453"/>
      <c r="Q17" s="1258" t="str">
        <f>B17</f>
        <v>交通便捷度</v>
      </c>
      <c r="R17" s="663" t="s">
        <v>14</v>
      </c>
      <c r="S17" s="664">
        <f>F17</f>
        <v>100</v>
      </c>
      <c r="T17" s="663" t="s">
        <v>14</v>
      </c>
      <c r="U17" s="664">
        <f>H17</f>
        <v>100</v>
      </c>
      <c r="V17" s="663" t="s">
        <v>14</v>
      </c>
      <c r="W17" s="664">
        <f>J17</f>
        <v>100</v>
      </c>
      <c r="X17" s="1260"/>
      <c r="Y17" s="3385"/>
      <c r="Z17" s="1259" t="str">
        <f>Q17</f>
        <v>交通便捷度</v>
      </c>
      <c r="AA17" s="1259">
        <f t="shared" si="3"/>
        <v>1</v>
      </c>
      <c r="AB17" s="1259">
        <f t="shared" si="4"/>
        <v>1</v>
      </c>
      <c r="AC17" s="1807">
        <f t="shared" si="5"/>
        <v>1</v>
      </c>
    </row>
    <row r="18" spans="1:29" ht="15">
      <c r="A18" s="365"/>
      <c r="B18" s="399"/>
      <c r="C18" s="1809"/>
      <c r="D18" s="387"/>
      <c r="E18" s="1751"/>
      <c r="F18" s="387"/>
      <c r="G18" s="1752"/>
      <c r="H18" s="385"/>
      <c r="I18" s="1752"/>
      <c r="J18" s="385"/>
      <c r="K18" s="539"/>
      <c r="L18" s="2486"/>
      <c r="M18" s="2481"/>
      <c r="N18" s="2481"/>
      <c r="O18" s="2481"/>
      <c r="P18" s="3453"/>
      <c r="Q18" s="1258"/>
      <c r="R18" s="663"/>
      <c r="S18" s="664"/>
      <c r="T18" s="663"/>
      <c r="U18" s="664"/>
      <c r="V18" s="663"/>
      <c r="W18" s="664"/>
      <c r="X18" s="1260"/>
      <c r="Y18" s="3385"/>
      <c r="Z18" s="1259"/>
      <c r="AA18" s="1259">
        <v>1</v>
      </c>
      <c r="AB18" s="1259">
        <v>1</v>
      </c>
      <c r="AC18" s="1807">
        <v>1</v>
      </c>
    </row>
    <row r="19" spans="1:29" ht="42.75">
      <c r="A19" s="365"/>
      <c r="B19" s="554" t="s">
        <v>1812</v>
      </c>
      <c r="C19" s="1808"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453"/>
      <c r="Q19" s="1258" t="str">
        <f>B19</f>
        <v>公共配套设施</v>
      </c>
      <c r="R19" s="663" t="s">
        <v>14</v>
      </c>
      <c r="S19" s="664">
        <f>F19</f>
        <v>100</v>
      </c>
      <c r="T19" s="663" t="s">
        <v>14</v>
      </c>
      <c r="U19" s="664">
        <f>H19</f>
        <v>100</v>
      </c>
      <c r="V19" s="663" t="s">
        <v>14</v>
      </c>
      <c r="W19" s="664">
        <f>J19</f>
        <v>100</v>
      </c>
      <c r="X19" s="1260"/>
      <c r="Y19" s="3385"/>
      <c r="Z19" s="1259" t="str">
        <f>Q19</f>
        <v>公共配套设施</v>
      </c>
      <c r="AA19" s="1259">
        <f t="shared" si="3"/>
        <v>1</v>
      </c>
      <c r="AB19" s="1259">
        <f t="shared" si="4"/>
        <v>1</v>
      </c>
      <c r="AC19" s="1807">
        <f t="shared" si="5"/>
        <v>1</v>
      </c>
    </row>
    <row r="20" spans="1:29" ht="15">
      <c r="A20" s="365"/>
      <c r="B20" s="399"/>
      <c r="C20" s="1753"/>
      <c r="D20" s="385"/>
      <c r="E20" s="1746"/>
      <c r="F20" s="385"/>
      <c r="G20" s="1747"/>
      <c r="H20" s="385"/>
      <c r="I20" s="1747"/>
      <c r="J20" s="385"/>
      <c r="K20" s="539"/>
      <c r="L20" s="2486"/>
      <c r="M20" s="2481"/>
      <c r="N20" s="2481"/>
      <c r="O20" s="2481"/>
      <c r="P20" s="3453"/>
      <c r="Q20" s="1258"/>
      <c r="R20" s="663"/>
      <c r="S20" s="664"/>
      <c r="T20" s="663"/>
      <c r="U20" s="664"/>
      <c r="V20" s="663"/>
      <c r="W20" s="664"/>
      <c r="X20" s="1260"/>
      <c r="Y20" s="3385"/>
      <c r="Z20" s="1259"/>
      <c r="AA20" s="1259">
        <v>1</v>
      </c>
      <c r="AB20" s="1259">
        <v>1</v>
      </c>
      <c r="AC20" s="1807">
        <v>1</v>
      </c>
    </row>
    <row r="21" spans="1:29" ht="28.5">
      <c r="A21" s="365"/>
      <c r="B21" s="555" t="s">
        <v>1813</v>
      </c>
      <c r="C21" s="1808"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453"/>
      <c r="Q21" s="1258" t="str">
        <f>B21</f>
        <v>基础设施水平</v>
      </c>
      <c r="R21" s="663" t="s">
        <v>14</v>
      </c>
      <c r="S21" s="664">
        <f>F21</f>
        <v>100</v>
      </c>
      <c r="T21" s="663" t="s">
        <v>14</v>
      </c>
      <c r="U21" s="664">
        <f>H21</f>
        <v>100</v>
      </c>
      <c r="V21" s="663" t="s">
        <v>14</v>
      </c>
      <c r="W21" s="664">
        <f>J21</f>
        <v>100</v>
      </c>
      <c r="X21" s="1260"/>
      <c r="Y21" s="3385"/>
      <c r="Z21" s="1259" t="str">
        <f>Q21</f>
        <v>基础设施水平</v>
      </c>
      <c r="AA21" s="1259">
        <f t="shared" ref="AA21" si="8">D21/F21</f>
        <v>1</v>
      </c>
      <c r="AB21" s="1259">
        <f t="shared" ref="AB21" si="9">D21/H21</f>
        <v>1</v>
      </c>
      <c r="AC21" s="1807">
        <f t="shared" ref="AC21" si="10">D21/J21</f>
        <v>1</v>
      </c>
    </row>
    <row r="22" spans="1:29" ht="15">
      <c r="A22" s="365"/>
      <c r="B22" s="555"/>
      <c r="C22" s="1809"/>
      <c r="D22" s="385"/>
      <c r="E22" s="384"/>
      <c r="F22" s="385"/>
      <c r="G22" s="1753"/>
      <c r="H22" s="385"/>
      <c r="I22" s="1753"/>
      <c r="J22" s="385"/>
      <c r="K22" s="1060"/>
      <c r="L22" s="2486"/>
      <c r="M22" s="2481"/>
      <c r="N22" s="2481"/>
      <c r="O22" s="2481"/>
      <c r="P22" s="3453"/>
      <c r="Q22" s="1258"/>
      <c r="R22" s="663"/>
      <c r="S22" s="664"/>
      <c r="T22" s="663"/>
      <c r="U22" s="664"/>
      <c r="V22" s="663"/>
      <c r="W22" s="664"/>
      <c r="X22" s="1260"/>
      <c r="Y22" s="3385"/>
      <c r="Z22" s="1259"/>
      <c r="AA22" s="1259">
        <v>1</v>
      </c>
      <c r="AB22" s="1259">
        <v>1</v>
      </c>
      <c r="AC22" s="1807">
        <v>1</v>
      </c>
    </row>
    <row r="23" spans="1:29" ht="42.75">
      <c r="A23" s="365"/>
      <c r="B23" s="554" t="s">
        <v>1814</v>
      </c>
      <c r="C23" s="1808"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453"/>
      <c r="Q23" s="1258" t="str">
        <f>B23</f>
        <v>环境质量</v>
      </c>
      <c r="R23" s="663" t="s">
        <v>14</v>
      </c>
      <c r="S23" s="664">
        <f>F23</f>
        <v>100</v>
      </c>
      <c r="T23" s="663" t="s">
        <v>14</v>
      </c>
      <c r="U23" s="664">
        <f>H23</f>
        <v>100</v>
      </c>
      <c r="V23" s="663" t="s">
        <v>14</v>
      </c>
      <c r="W23" s="664">
        <f>J23</f>
        <v>100</v>
      </c>
      <c r="X23" s="1260"/>
      <c r="Y23" s="3385"/>
      <c r="Z23" s="1259" t="str">
        <f>Q23</f>
        <v>环境质量</v>
      </c>
      <c r="AA23" s="1259">
        <f t="shared" si="3"/>
        <v>1</v>
      </c>
      <c r="AB23" s="1259">
        <f t="shared" si="4"/>
        <v>1</v>
      </c>
      <c r="AC23" s="1807">
        <f t="shared" si="5"/>
        <v>1</v>
      </c>
    </row>
    <row r="24" spans="1:29" ht="15">
      <c r="A24" s="365"/>
      <c r="B24" s="555"/>
      <c r="C24" s="1753"/>
      <c r="D24" s="385"/>
      <c r="E24" s="1746"/>
      <c r="F24" s="385"/>
      <c r="G24" s="1747"/>
      <c r="H24" s="385"/>
      <c r="I24" s="1747"/>
      <c r="J24" s="385"/>
      <c r="K24" s="539"/>
      <c r="L24" s="2486"/>
      <c r="M24" s="2481"/>
      <c r="N24" s="2481"/>
      <c r="O24" s="2481"/>
      <c r="P24" s="3453"/>
      <c r="Q24" s="1258"/>
      <c r="R24" s="663"/>
      <c r="S24" s="664"/>
      <c r="T24" s="663"/>
      <c r="U24" s="664"/>
      <c r="V24" s="663"/>
      <c r="W24" s="664"/>
      <c r="X24" s="1260"/>
      <c r="Y24" s="3385"/>
      <c r="Z24" s="1259"/>
      <c r="AA24" s="1259">
        <v>1</v>
      </c>
      <c r="AB24" s="1259">
        <v>1</v>
      </c>
      <c r="AC24" s="1807">
        <v>1</v>
      </c>
    </row>
    <row r="25" spans="1:29" ht="27">
      <c r="A25" s="346"/>
      <c r="B25" s="554" t="s">
        <v>1815</v>
      </c>
      <c r="C25" s="1757"/>
      <c r="D25" s="372">
        <v>100</v>
      </c>
      <c r="E25" s="371"/>
      <c r="F25" s="372">
        <f>SUMIF(87:87,E26,88:88)-SUMIF(87:87,C26,88:88)+100</f>
        <v>100</v>
      </c>
      <c r="G25" s="1757"/>
      <c r="H25" s="372">
        <f>SUMIF(87:87,G26,88:88)-SUMIF(87:87,C26,88:88)+100</f>
        <v>100</v>
      </c>
      <c r="I25" s="371"/>
      <c r="J25" s="372">
        <f>SUMIF(87:87,I26,88:88)-SUMIF(87:87,C26,88:88)+100</f>
        <v>100</v>
      </c>
      <c r="K25" s="538"/>
      <c r="L25" s="2486"/>
      <c r="M25" s="2481"/>
      <c r="N25" s="2481"/>
      <c r="O25" s="2481"/>
      <c r="P25" s="3453"/>
      <c r="Q25" s="1258" t="str">
        <f>B25</f>
        <v>毗邻道路的类型与等级</v>
      </c>
      <c r="R25" s="663" t="s">
        <v>14</v>
      </c>
      <c r="S25" s="664">
        <f>F25</f>
        <v>100</v>
      </c>
      <c r="T25" s="663" t="s">
        <v>14</v>
      </c>
      <c r="U25" s="664">
        <f>H25</f>
        <v>100</v>
      </c>
      <c r="V25" s="663" t="s">
        <v>14</v>
      </c>
      <c r="W25" s="664">
        <f>J25</f>
        <v>100</v>
      </c>
      <c r="X25" s="1260"/>
      <c r="Y25" s="3385"/>
      <c r="Z25" s="1259" t="str">
        <f>Q25</f>
        <v>毗邻道路的类型与等级</v>
      </c>
      <c r="AA25" s="1259">
        <f t="shared" si="3"/>
        <v>1</v>
      </c>
      <c r="AB25" s="1259">
        <f t="shared" si="4"/>
        <v>1</v>
      </c>
      <c r="AC25" s="1807">
        <f t="shared" si="5"/>
        <v>1</v>
      </c>
    </row>
    <row r="26" spans="1:29" ht="15">
      <c r="A26" s="346"/>
      <c r="B26" s="399"/>
      <c r="C26" s="556"/>
      <c r="D26" s="372"/>
      <c r="E26" s="540"/>
      <c r="F26" s="372"/>
      <c r="G26" s="556"/>
      <c r="H26" s="372"/>
      <c r="I26" s="540"/>
      <c r="J26" s="372"/>
      <c r="K26" s="539"/>
      <c r="L26" s="2486"/>
      <c r="M26" s="2481"/>
      <c r="N26" s="2481"/>
      <c r="O26" s="2481"/>
      <c r="P26" s="3453"/>
      <c r="Q26" s="1258"/>
      <c r="R26" s="663"/>
      <c r="S26" s="664"/>
      <c r="T26" s="663"/>
      <c r="U26" s="664"/>
      <c r="V26" s="663"/>
      <c r="W26" s="664"/>
      <c r="X26" s="1260"/>
      <c r="Y26" s="3385"/>
      <c r="Z26" s="1259"/>
      <c r="AA26" s="1259">
        <v>1</v>
      </c>
      <c r="AB26" s="1259">
        <v>1</v>
      </c>
      <c r="AC26" s="1807">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453"/>
      <c r="Q27" s="1258" t="str">
        <f t="shared" ref="Q27:Q47" si="11">B27</f>
        <v>楼层</v>
      </c>
      <c r="R27" s="663" t="s">
        <v>14</v>
      </c>
      <c r="S27" s="664">
        <f>F27</f>
        <v>100</v>
      </c>
      <c r="T27" s="663" t="s">
        <v>14</v>
      </c>
      <c r="U27" s="664">
        <f>H27</f>
        <v>100</v>
      </c>
      <c r="V27" s="663" t="s">
        <v>14</v>
      </c>
      <c r="W27" s="664">
        <f>J27</f>
        <v>100</v>
      </c>
      <c r="X27" s="1260"/>
      <c r="Y27" s="3385"/>
      <c r="Z27" s="1259" t="str">
        <f>Q27</f>
        <v>楼层</v>
      </c>
      <c r="AA27" s="1259">
        <f t="shared" si="3"/>
        <v>1</v>
      </c>
      <c r="AB27" s="1259">
        <f t="shared" si="4"/>
        <v>1</v>
      </c>
      <c r="AC27" s="1807">
        <f t="shared" si="5"/>
        <v>1</v>
      </c>
    </row>
    <row r="28" spans="1:29" s="101" customFormat="1" ht="15">
      <c r="A28" s="368"/>
      <c r="B28" s="554" t="s">
        <v>1816</v>
      </c>
      <c r="C28" s="1810"/>
      <c r="D28" s="399">
        <v>100</v>
      </c>
      <c r="E28" s="1802"/>
      <c r="F28" s="399">
        <f>SUMIF(91:91,E28,92:92)-SUMIF(91:91,C28,92:92)+100</f>
        <v>100</v>
      </c>
      <c r="G28" s="1810"/>
      <c r="H28" s="399">
        <f>SUMIF(91:91,G28,92:92)-SUMIF(91:91,C28,92:92)+100</f>
        <v>100</v>
      </c>
      <c r="I28" s="1802"/>
      <c r="J28" s="399">
        <f>SUMIF(91:91,I28,92:92)-SUMIF(91:91,C28,92:92)+100</f>
        <v>100</v>
      </c>
      <c r="K28" s="536"/>
      <c r="L28" s="2482"/>
      <c r="M28" s="2434"/>
      <c r="N28" s="2434"/>
      <c r="O28" s="2434"/>
      <c r="P28" s="3453"/>
      <c r="Q28" s="528" t="str">
        <f t="shared" si="11"/>
        <v>朝向</v>
      </c>
      <c r="R28" s="660" t="s">
        <v>14</v>
      </c>
      <c r="S28" s="661">
        <f>F28</f>
        <v>100</v>
      </c>
      <c r="T28" s="660" t="s">
        <v>14</v>
      </c>
      <c r="U28" s="661">
        <f>H28</f>
        <v>100</v>
      </c>
      <c r="V28" s="660" t="s">
        <v>14</v>
      </c>
      <c r="W28" s="661">
        <f>J28</f>
        <v>100</v>
      </c>
      <c r="X28" s="662"/>
      <c r="Y28" s="3385"/>
      <c r="Z28" s="50" t="str">
        <f>Q28</f>
        <v>朝向</v>
      </c>
      <c r="AA28" s="1259">
        <f>D28/F28</f>
        <v>1</v>
      </c>
      <c r="AB28" s="1259">
        <f>D28/H28</f>
        <v>1</v>
      </c>
      <c r="AC28" s="1807">
        <f>D28/J28</f>
        <v>1</v>
      </c>
    </row>
    <row r="29" spans="1:29" ht="15">
      <c r="A29" s="365"/>
      <c r="B29" s="1094">
        <v>111</v>
      </c>
      <c r="C29" s="1757"/>
      <c r="D29" s="372">
        <v>100</v>
      </c>
      <c r="E29" s="369"/>
      <c r="F29" s="372">
        <f>SUMIF(93:93,E29,94:94)-SUMIF(93:93,C29,94:94)+100</f>
        <v>100</v>
      </c>
      <c r="G29" s="1805"/>
      <c r="H29" s="372">
        <f>SUMIF(93:93,G29,94:94)-SUMIF(93:93,C29,94:94)+100</f>
        <v>100</v>
      </c>
      <c r="I29" s="369"/>
      <c r="J29" s="372">
        <f>SUMIF(93:93,I29,94:94)-SUMIF(93:93,C29,94:94)+100</f>
        <v>100</v>
      </c>
      <c r="K29" s="537"/>
      <c r="L29" s="2486"/>
      <c r="M29" s="2481"/>
      <c r="N29" s="2481"/>
      <c r="O29" s="2481"/>
      <c r="P29" s="3453"/>
      <c r="Q29" s="1258">
        <f t="shared" si="11"/>
        <v>111</v>
      </c>
      <c r="R29" s="663" t="s">
        <v>14</v>
      </c>
      <c r="S29" s="664">
        <f t="shared" ref="S29:S47" si="12">F29</f>
        <v>100</v>
      </c>
      <c r="T29" s="663" t="s">
        <v>14</v>
      </c>
      <c r="U29" s="664">
        <f t="shared" ref="U29:U47" si="13">H29</f>
        <v>100</v>
      </c>
      <c r="V29" s="663" t="s">
        <v>14</v>
      </c>
      <c r="W29" s="664">
        <f t="shared" ref="W29:W47" si="14">J29</f>
        <v>100</v>
      </c>
      <c r="X29" s="1260"/>
      <c r="Y29" s="3385"/>
      <c r="Z29" s="1259">
        <f t="shared" ref="Z29:Z47" si="15">Q29</f>
        <v>111</v>
      </c>
      <c r="AA29" s="1259">
        <f t="shared" si="3"/>
        <v>1</v>
      </c>
      <c r="AB29" s="1259">
        <f t="shared" si="4"/>
        <v>1</v>
      </c>
      <c r="AC29" s="1807">
        <f t="shared" si="5"/>
        <v>1</v>
      </c>
    </row>
    <row r="30" spans="1:29" ht="15">
      <c r="A30" s="365"/>
      <c r="B30" s="1094">
        <v>111</v>
      </c>
      <c r="C30" s="1757"/>
      <c r="D30" s="372">
        <v>100</v>
      </c>
      <c r="E30" s="369"/>
      <c r="F30" s="372">
        <f>SUMIF(95:95,E30,96:96)-SUMIF(95:95,C30,96:96)+100</f>
        <v>100</v>
      </c>
      <c r="G30" s="1805"/>
      <c r="H30" s="372">
        <f>SUMIF(95:95,G30,96:96)-SUMIF(95:95,C30,96:96)+100</f>
        <v>100</v>
      </c>
      <c r="I30" s="369"/>
      <c r="J30" s="372">
        <f>SUMIF(95:95,I30,96:96)-SUMIF(95:95,C30,96:96)+100</f>
        <v>100</v>
      </c>
      <c r="K30" s="537"/>
      <c r="L30" s="2486"/>
      <c r="M30" s="2481"/>
      <c r="N30" s="2481"/>
      <c r="O30" s="2481"/>
      <c r="P30" s="3453"/>
      <c r="Q30" s="1258">
        <f t="shared" si="11"/>
        <v>111</v>
      </c>
      <c r="R30" s="663" t="s">
        <v>14</v>
      </c>
      <c r="S30" s="664">
        <f t="shared" si="12"/>
        <v>100</v>
      </c>
      <c r="T30" s="663" t="s">
        <v>14</v>
      </c>
      <c r="U30" s="664">
        <f t="shared" si="13"/>
        <v>100</v>
      </c>
      <c r="V30" s="663" t="s">
        <v>14</v>
      </c>
      <c r="W30" s="664">
        <f t="shared" si="14"/>
        <v>100</v>
      </c>
      <c r="X30" s="1260"/>
      <c r="Y30" s="3385"/>
      <c r="Z30" s="1259">
        <f t="shared" si="15"/>
        <v>111</v>
      </c>
      <c r="AA30" s="1259">
        <f t="shared" si="3"/>
        <v>1</v>
      </c>
      <c r="AB30" s="1259">
        <f t="shared" si="4"/>
        <v>1</v>
      </c>
      <c r="AC30" s="1807">
        <f t="shared" si="5"/>
        <v>1</v>
      </c>
    </row>
    <row r="31" spans="1:29" ht="15">
      <c r="A31" s="365"/>
      <c r="B31" s="1094">
        <v>111</v>
      </c>
      <c r="C31" s="1757"/>
      <c r="D31" s="372">
        <v>100</v>
      </c>
      <c r="E31" s="369"/>
      <c r="F31" s="372">
        <f>SUMIF(97:97,E31,98:98)-SUMIF(97:97,C31,98:98)+100</f>
        <v>100</v>
      </c>
      <c r="G31" s="1805"/>
      <c r="H31" s="372">
        <f>SUMIF(97:97,G31,98:98)-SUMIF(97:97,C31,98:98)+100</f>
        <v>100</v>
      </c>
      <c r="I31" s="369"/>
      <c r="J31" s="372">
        <f>SUMIF(97:97,I31,98:98)-SUMIF(97:97,C31,98:98)+100</f>
        <v>100</v>
      </c>
      <c r="K31" s="537"/>
      <c r="L31" s="2486"/>
      <c r="M31" s="2481"/>
      <c r="N31" s="2481"/>
      <c r="O31" s="2481"/>
      <c r="P31" s="3453"/>
      <c r="Q31" s="1258">
        <f t="shared" si="11"/>
        <v>111</v>
      </c>
      <c r="R31" s="663" t="s">
        <v>14</v>
      </c>
      <c r="S31" s="664">
        <f t="shared" si="12"/>
        <v>100</v>
      </c>
      <c r="T31" s="663" t="s">
        <v>14</v>
      </c>
      <c r="U31" s="664">
        <f t="shared" si="13"/>
        <v>100</v>
      </c>
      <c r="V31" s="663" t="s">
        <v>14</v>
      </c>
      <c r="W31" s="664">
        <f t="shared" si="14"/>
        <v>100</v>
      </c>
      <c r="X31" s="1260"/>
      <c r="Y31" s="3385"/>
      <c r="Z31" s="1259">
        <f t="shared" si="15"/>
        <v>111</v>
      </c>
      <c r="AA31" s="1259">
        <f t="shared" si="3"/>
        <v>1</v>
      </c>
      <c r="AB31" s="1259">
        <f t="shared" si="4"/>
        <v>1</v>
      </c>
      <c r="AC31" s="1807">
        <f t="shared" si="5"/>
        <v>1</v>
      </c>
    </row>
    <row r="32" spans="1:29" ht="15.75" thickBot="1">
      <c r="A32" s="373"/>
      <c r="B32" s="557">
        <v>111</v>
      </c>
      <c r="C32" s="1758"/>
      <c r="D32" s="375">
        <v>100</v>
      </c>
      <c r="E32" s="551"/>
      <c r="F32" s="375">
        <f>SUMIF(99:99,E32,100:100)-SUMIF(99:99,C32,100:100)+100</f>
        <v>100</v>
      </c>
      <c r="G32" s="1805"/>
      <c r="H32" s="375">
        <f>SUMIF(99:99,G32,100:100)-SUMIF(99:99,C32,100:100)+100</f>
        <v>100</v>
      </c>
      <c r="I32" s="369"/>
      <c r="J32" s="375">
        <f>SUMIF(99:99,I32,100:100)-SUMIF(99:99,C32,100:100)+100</f>
        <v>100</v>
      </c>
      <c r="K32" s="537"/>
      <c r="L32" s="2486"/>
      <c r="M32" s="2481"/>
      <c r="N32" s="2481"/>
      <c r="O32" s="2481"/>
      <c r="P32" s="3453"/>
      <c r="Q32" s="1258">
        <f t="shared" si="11"/>
        <v>111</v>
      </c>
      <c r="R32" s="663" t="s">
        <v>14</v>
      </c>
      <c r="S32" s="664">
        <f t="shared" si="12"/>
        <v>100</v>
      </c>
      <c r="T32" s="663" t="s">
        <v>14</v>
      </c>
      <c r="U32" s="664">
        <f t="shared" si="13"/>
        <v>100</v>
      </c>
      <c r="V32" s="663" t="s">
        <v>14</v>
      </c>
      <c r="W32" s="664">
        <f t="shared" si="14"/>
        <v>100</v>
      </c>
      <c r="X32" s="1260"/>
      <c r="Y32" s="3385"/>
      <c r="Z32" s="1259">
        <f t="shared" si="15"/>
        <v>111</v>
      </c>
      <c r="AA32" s="1259">
        <f t="shared" si="3"/>
        <v>1</v>
      </c>
      <c r="AB32" s="1259">
        <f t="shared" si="4"/>
        <v>1</v>
      </c>
      <c r="AC32" s="1807">
        <f t="shared" si="5"/>
        <v>1</v>
      </c>
    </row>
    <row r="33" spans="1:29" ht="15">
      <c r="A33" s="377" t="s">
        <v>1694</v>
      </c>
      <c r="B33" s="60" t="s">
        <v>1817</v>
      </c>
      <c r="C33" s="1759"/>
      <c r="D33" s="403">
        <v>100</v>
      </c>
      <c r="E33" s="1759"/>
      <c r="F33" s="398">
        <f>SUMIF(101:101,E33,102:102)-SUMIF(101:101,C33,102:102)+100</f>
        <v>100</v>
      </c>
      <c r="G33" s="1759"/>
      <c r="H33" s="372">
        <f>SUMIF(101:101,G33,102:102)-SUMIF(101:101,C33,102:102)+100</f>
        <v>100</v>
      </c>
      <c r="I33" s="1759"/>
      <c r="J33" s="403">
        <f>SUMIF(101:101,I33,102:102)-SUMIF(101:101,C33,102:102)+100</f>
        <v>100</v>
      </c>
      <c r="K33" s="536"/>
      <c r="L33" s="2486"/>
      <c r="M33" s="2481"/>
      <c r="N33" s="2481"/>
      <c r="O33" s="2481"/>
      <c r="P33" s="3448" t="s">
        <v>1696</v>
      </c>
      <c r="Q33" s="1258" t="str">
        <f t="shared" si="11"/>
        <v>建筑类型</v>
      </c>
      <c r="R33" s="663" t="s">
        <v>14</v>
      </c>
      <c r="S33" s="664">
        <f t="shared" si="12"/>
        <v>100</v>
      </c>
      <c r="T33" s="663" t="s">
        <v>14</v>
      </c>
      <c r="U33" s="664">
        <f t="shared" si="13"/>
        <v>100</v>
      </c>
      <c r="V33" s="663" t="s">
        <v>14</v>
      </c>
      <c r="W33" s="664">
        <f t="shared" si="14"/>
        <v>100</v>
      </c>
      <c r="X33" s="1260"/>
      <c r="Y33" s="3387" t="s">
        <v>1696</v>
      </c>
      <c r="Z33" s="1259" t="str">
        <f t="shared" si="15"/>
        <v>建筑类型</v>
      </c>
      <c r="AA33" s="1259">
        <f t="shared" si="3"/>
        <v>1</v>
      </c>
      <c r="AB33" s="1259">
        <f t="shared" si="4"/>
        <v>1</v>
      </c>
      <c r="AC33" s="1807">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449"/>
      <c r="Q34" s="529" t="str">
        <f t="shared" si="11"/>
        <v>项目建筑规模</v>
      </c>
      <c r="R34" s="665" t="s">
        <v>14</v>
      </c>
      <c r="S34" s="666" t="e">
        <f t="shared" si="12"/>
        <v>#N/A</v>
      </c>
      <c r="T34" s="665" t="s">
        <v>14</v>
      </c>
      <c r="U34" s="666" t="e">
        <f t="shared" si="13"/>
        <v>#N/A</v>
      </c>
      <c r="V34" s="665" t="s">
        <v>14</v>
      </c>
      <c r="W34" s="666" t="e">
        <f t="shared" si="14"/>
        <v>#N/A</v>
      </c>
      <c r="X34" s="667"/>
      <c r="Y34" s="3387"/>
      <c r="Z34" s="668" t="str">
        <f t="shared" si="15"/>
        <v>项目建筑规模</v>
      </c>
      <c r="AA34" s="1259" t="e">
        <f t="shared" si="3"/>
        <v>#N/A</v>
      </c>
      <c r="AB34" s="1259" t="e">
        <f t="shared" si="4"/>
        <v>#N/A</v>
      </c>
      <c r="AC34" s="1807"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449"/>
      <c r="Q35" s="1258" t="str">
        <f t="shared" si="11"/>
        <v>建筑结构</v>
      </c>
      <c r="R35" s="663" t="s">
        <v>14</v>
      </c>
      <c r="S35" s="664">
        <f t="shared" si="12"/>
        <v>100</v>
      </c>
      <c r="T35" s="663" t="s">
        <v>14</v>
      </c>
      <c r="U35" s="664">
        <f t="shared" si="13"/>
        <v>100</v>
      </c>
      <c r="V35" s="663" t="s">
        <v>14</v>
      </c>
      <c r="W35" s="664">
        <f t="shared" si="14"/>
        <v>100</v>
      </c>
      <c r="X35" s="1260"/>
      <c r="Y35" s="3387"/>
      <c r="Z35" s="1259" t="str">
        <f t="shared" si="15"/>
        <v>建筑结构</v>
      </c>
      <c r="AA35" s="1259">
        <f t="shared" si="3"/>
        <v>1</v>
      </c>
      <c r="AB35" s="1259">
        <f t="shared" si="4"/>
        <v>1</v>
      </c>
      <c r="AC35" s="1807">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449"/>
      <c r="Q36" s="1258" t="str">
        <f t="shared" si="11"/>
        <v>公共部分装修</v>
      </c>
      <c r="R36" s="663" t="s">
        <v>14</v>
      </c>
      <c r="S36" s="664">
        <f t="shared" si="12"/>
        <v>100</v>
      </c>
      <c r="T36" s="663" t="s">
        <v>14</v>
      </c>
      <c r="U36" s="664">
        <f t="shared" si="13"/>
        <v>100</v>
      </c>
      <c r="V36" s="663" t="s">
        <v>14</v>
      </c>
      <c r="W36" s="664">
        <f t="shared" si="14"/>
        <v>100</v>
      </c>
      <c r="X36" s="1260"/>
      <c r="Y36" s="3387"/>
      <c r="Z36" s="1259" t="str">
        <f t="shared" si="15"/>
        <v>公共部分装修</v>
      </c>
      <c r="AA36" s="1259">
        <f t="shared" si="3"/>
        <v>1</v>
      </c>
      <c r="AB36" s="1259">
        <f t="shared" si="4"/>
        <v>1</v>
      </c>
      <c r="AC36" s="1807">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449"/>
      <c r="Q37" s="1258" t="str">
        <f t="shared" si="11"/>
        <v>成新度</v>
      </c>
      <c r="R37" s="663" t="s">
        <v>14</v>
      </c>
      <c r="S37" s="664" t="e">
        <f t="shared" si="12"/>
        <v>#N/A</v>
      </c>
      <c r="T37" s="663" t="s">
        <v>14</v>
      </c>
      <c r="U37" s="664" t="e">
        <f t="shared" si="13"/>
        <v>#N/A</v>
      </c>
      <c r="V37" s="663" t="s">
        <v>14</v>
      </c>
      <c r="W37" s="664" t="e">
        <f t="shared" si="14"/>
        <v>#N/A</v>
      </c>
      <c r="X37" s="1260"/>
      <c r="Y37" s="3387"/>
      <c r="Z37" s="1259" t="str">
        <f t="shared" si="15"/>
        <v>成新度</v>
      </c>
      <c r="AA37" s="1259" t="e">
        <f t="shared" si="3"/>
        <v>#N/A</v>
      </c>
      <c r="AB37" s="1259" t="e">
        <f t="shared" si="4"/>
        <v>#N/A</v>
      </c>
      <c r="AC37" s="1807"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4"/>
      <c r="N38" s="2434"/>
      <c r="O38" s="2434"/>
      <c r="P38" s="3449"/>
      <c r="Q38" s="528" t="str">
        <f t="shared" si="11"/>
        <v>写字楼等级</v>
      </c>
      <c r="R38" s="660" t="s">
        <v>14</v>
      </c>
      <c r="S38" s="661">
        <f t="shared" si="12"/>
        <v>100</v>
      </c>
      <c r="T38" s="660" t="s">
        <v>14</v>
      </c>
      <c r="U38" s="661">
        <f t="shared" si="13"/>
        <v>100</v>
      </c>
      <c r="V38" s="660" t="s">
        <v>14</v>
      </c>
      <c r="W38" s="661">
        <f t="shared" si="14"/>
        <v>100</v>
      </c>
      <c r="X38" s="662"/>
      <c r="Y38" s="3387"/>
      <c r="Z38" s="50" t="str">
        <f t="shared" si="15"/>
        <v>写字楼等级</v>
      </c>
      <c r="AA38" s="50">
        <f t="shared" si="3"/>
        <v>1</v>
      </c>
      <c r="AB38" s="50">
        <f t="shared" si="4"/>
        <v>1</v>
      </c>
      <c r="AC38" s="798">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449" t="s">
        <v>1696</v>
      </c>
      <c r="Q39" s="1258" t="str">
        <f t="shared" si="11"/>
        <v>物业管理</v>
      </c>
      <c r="R39" s="663" t="s">
        <v>14</v>
      </c>
      <c r="S39" s="664">
        <f t="shared" si="12"/>
        <v>100</v>
      </c>
      <c r="T39" s="663" t="s">
        <v>14</v>
      </c>
      <c r="U39" s="664">
        <f t="shared" si="13"/>
        <v>100</v>
      </c>
      <c r="V39" s="663" t="s">
        <v>14</v>
      </c>
      <c r="W39" s="664">
        <f t="shared" si="14"/>
        <v>100</v>
      </c>
      <c r="X39" s="1260"/>
      <c r="Y39" s="3387" t="s">
        <v>1696</v>
      </c>
      <c r="Z39" s="1259" t="str">
        <f t="shared" si="15"/>
        <v>物业管理</v>
      </c>
      <c r="AA39" s="1259">
        <f t="shared" si="3"/>
        <v>1</v>
      </c>
      <c r="AB39" s="1259">
        <f t="shared" si="4"/>
        <v>1</v>
      </c>
      <c r="AC39" s="1807">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449"/>
      <c r="Q40" s="1258" t="str">
        <f t="shared" si="11"/>
        <v>市政基础设施</v>
      </c>
      <c r="R40" s="663" t="s">
        <v>14</v>
      </c>
      <c r="S40" s="664">
        <f t="shared" si="12"/>
        <v>100</v>
      </c>
      <c r="T40" s="663" t="s">
        <v>14</v>
      </c>
      <c r="U40" s="664">
        <f t="shared" si="13"/>
        <v>100</v>
      </c>
      <c r="V40" s="663" t="s">
        <v>14</v>
      </c>
      <c r="W40" s="664">
        <f t="shared" si="14"/>
        <v>100</v>
      </c>
      <c r="X40" s="1260"/>
      <c r="Y40" s="3387"/>
      <c r="Z40" s="1259" t="str">
        <f t="shared" si="15"/>
        <v>市政基础设施</v>
      </c>
      <c r="AA40" s="1259">
        <f t="shared" si="3"/>
        <v>1</v>
      </c>
      <c r="AB40" s="1259">
        <f t="shared" si="4"/>
        <v>1</v>
      </c>
      <c r="AC40" s="1807">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449"/>
      <c r="Q41" s="1258" t="str">
        <f t="shared" si="11"/>
        <v>层高</v>
      </c>
      <c r="R41" s="663" t="s">
        <v>14</v>
      </c>
      <c r="S41" s="664">
        <f t="shared" si="12"/>
        <v>100</v>
      </c>
      <c r="T41" s="663" t="s">
        <v>14</v>
      </c>
      <c r="U41" s="664">
        <f t="shared" si="13"/>
        <v>100</v>
      </c>
      <c r="V41" s="663" t="s">
        <v>14</v>
      </c>
      <c r="W41" s="664">
        <f t="shared" si="14"/>
        <v>100</v>
      </c>
      <c r="X41" s="1260"/>
      <c r="Y41" s="3387"/>
      <c r="Z41" s="1259" t="str">
        <f t="shared" si="15"/>
        <v>层高</v>
      </c>
      <c r="AA41" s="1259">
        <f t="shared" si="3"/>
        <v>1</v>
      </c>
      <c r="AB41" s="1259">
        <f t="shared" si="4"/>
        <v>1</v>
      </c>
      <c r="AC41" s="1807">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449"/>
      <c r="Q42" s="529" t="str">
        <f t="shared" si="11"/>
        <v>单套建筑面积</v>
      </c>
      <c r="R42" s="665" t="s">
        <v>14</v>
      </c>
      <c r="S42" s="666">
        <f t="shared" si="12"/>
        <v>100</v>
      </c>
      <c r="T42" s="665" t="s">
        <v>14</v>
      </c>
      <c r="U42" s="666">
        <f t="shared" si="13"/>
        <v>100</v>
      </c>
      <c r="V42" s="665" t="s">
        <v>14</v>
      </c>
      <c r="W42" s="666">
        <f t="shared" si="14"/>
        <v>100</v>
      </c>
      <c r="X42" s="667"/>
      <c r="Y42" s="3387"/>
      <c r="Z42" s="668" t="str">
        <f t="shared" si="15"/>
        <v>单套建筑面积</v>
      </c>
      <c r="AA42" s="1259">
        <f t="shared" si="3"/>
        <v>1</v>
      </c>
      <c r="AB42" s="1259">
        <f t="shared" si="4"/>
        <v>1</v>
      </c>
      <c r="AC42" s="1807">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449"/>
      <c r="Q43" s="1258" t="str">
        <f t="shared" si="11"/>
        <v>内部装修</v>
      </c>
      <c r="R43" s="663" t="s">
        <v>14</v>
      </c>
      <c r="S43" s="664">
        <f t="shared" si="12"/>
        <v>100</v>
      </c>
      <c r="T43" s="663" t="s">
        <v>14</v>
      </c>
      <c r="U43" s="664">
        <f t="shared" si="13"/>
        <v>100</v>
      </c>
      <c r="V43" s="663" t="s">
        <v>14</v>
      </c>
      <c r="W43" s="664">
        <f t="shared" si="14"/>
        <v>100</v>
      </c>
      <c r="X43" s="1260"/>
      <c r="Y43" s="3387"/>
      <c r="Z43" s="1259" t="str">
        <f t="shared" si="15"/>
        <v>内部装修</v>
      </c>
      <c r="AA43" s="1259">
        <f t="shared" si="3"/>
        <v>1</v>
      </c>
      <c r="AB43" s="1259">
        <f t="shared" si="4"/>
        <v>1</v>
      </c>
      <c r="AC43" s="1807">
        <f t="shared" si="5"/>
        <v>1</v>
      </c>
    </row>
    <row r="44" spans="1:29" ht="15">
      <c r="A44" s="407"/>
      <c r="B44" s="362" t="s">
        <v>1707</v>
      </c>
      <c r="C44" s="397"/>
      <c r="D44" s="372">
        <v>100</v>
      </c>
      <c r="E44" s="1755"/>
      <c r="F44" s="398">
        <f>SUMIF(125:125,E44,126:126)-SUMIF(125:125,C44,126:126)+100</f>
        <v>100</v>
      </c>
      <c r="G44" s="1755"/>
      <c r="H44" s="372">
        <f>SUMIF(125:125,G44,126:126)-SUMIF(125:125,C44,126:126)+100</f>
        <v>100</v>
      </c>
      <c r="I44" s="1755"/>
      <c r="J44" s="372">
        <f>SUMIF(125:125,I44,126:126)-SUMIF(125:125,C44,126:126)+100</f>
        <v>100</v>
      </c>
      <c r="K44" s="536"/>
      <c r="L44" s="2486"/>
      <c r="M44" s="2481"/>
      <c r="N44" s="2481"/>
      <c r="O44" s="2481"/>
      <c r="P44" s="3449"/>
      <c r="Q44" s="1258" t="str">
        <f t="shared" si="11"/>
        <v>内部装修维护情况</v>
      </c>
      <c r="R44" s="663" t="s">
        <v>14</v>
      </c>
      <c r="S44" s="664">
        <f t="shared" si="12"/>
        <v>100</v>
      </c>
      <c r="T44" s="663" t="s">
        <v>14</v>
      </c>
      <c r="U44" s="664">
        <f t="shared" si="13"/>
        <v>100</v>
      </c>
      <c r="V44" s="663" t="s">
        <v>14</v>
      </c>
      <c r="W44" s="664">
        <f t="shared" si="14"/>
        <v>100</v>
      </c>
      <c r="X44" s="1260"/>
      <c r="Y44" s="3387"/>
      <c r="Z44" s="1259" t="str">
        <f t="shared" si="15"/>
        <v>内部装修维护情况</v>
      </c>
      <c r="AA44" s="1259">
        <f t="shared" si="3"/>
        <v>1</v>
      </c>
      <c r="AB44" s="1259">
        <f t="shared" si="4"/>
        <v>1</v>
      </c>
      <c r="AC44" s="1807">
        <f t="shared" si="5"/>
        <v>1</v>
      </c>
    </row>
    <row r="45" spans="1:29" s="101" customFormat="1" ht="15">
      <c r="A45" s="408"/>
      <c r="B45" s="1062">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4"/>
      <c r="N45" s="2434"/>
      <c r="O45" s="2434"/>
      <c r="P45" s="3449"/>
      <c r="Q45" s="528">
        <f t="shared" si="11"/>
        <v>111</v>
      </c>
      <c r="R45" s="660" t="s">
        <v>14</v>
      </c>
      <c r="S45" s="661">
        <f t="shared" si="12"/>
        <v>100</v>
      </c>
      <c r="T45" s="660" t="s">
        <v>14</v>
      </c>
      <c r="U45" s="661">
        <f t="shared" si="13"/>
        <v>100</v>
      </c>
      <c r="V45" s="660" t="s">
        <v>14</v>
      </c>
      <c r="W45" s="661">
        <f t="shared" si="14"/>
        <v>100</v>
      </c>
      <c r="X45" s="662"/>
      <c r="Y45" s="3387"/>
      <c r="Z45" s="50">
        <f t="shared" si="15"/>
        <v>111</v>
      </c>
      <c r="AA45" s="50">
        <f t="shared" si="3"/>
        <v>1</v>
      </c>
      <c r="AB45" s="50">
        <f t="shared" si="4"/>
        <v>1</v>
      </c>
      <c r="AC45" s="798">
        <f t="shared" si="5"/>
        <v>1</v>
      </c>
    </row>
    <row r="46" spans="1:29" ht="15">
      <c r="A46" s="407"/>
      <c r="B46" s="1062">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449"/>
      <c r="Q46" s="1258">
        <f t="shared" si="11"/>
        <v>111</v>
      </c>
      <c r="R46" s="663" t="s">
        <v>14</v>
      </c>
      <c r="S46" s="664">
        <f t="shared" si="12"/>
        <v>100</v>
      </c>
      <c r="T46" s="663" t="s">
        <v>14</v>
      </c>
      <c r="U46" s="664">
        <f t="shared" si="13"/>
        <v>100</v>
      </c>
      <c r="V46" s="663" t="s">
        <v>14</v>
      </c>
      <c r="W46" s="664">
        <f t="shared" si="14"/>
        <v>100</v>
      </c>
      <c r="X46" s="1260"/>
      <c r="Y46" s="3387"/>
      <c r="Z46" s="1259">
        <f t="shared" si="15"/>
        <v>111</v>
      </c>
      <c r="AA46" s="1259">
        <f t="shared" si="3"/>
        <v>1</v>
      </c>
      <c r="AB46" s="1259">
        <f t="shared" si="4"/>
        <v>1</v>
      </c>
      <c r="AC46" s="1807">
        <f t="shared" si="5"/>
        <v>1</v>
      </c>
    </row>
    <row r="47" spans="1:29" ht="15.75" thickBot="1">
      <c r="A47" s="413"/>
      <c r="B47" s="1744">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450"/>
      <c r="Q47" s="1258">
        <f t="shared" si="11"/>
        <v>111</v>
      </c>
      <c r="R47" s="663" t="s">
        <v>14</v>
      </c>
      <c r="S47" s="664">
        <f t="shared" si="12"/>
        <v>100</v>
      </c>
      <c r="T47" s="663" t="s">
        <v>14</v>
      </c>
      <c r="U47" s="664">
        <f t="shared" si="13"/>
        <v>100</v>
      </c>
      <c r="V47" s="663" t="s">
        <v>14</v>
      </c>
      <c r="W47" s="664">
        <f t="shared" si="14"/>
        <v>100</v>
      </c>
      <c r="X47" s="1260"/>
      <c r="Y47" s="3451"/>
      <c r="Z47" s="1259">
        <f t="shared" si="15"/>
        <v>111</v>
      </c>
      <c r="AA47" s="1259">
        <f t="shared" si="3"/>
        <v>1</v>
      </c>
      <c r="AB47" s="1259">
        <f t="shared" si="4"/>
        <v>1</v>
      </c>
      <c r="AC47" s="1807">
        <f t="shared" si="5"/>
        <v>1</v>
      </c>
    </row>
    <row r="48" spans="1:29" ht="15">
      <c r="A48" s="414" t="s">
        <v>1708</v>
      </c>
      <c r="B48" s="415"/>
      <c r="C48" s="1077" t="s">
        <v>0</v>
      </c>
      <c r="D48" s="416"/>
      <c r="E48" s="417"/>
      <c r="F48" s="418"/>
      <c r="G48" s="419"/>
      <c r="H48" s="420"/>
      <c r="I48" s="417"/>
      <c r="J48" s="420"/>
      <c r="K48" s="670"/>
      <c r="L48" s="2488"/>
      <c r="M48" s="2481"/>
      <c r="N48" s="2481"/>
      <c r="O48" s="2481"/>
      <c r="P48" s="3382" t="str">
        <f>A48</f>
        <v>成交单价（元/平方米）</v>
      </c>
      <c r="Q48" s="3383"/>
      <c r="R48" s="3388">
        <f>E48</f>
        <v>0</v>
      </c>
      <c r="S48" s="3388"/>
      <c r="T48" s="3388">
        <f>G48</f>
        <v>0</v>
      </c>
      <c r="U48" s="3388"/>
      <c r="V48" s="3388">
        <f>I48</f>
        <v>0</v>
      </c>
      <c r="W48" s="3388"/>
      <c r="X48" s="383"/>
      <c r="Y48" s="669"/>
      <c r="Z48" s="383"/>
      <c r="AA48" s="383"/>
      <c r="AB48" s="383"/>
      <c r="AC48" s="553"/>
    </row>
    <row r="49" spans="1:29" ht="15.75" thickBot="1">
      <c r="A49" s="421" t="s">
        <v>1793</v>
      </c>
      <c r="B49" s="422"/>
      <c r="C49" s="1078" t="e">
        <f>R50</f>
        <v>#DIV/0!</v>
      </c>
      <c r="D49" s="2136" t="s">
        <v>2138</v>
      </c>
      <c r="E49" s="1079" t="e">
        <f>R49</f>
        <v>#DIV/0!</v>
      </c>
      <c r="F49" s="2137"/>
      <c r="G49" s="1078" t="e">
        <f>T49</f>
        <v>#DIV/0!</v>
      </c>
      <c r="H49" s="2137"/>
      <c r="I49" s="1079" t="e">
        <f>V49</f>
        <v>#DIV/0!</v>
      </c>
      <c r="J49" s="2137"/>
      <c r="K49" s="2139">
        <f>F49+H49+J49</f>
        <v>0</v>
      </c>
      <c r="L49" s="2488"/>
      <c r="M49" s="2481"/>
      <c r="N49" s="2481"/>
      <c r="O49" s="2481"/>
      <c r="P49" s="3382" t="str">
        <f>A49</f>
        <v>比较价值（元/平方米）</v>
      </c>
      <c r="Q49" s="338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3"/>
      <c r="Y49" s="383"/>
      <c r="Z49" s="383"/>
      <c r="AA49" s="383"/>
      <c r="AB49" s="383"/>
      <c r="AC49" s="553"/>
    </row>
    <row r="50" spans="1:29" ht="15.75" thickBot="1">
      <c r="A50" s="425" t="s">
        <v>1794</v>
      </c>
      <c r="B50" s="426"/>
      <c r="C50" s="349" t="e">
        <f>R50</f>
        <v>#DIV/0!</v>
      </c>
      <c r="D50" s="349"/>
      <c r="E50" s="349"/>
      <c r="F50" s="349"/>
      <c r="G50" s="349"/>
      <c r="H50" s="349"/>
      <c r="I50" s="349"/>
      <c r="J50" s="427"/>
      <c r="K50" s="671"/>
      <c r="L50" s="2488"/>
      <c r="M50" s="2481"/>
      <c r="N50" s="2481"/>
      <c r="O50" s="2481"/>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3"/>
      <c r="Y50" s="1793"/>
      <c r="Z50" s="1793"/>
      <c r="AA50" s="1793"/>
      <c r="AB50" s="1793"/>
      <c r="AC50" s="1794"/>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4" t="s">
        <v>1798</v>
      </c>
      <c r="B58" s="383"/>
      <c r="C58" s="655"/>
      <c r="D58" s="655"/>
      <c r="E58" s="655"/>
      <c r="F58" s="656"/>
      <c r="G58" s="656"/>
      <c r="H58" s="655"/>
      <c r="I58" s="655"/>
      <c r="J58" s="655"/>
      <c r="K58" s="657"/>
      <c r="L58" s="884"/>
      <c r="M58" s="882"/>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098" t="str">
        <f>YEAR(C7)&amp;"-"&amp;MONTH(C7)</f>
        <v>2024-11</v>
      </c>
      <c r="D59" s="1099">
        <f>EDATE(C59,-1)</f>
        <v>45566</v>
      </c>
      <c r="E59" s="1099">
        <f>EDATE(D59,-1)</f>
        <v>45536</v>
      </c>
      <c r="F59" s="1099">
        <f t="shared" ref="F59:O59" si="16">EDATE(E59,-1)</f>
        <v>45505</v>
      </c>
      <c r="G59" s="1099">
        <f t="shared" si="16"/>
        <v>45474</v>
      </c>
      <c r="H59" s="1099">
        <f t="shared" si="16"/>
        <v>45444</v>
      </c>
      <c r="I59" s="1099">
        <f t="shared" si="16"/>
        <v>45413</v>
      </c>
      <c r="J59" s="1099">
        <f t="shared" si="16"/>
        <v>45383</v>
      </c>
      <c r="K59" s="1099">
        <f t="shared" si="16"/>
        <v>45352</v>
      </c>
      <c r="L59" s="1099">
        <f t="shared" si="16"/>
        <v>45323</v>
      </c>
      <c r="M59" s="1099">
        <f t="shared" si="16"/>
        <v>45292</v>
      </c>
      <c r="N59" s="1099">
        <f t="shared" si="16"/>
        <v>45261</v>
      </c>
      <c r="O59" s="1099">
        <f t="shared" si="16"/>
        <v>45231</v>
      </c>
      <c r="P59" s="2521"/>
      <c r="Q59" s="2504"/>
      <c r="R59" s="2504"/>
      <c r="S59" s="2504"/>
      <c r="T59" s="2504"/>
      <c r="U59" s="2504"/>
      <c r="V59" s="2504"/>
      <c r="W59" s="2504"/>
      <c r="X59" s="2504"/>
      <c r="Y59" s="2504"/>
      <c r="Z59" s="2504"/>
      <c r="AA59" s="2504"/>
      <c r="AB59" s="2504"/>
      <c r="AC59" s="2504"/>
    </row>
    <row r="60" spans="1:29" s="101" customFormat="1" ht="15">
      <c r="A60" s="441"/>
      <c r="B60" s="442"/>
      <c r="C60" s="1097">
        <v>100</v>
      </c>
      <c r="D60" s="444"/>
      <c r="E60" s="444"/>
      <c r="F60" s="444"/>
      <c r="G60" s="444"/>
      <c r="H60" s="444"/>
      <c r="I60" s="444"/>
      <c r="J60" s="444"/>
      <c r="K60" s="444"/>
      <c r="L60" s="444"/>
      <c r="M60" s="445"/>
      <c r="N60" s="444"/>
      <c r="O60" s="445"/>
      <c r="P60" s="2522"/>
      <c r="Q60" s="2434"/>
      <c r="R60" s="2434"/>
      <c r="S60" s="2434"/>
      <c r="T60" s="2434"/>
      <c r="U60" s="2434"/>
      <c r="V60" s="2434"/>
      <c r="W60" s="2434"/>
      <c r="X60" s="2434"/>
      <c r="Y60" s="2434"/>
      <c r="Z60" s="2434"/>
      <c r="AA60" s="2434"/>
      <c r="AB60" s="2434"/>
      <c r="AC60" s="2434"/>
    </row>
    <row r="61" spans="1:29" s="101" customFormat="1" ht="15.75" thickBot="1">
      <c r="A61" s="447" t="s">
        <v>1716</v>
      </c>
      <c r="B61" s="448"/>
      <c r="C61" s="449"/>
      <c r="D61" s="450"/>
      <c r="E61" s="450"/>
      <c r="F61" s="450"/>
      <c r="G61" s="450"/>
      <c r="H61" s="450"/>
      <c r="I61" s="450"/>
      <c r="J61" s="450"/>
      <c r="K61" s="450"/>
      <c r="L61" s="450"/>
      <c r="M61" s="451"/>
      <c r="N61" s="450"/>
      <c r="O61" s="451"/>
      <c r="P61" s="2522"/>
      <c r="Q61" s="2502"/>
      <c r="R61" s="2434"/>
      <c r="S61" s="2434"/>
      <c r="T61" s="2434"/>
      <c r="U61" s="2434"/>
      <c r="V61" s="2434"/>
      <c r="W61" s="2434"/>
      <c r="X61" s="2434"/>
      <c r="Y61" s="2434"/>
      <c r="Z61" s="2434"/>
      <c r="AA61" s="2434"/>
      <c r="AB61" s="2434"/>
      <c r="AC61" s="2434"/>
    </row>
    <row r="62" spans="1:29" s="101" customFormat="1" ht="15">
      <c r="A62" s="453" t="s">
        <v>1681</v>
      </c>
      <c r="B62" s="442"/>
      <c r="C62" s="454" t="s">
        <v>1776</v>
      </c>
      <c r="D62" s="31"/>
      <c r="E62" s="31"/>
      <c r="F62" s="31"/>
      <c r="G62" s="31"/>
      <c r="H62" s="31"/>
      <c r="I62" s="31"/>
      <c r="J62" s="31"/>
      <c r="K62" s="31"/>
      <c r="L62" s="455"/>
      <c r="M62" s="456"/>
      <c r="N62" s="2514"/>
      <c r="O62" s="2514"/>
      <c r="P62" s="2523"/>
      <c r="Q62" s="2502"/>
      <c r="R62" s="2434"/>
      <c r="S62" s="2434"/>
      <c r="T62" s="2434"/>
      <c r="U62" s="2434"/>
      <c r="V62" s="2434"/>
      <c r="W62" s="2434"/>
      <c r="X62" s="2434"/>
      <c r="Y62" s="2434"/>
      <c r="Z62" s="2434"/>
      <c r="AA62" s="2434"/>
      <c r="AB62" s="2434"/>
      <c r="AC62" s="2434"/>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4"/>
      <c r="S63" s="2434"/>
      <c r="T63" s="2434"/>
      <c r="U63" s="2434"/>
      <c r="V63" s="2434"/>
      <c r="W63" s="2434"/>
      <c r="X63" s="2434"/>
      <c r="Y63" s="2434"/>
      <c r="Z63" s="2434"/>
      <c r="AA63" s="2434"/>
      <c r="AB63" s="2434"/>
      <c r="AC63" s="2434"/>
    </row>
    <row r="64" spans="1:29">
      <c r="A64" s="377" t="s">
        <v>1719</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1821</v>
      </c>
      <c r="C77" s="502" t="s">
        <v>1721</v>
      </c>
      <c r="D77" s="502" t="s">
        <v>1722</v>
      </c>
      <c r="E77" s="502" t="s">
        <v>1723</v>
      </c>
      <c r="F77" s="502" t="s">
        <v>1724</v>
      </c>
      <c r="G77" s="502" t="s">
        <v>1725</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1726</v>
      </c>
      <c r="C79" s="507" t="s">
        <v>1721</v>
      </c>
      <c r="D79" s="507" t="s">
        <v>1722</v>
      </c>
      <c r="E79" s="507" t="s">
        <v>1723</v>
      </c>
      <c r="F79" s="507" t="s">
        <v>1724</v>
      </c>
      <c r="G79" s="507" t="s">
        <v>1725</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1727</v>
      </c>
      <c r="C81" s="507" t="s">
        <v>1721</v>
      </c>
      <c r="D81" s="507" t="s">
        <v>1722</v>
      </c>
      <c r="E81" s="507" t="s">
        <v>1723</v>
      </c>
      <c r="F81" s="507" t="s">
        <v>1724</v>
      </c>
      <c r="G81" s="507" t="s">
        <v>1725</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1813</v>
      </c>
      <c r="C83" s="579" t="s">
        <v>1799</v>
      </c>
      <c r="D83" s="579" t="s">
        <v>1800</v>
      </c>
      <c r="E83" s="579" t="s">
        <v>1801</v>
      </c>
      <c r="F83" s="579" t="s">
        <v>1802</v>
      </c>
      <c r="G83" s="579" t="s">
        <v>1803</v>
      </c>
      <c r="H83" s="468"/>
      <c r="I83" s="468"/>
      <c r="J83" s="468"/>
      <c r="K83" s="468"/>
      <c r="L83" s="468"/>
      <c r="M83" s="1059"/>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1822</v>
      </c>
      <c r="C85" s="507" t="s">
        <v>1721</v>
      </c>
      <c r="D85" s="507" t="s">
        <v>1722</v>
      </c>
      <c r="E85" s="507" t="s">
        <v>1723</v>
      </c>
      <c r="F85" s="507" t="s">
        <v>1724</v>
      </c>
      <c r="G85" s="507" t="s">
        <v>1725</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1823</v>
      </c>
      <c r="C87" s="483"/>
      <c r="D87" s="483"/>
      <c r="E87" s="483"/>
      <c r="F87" s="483"/>
      <c r="G87" s="483"/>
      <c r="H87" s="483"/>
      <c r="I87" s="483"/>
      <c r="J87" s="483"/>
      <c r="K87" s="483"/>
      <c r="L87" s="508"/>
      <c r="M87" s="509"/>
      <c r="N87" s="2514"/>
      <c r="O87" s="2514"/>
      <c r="P87" s="2524"/>
      <c r="Q87" s="2502"/>
      <c r="R87" s="2434"/>
      <c r="S87" s="2434"/>
      <c r="T87" s="2434"/>
      <c r="U87" s="2434"/>
      <c r="V87" s="2434"/>
      <c r="W87" s="2434"/>
      <c r="X87" s="2434"/>
      <c r="Y87" s="2434"/>
      <c r="Z87" s="2434"/>
      <c r="AA87" s="2434"/>
      <c r="AB87" s="2434"/>
      <c r="AC87" s="2434"/>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6"/>
      <c r="O88" s="2516"/>
      <c r="P88" s="2524"/>
      <c r="Q88" s="2502"/>
      <c r="R88" s="2434"/>
      <c r="S88" s="2434"/>
      <c r="T88" s="2434"/>
      <c r="U88" s="2434"/>
      <c r="V88" s="2434"/>
      <c r="W88" s="2434"/>
      <c r="X88" s="2434"/>
      <c r="Y88" s="2434"/>
      <c r="Z88" s="2434"/>
      <c r="AA88" s="2434"/>
      <c r="AB88" s="2434"/>
      <c r="AC88" s="2434"/>
    </row>
    <row r="89" spans="1:29" s="101" customFormat="1" ht="15.75" thickTop="1">
      <c r="A89" s="368"/>
      <c r="B89" s="467" t="str">
        <f>B27</f>
        <v>楼层</v>
      </c>
      <c r="C89" s="483"/>
      <c r="D89" s="483"/>
      <c r="E89" s="483"/>
      <c r="F89" s="1775"/>
      <c r="G89" s="483"/>
      <c r="H89" s="483"/>
      <c r="I89" s="483"/>
      <c r="J89" s="483"/>
      <c r="K89" s="483"/>
      <c r="L89" s="483"/>
      <c r="M89" s="509"/>
      <c r="N89" s="2514"/>
      <c r="O89" s="2514"/>
      <c r="P89" s="2524"/>
      <c r="Q89" s="2502"/>
      <c r="R89" s="2434"/>
      <c r="S89" s="2434"/>
      <c r="T89" s="2434"/>
      <c r="U89" s="2434"/>
      <c r="V89" s="2434"/>
      <c r="W89" s="2434"/>
      <c r="X89" s="2434"/>
      <c r="Y89" s="2434"/>
      <c r="Z89" s="2434"/>
      <c r="AA89" s="2434"/>
      <c r="AB89" s="2434"/>
      <c r="AC89" s="2434"/>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6"/>
      <c r="O90" s="2516"/>
      <c r="P90" s="2524"/>
      <c r="Q90" s="2502"/>
      <c r="R90" s="2434"/>
      <c r="S90" s="2434"/>
      <c r="T90" s="2434"/>
      <c r="U90" s="2434"/>
      <c r="V90" s="2434"/>
      <c r="W90" s="2434"/>
      <c r="X90" s="2434"/>
      <c r="Y90" s="2434"/>
      <c r="Z90" s="2434"/>
      <c r="AA90" s="2434"/>
      <c r="AB90" s="2434"/>
      <c r="AC90" s="2434"/>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1736</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1738</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1740</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1824</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1741</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1742</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1825</v>
      </c>
      <c r="C119" s="511"/>
      <c r="D119" s="511"/>
      <c r="E119" s="511"/>
      <c r="F119" s="511"/>
      <c r="G119" s="511"/>
      <c r="H119" s="511"/>
      <c r="I119" s="511"/>
      <c r="J119" s="511"/>
      <c r="K119" s="511"/>
      <c r="L119" s="1811"/>
      <c r="M119" s="1812"/>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1808</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1744</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T47" sqref="T47:T4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3" t="s">
        <v>1826</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1"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1"/>
      <c r="L2" s="854"/>
      <c r="M2" s="855"/>
      <c r="N2" s="855"/>
      <c r="O2" s="855"/>
      <c r="P2" s="339"/>
      <c r="Q2" s="339"/>
      <c r="R2" s="339"/>
      <c r="S2" s="339"/>
      <c r="T2" s="339"/>
      <c r="U2" s="339"/>
      <c r="V2" s="339"/>
      <c r="W2" s="339"/>
      <c r="X2" s="339"/>
      <c r="Y2" s="339"/>
      <c r="Z2" s="339"/>
      <c r="AA2" s="339"/>
      <c r="AB2" s="339"/>
      <c r="AC2" s="659"/>
    </row>
    <row r="3" spans="1:29" s="340" customFormat="1" ht="28.5" customHeight="1" thickBot="1">
      <c r="A3" s="193" t="s">
        <v>1464</v>
      </c>
      <c r="B3" s="534">
        <f>IF(C2="——",C43,ROUND(B2*10000/D3,0))</f>
        <v>0</v>
      </c>
      <c r="C3" s="342" t="s">
        <v>1768</v>
      </c>
      <c r="D3" s="341">
        <f>IF(D1="",'数据-汇总表'!E3,SUMIF('数据-汇总表'!$C19:$C33,D1,'数据-汇总表'!$E19:$E33))</f>
        <v>154306.03</v>
      </c>
      <c r="E3" s="851"/>
      <c r="F3" s="852"/>
      <c r="G3" s="851"/>
      <c r="H3" s="851"/>
      <c r="I3" s="851"/>
      <c r="J3" s="851"/>
      <c r="K3" s="853"/>
      <c r="L3" s="854"/>
      <c r="M3" s="855"/>
      <c r="N3" s="855"/>
      <c r="O3" s="855"/>
      <c r="P3" s="339"/>
      <c r="Q3" s="339"/>
      <c r="R3" s="339"/>
      <c r="S3" s="339"/>
      <c r="T3" s="339"/>
      <c r="U3" s="339"/>
      <c r="V3" s="339"/>
      <c r="W3" s="339"/>
      <c r="X3" s="339"/>
      <c r="Y3" s="339"/>
      <c r="Z3" s="339"/>
      <c r="AA3" s="339"/>
      <c r="AB3" s="672"/>
      <c r="AC3" s="659"/>
    </row>
    <row r="4" spans="1:29" ht="15">
      <c r="A4" s="343" t="s">
        <v>1769</v>
      </c>
      <c r="B4" s="344"/>
      <c r="C4" s="3380" t="s">
        <v>1770</v>
      </c>
      <c r="D4" s="3392"/>
      <c r="E4" s="3393" t="s">
        <v>1771</v>
      </c>
      <c r="F4" s="3394"/>
      <c r="G4" s="3380" t="s">
        <v>1772</v>
      </c>
      <c r="H4" s="3392"/>
      <c r="I4" s="3380" t="s">
        <v>1773</v>
      </c>
      <c r="J4" s="3392"/>
      <c r="K4" s="535" t="s">
        <v>1774</v>
      </c>
      <c r="L4" s="856"/>
      <c r="M4" s="857"/>
      <c r="N4" s="857"/>
      <c r="O4" s="857"/>
      <c r="P4" s="3395" t="s">
        <v>1775</v>
      </c>
      <c r="Q4" s="3396"/>
      <c r="R4" s="3401" t="s">
        <v>1771</v>
      </c>
      <c r="S4" s="3402"/>
      <c r="T4" s="3401" t="s">
        <v>1772</v>
      </c>
      <c r="U4" s="3402"/>
      <c r="V4" s="3388" t="s">
        <v>1773</v>
      </c>
      <c r="W4" s="3388"/>
      <c r="X4" s="1260"/>
      <c r="Y4" s="3401" t="s">
        <v>1775</v>
      </c>
      <c r="Z4" s="3402"/>
      <c r="AA4" s="3389" t="s">
        <v>1771</v>
      </c>
      <c r="AB4" s="3390" t="s">
        <v>1772</v>
      </c>
      <c r="AC4" s="3389" t="s">
        <v>1773</v>
      </c>
    </row>
    <row r="5" spans="1:29" ht="15">
      <c r="A5" s="346"/>
      <c r="B5" s="347"/>
      <c r="C5" s="3409" t="s">
        <v>1673</v>
      </c>
      <c r="D5" s="3410"/>
      <c r="E5" s="3416" t="s">
        <v>1674</v>
      </c>
      <c r="F5" s="3417"/>
      <c r="G5" s="3409" t="s">
        <v>1675</v>
      </c>
      <c r="H5" s="3410"/>
      <c r="I5" s="3409" t="s">
        <v>1676</v>
      </c>
      <c r="J5" s="3410"/>
      <c r="K5" s="535"/>
      <c r="L5" s="856"/>
      <c r="M5" s="857"/>
      <c r="N5" s="857"/>
      <c r="O5" s="857"/>
      <c r="P5" s="3397"/>
      <c r="Q5" s="3398"/>
      <c r="R5" s="3403"/>
      <c r="S5" s="3404"/>
      <c r="T5" s="3403"/>
      <c r="U5" s="3404"/>
      <c r="V5" s="3388"/>
      <c r="W5" s="3388"/>
      <c r="X5" s="1260"/>
      <c r="Y5" s="3403"/>
      <c r="Z5" s="3404"/>
      <c r="AA5" s="3390"/>
      <c r="AB5" s="3390"/>
      <c r="AC5" s="3390"/>
    </row>
    <row r="6" spans="1:29" ht="15.75" thickBot="1">
      <c r="A6" s="348"/>
      <c r="B6" s="349"/>
      <c r="C6" s="3407" t="s">
        <v>1677</v>
      </c>
      <c r="D6" s="3408"/>
      <c r="E6" s="3414" t="s">
        <v>1677</v>
      </c>
      <c r="F6" s="3415"/>
      <c r="G6" s="3407" t="s">
        <v>1677</v>
      </c>
      <c r="H6" s="3408"/>
      <c r="I6" s="3407" t="s">
        <v>1677</v>
      </c>
      <c r="J6" s="3408"/>
      <c r="K6" s="535" t="s">
        <v>1678</v>
      </c>
      <c r="L6" s="856"/>
      <c r="M6" s="857"/>
      <c r="N6" s="857"/>
      <c r="O6" s="857"/>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c r="F7" s="355">
        <f>SUMIF(52:52,YEAR(E7)&amp;"-"&amp;MONTH(E7),53:53)</f>
        <v>0</v>
      </c>
      <c r="G7" s="354"/>
      <c r="H7" s="353">
        <f>SUMIF(52:52,YEAR(G7)&amp;"-"&amp;MONTH(G7),53:53)</f>
        <v>0</v>
      </c>
      <c r="I7" s="354"/>
      <c r="J7" s="353">
        <f>SUMIF(52:52,YEAR(I7)&amp;"-"&amp;MONTH(I7),53:53)</f>
        <v>0</v>
      </c>
      <c r="K7" s="38"/>
      <c r="L7" s="858"/>
      <c r="M7" s="859"/>
      <c r="N7" s="859"/>
      <c r="O7" s="859"/>
      <c r="P7" s="3411" t="s">
        <v>1680</v>
      </c>
      <c r="Q7" s="3413"/>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11" t="s">
        <v>1683</v>
      </c>
      <c r="Q8" s="3412"/>
      <c r="R8" s="660" t="s">
        <v>14</v>
      </c>
      <c r="S8" s="661">
        <f t="shared" si="0"/>
        <v>100</v>
      </c>
      <c r="T8" s="660" t="s">
        <v>14</v>
      </c>
      <c r="U8" s="661">
        <f t="shared" si="1"/>
        <v>100</v>
      </c>
      <c r="V8" s="660" t="s">
        <v>14</v>
      </c>
      <c r="W8" s="661">
        <f t="shared" si="2"/>
        <v>100</v>
      </c>
      <c r="X8" s="662"/>
      <c r="Y8" s="3411" t="s">
        <v>1683</v>
      </c>
      <c r="Z8" s="3412"/>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383" t="s">
        <v>1686</v>
      </c>
      <c r="Q9" s="528" t="str">
        <f t="shared" ref="Q9:Q15" si="6">B9</f>
        <v>用途</v>
      </c>
      <c r="R9" s="660" t="s">
        <v>14</v>
      </c>
      <c r="S9" s="661">
        <f t="shared" si="0"/>
        <v>100</v>
      </c>
      <c r="T9" s="660" t="s">
        <v>14</v>
      </c>
      <c r="U9" s="661">
        <f t="shared" si="1"/>
        <v>100</v>
      </c>
      <c r="V9" s="660" t="s">
        <v>14</v>
      </c>
      <c r="W9" s="661">
        <f t="shared" si="2"/>
        <v>100</v>
      </c>
      <c r="X9" s="662"/>
      <c r="Y9" s="3283" t="s">
        <v>1687</v>
      </c>
      <c r="Z9" s="50" t="str">
        <f t="shared" ref="Z9:Z15" si="7">Q9</f>
        <v>用途</v>
      </c>
      <c r="AA9" s="50">
        <f t="shared" si="3"/>
        <v>1</v>
      </c>
      <c r="AB9" s="50">
        <f t="shared" si="4"/>
        <v>1</v>
      </c>
      <c r="AC9" s="50">
        <f t="shared" si="5"/>
        <v>1</v>
      </c>
    </row>
    <row r="10" spans="1:29" s="364" customFormat="1" ht="27">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8"/>
      <c r="L10" s="861"/>
      <c r="M10" s="862"/>
      <c r="N10" s="862"/>
      <c r="O10" s="863"/>
      <c r="P10" s="3383"/>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4"/>
      <c r="M11" s="857"/>
      <c r="N11" s="857"/>
      <c r="O11" s="865"/>
      <c r="P11" s="3383"/>
      <c r="Q11" s="528" t="str">
        <f t="shared" si="6"/>
        <v>容积率</v>
      </c>
      <c r="R11" s="660" t="s">
        <v>14</v>
      </c>
      <c r="S11" s="661">
        <f t="shared" si="0"/>
        <v>100</v>
      </c>
      <c r="T11" s="660" t="s">
        <v>14</v>
      </c>
      <c r="U11" s="661">
        <f t="shared" si="1"/>
        <v>100</v>
      </c>
      <c r="V11" s="660" t="s">
        <v>14</v>
      </c>
      <c r="W11" s="661">
        <f t="shared" si="2"/>
        <v>100</v>
      </c>
      <c r="X11" s="662"/>
      <c r="Y11" s="3283"/>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3"/>
      <c r="H12" s="117">
        <f>SUMIF(64:64,G12,65:65)-SUMIF(64:64,C12,65:65)+100</f>
        <v>100</v>
      </c>
      <c r="I12" s="405"/>
      <c r="J12" s="117">
        <f>SUMIF(64:64,I12,65:65)-SUMIF(64:64,C12,65:65)+100</f>
        <v>100</v>
      </c>
      <c r="K12" s="537"/>
      <c r="L12" s="858"/>
      <c r="M12" s="859"/>
      <c r="N12" s="859"/>
      <c r="O12" s="860"/>
      <c r="P12" s="3383"/>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3"/>
      <c r="H13" s="372">
        <f>SUMIF(66:66,G13,67:67)-SUMIF(66:66,C13,67:67)+100</f>
        <v>100</v>
      </c>
      <c r="I13" s="405"/>
      <c r="J13" s="372">
        <f>SUMIF(66:66,I13,67:67)-SUMIF(66:66,C13,67:67)+100</f>
        <v>100</v>
      </c>
      <c r="K13" s="537"/>
      <c r="L13" s="866"/>
      <c r="M13" s="857"/>
      <c r="N13" s="857"/>
      <c r="O13" s="865"/>
      <c r="P13" s="3383"/>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50">
        <f t="shared" si="5"/>
        <v>1</v>
      </c>
    </row>
    <row r="14" spans="1:29" ht="15.75" thickBot="1">
      <c r="A14" s="373"/>
      <c r="B14" s="1744">
        <v>111</v>
      </c>
      <c r="C14" s="374"/>
      <c r="D14" s="375">
        <v>100</v>
      </c>
      <c r="E14" s="374"/>
      <c r="F14" s="375">
        <f>SUMIF(68:68,E14,69:69)-SUMIF(68:68,C14,69:69)+100</f>
        <v>100</v>
      </c>
      <c r="G14" s="1813"/>
      <c r="H14" s="375">
        <f>SUMIF(68:68,G14,69:69)-SUMIF(68:68,C14,69:69)+100</f>
        <v>100</v>
      </c>
      <c r="I14" s="405"/>
      <c r="J14" s="375">
        <f>SUMIF(68:68,I14,69:69)-SUMIF(68:68,C14,69:69)+100</f>
        <v>100</v>
      </c>
      <c r="K14" s="537"/>
      <c r="L14" s="866"/>
      <c r="M14" s="857"/>
      <c r="N14" s="857"/>
      <c r="O14" s="865"/>
      <c r="P14" s="3383"/>
      <c r="Q14" s="528">
        <f t="shared" si="6"/>
        <v>111</v>
      </c>
      <c r="R14" s="660" t="s">
        <v>14</v>
      </c>
      <c r="S14" s="661">
        <f t="shared" si="0"/>
        <v>100</v>
      </c>
      <c r="T14" s="660" t="s">
        <v>14</v>
      </c>
      <c r="U14" s="661">
        <f t="shared" si="1"/>
        <v>100</v>
      </c>
      <c r="V14" s="660" t="s">
        <v>14</v>
      </c>
      <c r="W14" s="661">
        <f t="shared" si="2"/>
        <v>100</v>
      </c>
      <c r="X14" s="662"/>
      <c r="Y14" s="3283"/>
      <c r="Z14" s="50">
        <f t="shared" si="7"/>
        <v>111</v>
      </c>
      <c r="AA14" s="50">
        <f t="shared" si="3"/>
        <v>1</v>
      </c>
      <c r="AB14" s="50">
        <f t="shared" si="4"/>
        <v>1</v>
      </c>
      <c r="AC14" s="50">
        <f t="shared" si="5"/>
        <v>1</v>
      </c>
    </row>
    <row r="15" spans="1:29" ht="57">
      <c r="A15" s="377" t="s">
        <v>1690</v>
      </c>
      <c r="B15" s="58" t="s">
        <v>1827</v>
      </c>
      <c r="C15" s="1814"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384" t="s">
        <v>1691</v>
      </c>
      <c r="Q15" s="1258" t="str">
        <f t="shared" si="6"/>
        <v>产业集聚程度</v>
      </c>
      <c r="R15" s="663" t="s">
        <v>14</v>
      </c>
      <c r="S15" s="664">
        <f t="shared" si="0"/>
        <v>100</v>
      </c>
      <c r="T15" s="663" t="s">
        <v>14</v>
      </c>
      <c r="U15" s="664">
        <f t="shared" si="1"/>
        <v>100</v>
      </c>
      <c r="V15" s="663" t="s">
        <v>14</v>
      </c>
      <c r="W15" s="664">
        <f t="shared" si="2"/>
        <v>100</v>
      </c>
      <c r="X15" s="1260"/>
      <c r="Y15" s="3384"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385"/>
      <c r="Q16" s="1258"/>
      <c r="R16" s="663"/>
      <c r="S16" s="664"/>
      <c r="T16" s="663"/>
      <c r="U16" s="664"/>
      <c r="V16" s="663"/>
      <c r="W16" s="664"/>
      <c r="X16" s="1260"/>
      <c r="Y16" s="3385"/>
      <c r="Z16" s="1259"/>
      <c r="AA16" s="1259">
        <v>1</v>
      </c>
      <c r="AB16" s="1259">
        <v>1</v>
      </c>
      <c r="AC16" s="1259">
        <v>1</v>
      </c>
    </row>
    <row r="17" spans="1:29" ht="85.5">
      <c r="A17" s="365"/>
      <c r="B17" s="388" t="s">
        <v>1259</v>
      </c>
      <c r="C17" s="1749"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385"/>
      <c r="Q17" s="1258" t="str">
        <f>B17</f>
        <v>交通便捷度</v>
      </c>
      <c r="R17" s="663" t="s">
        <v>14</v>
      </c>
      <c r="S17" s="664">
        <f>F17</f>
        <v>100</v>
      </c>
      <c r="T17" s="663" t="s">
        <v>14</v>
      </c>
      <c r="U17" s="664">
        <f>H17</f>
        <v>100</v>
      </c>
      <c r="V17" s="663" t="s">
        <v>14</v>
      </c>
      <c r="W17" s="664">
        <f>J17</f>
        <v>100</v>
      </c>
      <c r="X17" s="1260"/>
      <c r="Y17" s="3385"/>
      <c r="Z17" s="1259" t="str">
        <f>Q17</f>
        <v>交通便捷度</v>
      </c>
      <c r="AA17" s="1259">
        <f t="shared" si="3"/>
        <v>1</v>
      </c>
      <c r="AB17" s="1259">
        <f t="shared" si="4"/>
        <v>1</v>
      </c>
      <c r="AC17" s="1259">
        <f t="shared" si="5"/>
        <v>1</v>
      </c>
    </row>
    <row r="18" spans="1:29" ht="15">
      <c r="A18" s="365"/>
      <c r="B18" s="393"/>
      <c r="C18" s="1750"/>
      <c r="D18" s="387"/>
      <c r="E18" s="1752"/>
      <c r="F18" s="390"/>
      <c r="G18" s="1751"/>
      <c r="H18" s="385"/>
      <c r="I18" s="1752"/>
      <c r="J18" s="385"/>
      <c r="K18" s="539"/>
      <c r="L18" s="866"/>
      <c r="M18" s="857"/>
      <c r="N18" s="857"/>
      <c r="O18" s="865"/>
      <c r="P18" s="3385"/>
      <c r="Q18" s="1258"/>
      <c r="R18" s="663"/>
      <c r="S18" s="664"/>
      <c r="T18" s="663"/>
      <c r="U18" s="664"/>
      <c r="V18" s="663"/>
      <c r="W18" s="664"/>
      <c r="X18" s="1260"/>
      <c r="Y18" s="3385"/>
      <c r="Z18" s="1259"/>
      <c r="AA18" s="1259">
        <v>1</v>
      </c>
      <c r="AB18" s="1259">
        <v>1</v>
      </c>
      <c r="AC18" s="1259">
        <v>1</v>
      </c>
    </row>
    <row r="19" spans="1:29" ht="42.75">
      <c r="A19" s="365"/>
      <c r="B19" s="388" t="s">
        <v>1812</v>
      </c>
      <c r="C19" s="1749"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385"/>
      <c r="Q19" s="1258" t="str">
        <f>B19</f>
        <v>公共配套设施</v>
      </c>
      <c r="R19" s="663" t="s">
        <v>14</v>
      </c>
      <c r="S19" s="664">
        <f>F19</f>
        <v>100</v>
      </c>
      <c r="T19" s="663" t="s">
        <v>14</v>
      </c>
      <c r="U19" s="664">
        <f>H19</f>
        <v>100</v>
      </c>
      <c r="V19" s="663" t="s">
        <v>14</v>
      </c>
      <c r="W19" s="664">
        <f>J19</f>
        <v>100</v>
      </c>
      <c r="X19" s="1260"/>
      <c r="Y19" s="3385"/>
      <c r="Z19" s="1259" t="str">
        <f>Q19</f>
        <v>公共配套设施</v>
      </c>
      <c r="AA19" s="1259">
        <f t="shared" si="3"/>
        <v>1</v>
      </c>
      <c r="AB19" s="1259">
        <f t="shared" si="4"/>
        <v>1</v>
      </c>
      <c r="AC19" s="1259">
        <f t="shared" si="5"/>
        <v>1</v>
      </c>
    </row>
    <row r="20" spans="1:29" ht="15">
      <c r="A20" s="365"/>
      <c r="B20" s="393"/>
      <c r="C20" s="384"/>
      <c r="D20" s="385"/>
      <c r="E20" s="1747"/>
      <c r="F20" s="386"/>
      <c r="G20" s="1746"/>
      <c r="H20" s="385"/>
      <c r="I20" s="1747"/>
      <c r="J20" s="385"/>
      <c r="K20" s="539"/>
      <c r="L20" s="866"/>
      <c r="M20" s="857"/>
      <c r="N20" s="857"/>
      <c r="O20" s="865"/>
      <c r="P20" s="3385"/>
      <c r="Q20" s="1258"/>
      <c r="R20" s="663"/>
      <c r="S20" s="664"/>
      <c r="T20" s="663"/>
      <c r="U20" s="664"/>
      <c r="V20" s="663"/>
      <c r="W20" s="664"/>
      <c r="X20" s="1260"/>
      <c r="Y20" s="3385"/>
      <c r="Z20" s="1259"/>
      <c r="AA20" s="1259">
        <v>1</v>
      </c>
      <c r="AB20" s="1259">
        <v>1</v>
      </c>
      <c r="AC20" s="1259">
        <v>1</v>
      </c>
    </row>
    <row r="21" spans="1:29" ht="28.5">
      <c r="A21" s="365"/>
      <c r="B21" s="584" t="s">
        <v>1813</v>
      </c>
      <c r="C21" s="1749"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385"/>
      <c r="Q21" s="1258" t="str">
        <f>B21</f>
        <v>基础设施水平</v>
      </c>
      <c r="R21" s="663" t="s">
        <v>14</v>
      </c>
      <c r="S21" s="664">
        <f>F21</f>
        <v>100</v>
      </c>
      <c r="T21" s="663" t="s">
        <v>14</v>
      </c>
      <c r="U21" s="664">
        <f>H21</f>
        <v>100</v>
      </c>
      <c r="V21" s="663" t="s">
        <v>14</v>
      </c>
      <c r="W21" s="664">
        <f>J21</f>
        <v>100</v>
      </c>
      <c r="X21" s="1260"/>
      <c r="Y21" s="3385"/>
      <c r="Z21" s="1259" t="str">
        <f>Q21</f>
        <v>基础设施水平</v>
      </c>
      <c r="AA21" s="1259">
        <f t="shared" ref="AA21" si="8">D21/F21</f>
        <v>1</v>
      </c>
      <c r="AB21" s="1259">
        <f t="shared" ref="AB21" si="9">D21/H21</f>
        <v>1</v>
      </c>
      <c r="AC21" s="1259">
        <f t="shared" ref="AC21" si="10">D21/J21</f>
        <v>1</v>
      </c>
    </row>
    <row r="22" spans="1:29" ht="15">
      <c r="A22" s="365"/>
      <c r="B22" s="584"/>
      <c r="C22" s="1750"/>
      <c r="D22" s="385"/>
      <c r="E22" s="384"/>
      <c r="F22" s="386"/>
      <c r="G22" s="384"/>
      <c r="H22" s="385"/>
      <c r="I22" s="384"/>
      <c r="J22" s="385"/>
      <c r="K22" s="1060"/>
      <c r="L22" s="866"/>
      <c r="M22" s="857"/>
      <c r="N22" s="857"/>
      <c r="O22" s="865"/>
      <c r="P22" s="3385"/>
      <c r="Q22" s="1258"/>
      <c r="R22" s="663"/>
      <c r="S22" s="664"/>
      <c r="T22" s="663"/>
      <c r="U22" s="664"/>
      <c r="V22" s="663"/>
      <c r="W22" s="664"/>
      <c r="X22" s="1260"/>
      <c r="Y22" s="3385"/>
      <c r="Z22" s="1259"/>
      <c r="AA22" s="1259">
        <v>1</v>
      </c>
      <c r="AB22" s="1259">
        <v>1</v>
      </c>
      <c r="AC22" s="1259">
        <v>1</v>
      </c>
    </row>
    <row r="23" spans="1:29" ht="71.25">
      <c r="A23" s="365"/>
      <c r="B23" s="388" t="s">
        <v>1814</v>
      </c>
      <c r="C23" s="1749"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385"/>
      <c r="Q23" s="1258" t="str">
        <f>B23</f>
        <v>环境质量</v>
      </c>
      <c r="R23" s="663" t="s">
        <v>14</v>
      </c>
      <c r="S23" s="664">
        <f>F23</f>
        <v>100</v>
      </c>
      <c r="T23" s="663" t="s">
        <v>14</v>
      </c>
      <c r="U23" s="664">
        <f>H23</f>
        <v>100</v>
      </c>
      <c r="V23" s="663" t="s">
        <v>14</v>
      </c>
      <c r="W23" s="664">
        <f>J23</f>
        <v>100</v>
      </c>
      <c r="X23" s="1260"/>
      <c r="Y23" s="3385"/>
      <c r="Z23" s="1259" t="str">
        <f>Q23</f>
        <v>环境质量</v>
      </c>
      <c r="AA23" s="1259">
        <f t="shared" si="3"/>
        <v>1</v>
      </c>
      <c r="AB23" s="1259">
        <f t="shared" si="4"/>
        <v>1</v>
      </c>
      <c r="AC23" s="1259">
        <f t="shared" si="5"/>
        <v>1</v>
      </c>
    </row>
    <row r="24" spans="1:29" ht="15">
      <c r="A24" s="365"/>
      <c r="B24" s="584"/>
      <c r="C24" s="384"/>
      <c r="D24" s="385"/>
      <c r="E24" s="1747"/>
      <c r="F24" s="386"/>
      <c r="G24" s="1746"/>
      <c r="H24" s="385"/>
      <c r="I24" s="1747"/>
      <c r="J24" s="385"/>
      <c r="K24" s="539"/>
      <c r="L24" s="866"/>
      <c r="M24" s="857"/>
      <c r="N24" s="857"/>
      <c r="O24" s="865"/>
      <c r="P24" s="3385"/>
      <c r="Q24" s="1258"/>
      <c r="R24" s="663"/>
      <c r="S24" s="664"/>
      <c r="T24" s="663"/>
      <c r="U24" s="664"/>
      <c r="V24" s="663"/>
      <c r="W24" s="664"/>
      <c r="X24" s="1260"/>
      <c r="Y24" s="3385"/>
      <c r="Z24" s="1259"/>
      <c r="AA24" s="1259">
        <v>1</v>
      </c>
      <c r="AB24" s="1259">
        <v>1</v>
      </c>
      <c r="AC24" s="1259">
        <v>1</v>
      </c>
    </row>
    <row r="25" spans="1:29" ht="15">
      <c r="A25" s="346"/>
      <c r="B25" s="1062">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385"/>
      <c r="Q25" s="1258">
        <f>B25</f>
        <v>111</v>
      </c>
      <c r="R25" s="663" t="s">
        <v>14</v>
      </c>
      <c r="S25" s="664">
        <f>F25</f>
        <v>100</v>
      </c>
      <c r="T25" s="663" t="s">
        <v>14</v>
      </c>
      <c r="U25" s="664">
        <f>H25</f>
        <v>100</v>
      </c>
      <c r="V25" s="663" t="s">
        <v>14</v>
      </c>
      <c r="W25" s="664">
        <f>J25</f>
        <v>100</v>
      </c>
      <c r="X25" s="1260"/>
      <c r="Y25" s="3385"/>
      <c r="Z25" s="1259">
        <f>Q25</f>
        <v>111</v>
      </c>
      <c r="AA25" s="1259">
        <f t="shared" si="3"/>
        <v>1</v>
      </c>
      <c r="AB25" s="1259">
        <f t="shared" si="4"/>
        <v>1</v>
      </c>
      <c r="AC25" s="1259">
        <f t="shared" si="5"/>
        <v>1</v>
      </c>
    </row>
    <row r="26" spans="1:29" ht="15">
      <c r="A26" s="365"/>
      <c r="B26" s="1062">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385"/>
      <c r="Q26" s="1258">
        <f t="shared" ref="Q26:Q40" si="11">B26</f>
        <v>111</v>
      </c>
      <c r="R26" s="663" t="s">
        <v>14</v>
      </c>
      <c r="S26" s="664">
        <f>F26</f>
        <v>100</v>
      </c>
      <c r="T26" s="663" t="s">
        <v>14</v>
      </c>
      <c r="U26" s="664">
        <f>H26</f>
        <v>100</v>
      </c>
      <c r="V26" s="663" t="s">
        <v>14</v>
      </c>
      <c r="W26" s="664">
        <f>J26</f>
        <v>100</v>
      </c>
      <c r="X26" s="1260"/>
      <c r="Y26" s="3385"/>
      <c r="Z26" s="1259">
        <f>Q26</f>
        <v>111</v>
      </c>
      <c r="AA26" s="1259">
        <f t="shared" si="3"/>
        <v>1</v>
      </c>
      <c r="AB26" s="1259">
        <f t="shared" si="4"/>
        <v>1</v>
      </c>
      <c r="AC26" s="1259">
        <f t="shared" si="5"/>
        <v>1</v>
      </c>
    </row>
    <row r="27" spans="1:29" s="101" customFormat="1" ht="15">
      <c r="A27" s="368"/>
      <c r="B27" s="1062">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385"/>
      <c r="Q27" s="528">
        <f t="shared" si="11"/>
        <v>111</v>
      </c>
      <c r="R27" s="660" t="s">
        <v>14</v>
      </c>
      <c r="S27" s="661">
        <f>F27</f>
        <v>100</v>
      </c>
      <c r="T27" s="660" t="s">
        <v>14</v>
      </c>
      <c r="U27" s="661">
        <f>H27</f>
        <v>100</v>
      </c>
      <c r="V27" s="660" t="s">
        <v>14</v>
      </c>
      <c r="W27" s="661">
        <f>J27</f>
        <v>100</v>
      </c>
      <c r="X27" s="662"/>
      <c r="Y27" s="3385"/>
      <c r="Z27" s="50">
        <f>Q27</f>
        <v>111</v>
      </c>
      <c r="AA27" s="1259">
        <f>D27/F27</f>
        <v>1</v>
      </c>
      <c r="AB27" s="1259">
        <f>D27/H27</f>
        <v>1</v>
      </c>
      <c r="AC27" s="1259">
        <f>D27/J27</f>
        <v>1</v>
      </c>
    </row>
    <row r="28" spans="1:29" ht="15.75" thickBot="1">
      <c r="A28" s="373"/>
      <c r="B28" s="1062">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385"/>
      <c r="Q28" s="1258">
        <f t="shared" si="11"/>
        <v>111</v>
      </c>
      <c r="R28" s="663" t="s">
        <v>14</v>
      </c>
      <c r="S28" s="664">
        <f t="shared" ref="S28:S40" si="12">F28</f>
        <v>100</v>
      </c>
      <c r="T28" s="663" t="s">
        <v>14</v>
      </c>
      <c r="U28" s="664">
        <f t="shared" ref="U28:U40" si="13">H28</f>
        <v>100</v>
      </c>
      <c r="V28" s="663" t="s">
        <v>14</v>
      </c>
      <c r="W28" s="664">
        <f t="shared" ref="W28:W40" si="14">J28</f>
        <v>100</v>
      </c>
      <c r="X28" s="1260"/>
      <c r="Y28" s="3385"/>
      <c r="Z28" s="1259">
        <f t="shared" ref="Z28:Z40" si="15">Q28</f>
        <v>111</v>
      </c>
      <c r="AA28" s="1259">
        <f t="shared" si="3"/>
        <v>1</v>
      </c>
      <c r="AB28" s="1259">
        <f t="shared" si="4"/>
        <v>1</v>
      </c>
      <c r="AC28" s="1259">
        <f t="shared" si="5"/>
        <v>1</v>
      </c>
    </row>
    <row r="29" spans="1:29" ht="28.5">
      <c r="A29" s="402" t="s">
        <v>1694</v>
      </c>
      <c r="B29" s="60" t="s">
        <v>1817</v>
      </c>
      <c r="C29" s="1759"/>
      <c r="D29" s="403">
        <v>100</v>
      </c>
      <c r="E29" s="1759"/>
      <c r="F29" s="398">
        <f>SUMIF(88:88,E29,89:89)-SUMIF(88:88,C29,89:89)+100</f>
        <v>100</v>
      </c>
      <c r="G29" s="1759"/>
      <c r="H29" s="372">
        <f>SUMIF(88:88,G29,89:89)-SUMIF(88:88,C29,89:89)+100</f>
        <v>100</v>
      </c>
      <c r="I29" s="1759"/>
      <c r="J29" s="403">
        <f>SUMIF(88:88,I29,89:89)-SUMIF(88:88,C29,89:89)+100</f>
        <v>100</v>
      </c>
      <c r="K29" s="536"/>
      <c r="L29" s="866"/>
      <c r="M29" s="857"/>
      <c r="N29" s="857"/>
      <c r="O29" s="865"/>
      <c r="P29" s="3386" t="s">
        <v>1696</v>
      </c>
      <c r="Q29" s="1258" t="str">
        <f t="shared" si="11"/>
        <v>建筑类型</v>
      </c>
      <c r="R29" s="663" t="s">
        <v>14</v>
      </c>
      <c r="S29" s="664">
        <f t="shared" si="12"/>
        <v>100</v>
      </c>
      <c r="T29" s="663" t="s">
        <v>14</v>
      </c>
      <c r="U29" s="664">
        <f t="shared" si="13"/>
        <v>100</v>
      </c>
      <c r="V29" s="663" t="s">
        <v>14</v>
      </c>
      <c r="W29" s="664">
        <f t="shared" si="14"/>
        <v>100</v>
      </c>
      <c r="X29" s="1260"/>
      <c r="Y29" s="3387"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4"/>
      <c r="M30" s="867"/>
      <c r="N30" s="867"/>
      <c r="O30" s="868"/>
      <c r="P30" s="3387"/>
      <c r="Q30" s="529" t="str">
        <f t="shared" si="11"/>
        <v>项目建筑规模</v>
      </c>
      <c r="R30" s="665" t="s">
        <v>14</v>
      </c>
      <c r="S30" s="666" t="e">
        <f t="shared" si="12"/>
        <v>#N/A</v>
      </c>
      <c r="T30" s="665" t="s">
        <v>14</v>
      </c>
      <c r="U30" s="666" t="e">
        <f t="shared" si="13"/>
        <v>#N/A</v>
      </c>
      <c r="V30" s="665" t="s">
        <v>14</v>
      </c>
      <c r="W30" s="666" t="e">
        <f t="shared" si="14"/>
        <v>#N/A</v>
      </c>
      <c r="X30" s="667"/>
      <c r="Y30" s="3387"/>
      <c r="Z30" s="668"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387"/>
      <c r="Q31" s="1258" t="str">
        <f t="shared" si="11"/>
        <v>建筑结构</v>
      </c>
      <c r="R31" s="663" t="s">
        <v>14</v>
      </c>
      <c r="S31" s="664">
        <f t="shared" si="12"/>
        <v>100</v>
      </c>
      <c r="T31" s="663" t="s">
        <v>14</v>
      </c>
      <c r="U31" s="664">
        <f t="shared" si="13"/>
        <v>100</v>
      </c>
      <c r="V31" s="663" t="s">
        <v>14</v>
      </c>
      <c r="W31" s="664">
        <f t="shared" si="14"/>
        <v>100</v>
      </c>
      <c r="X31" s="1260"/>
      <c r="Y31" s="3387"/>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387"/>
      <c r="Q32" s="1258" t="str">
        <f t="shared" si="11"/>
        <v>公共部分装修</v>
      </c>
      <c r="R32" s="663" t="s">
        <v>14</v>
      </c>
      <c r="S32" s="664">
        <f t="shared" si="12"/>
        <v>100</v>
      </c>
      <c r="T32" s="663" t="s">
        <v>14</v>
      </c>
      <c r="U32" s="664">
        <f t="shared" si="13"/>
        <v>100</v>
      </c>
      <c r="V32" s="663" t="s">
        <v>14</v>
      </c>
      <c r="W32" s="664">
        <f t="shared" si="14"/>
        <v>100</v>
      </c>
      <c r="X32" s="1260"/>
      <c r="Y32" s="3387"/>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387"/>
      <c r="Q33" s="1258" t="str">
        <f t="shared" si="11"/>
        <v>成新度</v>
      </c>
      <c r="R33" s="663" t="s">
        <v>14</v>
      </c>
      <c r="S33" s="664" t="e">
        <f t="shared" si="12"/>
        <v>#N/A</v>
      </c>
      <c r="T33" s="663" t="s">
        <v>14</v>
      </c>
      <c r="U33" s="664" t="e">
        <f t="shared" si="13"/>
        <v>#N/A</v>
      </c>
      <c r="V33" s="663" t="s">
        <v>14</v>
      </c>
      <c r="W33" s="664" t="e">
        <f t="shared" si="14"/>
        <v>#N/A</v>
      </c>
      <c r="X33" s="1260"/>
      <c r="Y33" s="3387"/>
      <c r="Z33" s="1259" t="str">
        <f t="shared" si="15"/>
        <v>成新度</v>
      </c>
      <c r="AA33" s="1259" t="e">
        <f t="shared" si="3"/>
        <v>#N/A</v>
      </c>
      <c r="AB33" s="1259" t="e">
        <f t="shared" si="4"/>
        <v>#N/A</v>
      </c>
      <c r="AC33" s="1259"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387"/>
      <c r="Q34" s="528" t="str">
        <f t="shared" si="11"/>
        <v>物业管理</v>
      </c>
      <c r="R34" s="660" t="s">
        <v>14</v>
      </c>
      <c r="S34" s="661">
        <f t="shared" si="12"/>
        <v>100</v>
      </c>
      <c r="T34" s="660" t="s">
        <v>14</v>
      </c>
      <c r="U34" s="661">
        <f t="shared" si="13"/>
        <v>100</v>
      </c>
      <c r="V34" s="660" t="s">
        <v>14</v>
      </c>
      <c r="W34" s="661">
        <f t="shared" si="14"/>
        <v>100</v>
      </c>
      <c r="X34" s="662"/>
      <c r="Y34" s="3387"/>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387" t="s">
        <v>1696</v>
      </c>
      <c r="Q35" s="1258" t="str">
        <f t="shared" si="11"/>
        <v>市政基础设施</v>
      </c>
      <c r="R35" s="663" t="s">
        <v>14</v>
      </c>
      <c r="S35" s="664">
        <f t="shared" si="12"/>
        <v>100</v>
      </c>
      <c r="T35" s="663" t="s">
        <v>14</v>
      </c>
      <c r="U35" s="664">
        <f t="shared" si="13"/>
        <v>100</v>
      </c>
      <c r="V35" s="663" t="s">
        <v>14</v>
      </c>
      <c r="W35" s="664">
        <f t="shared" si="14"/>
        <v>100</v>
      </c>
      <c r="X35" s="1260"/>
      <c r="Y35" s="3387"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387"/>
      <c r="Q36" s="1258" t="str">
        <f t="shared" si="11"/>
        <v>内部装修</v>
      </c>
      <c r="R36" s="663" t="s">
        <v>14</v>
      </c>
      <c r="S36" s="664">
        <f t="shared" si="12"/>
        <v>100</v>
      </c>
      <c r="T36" s="663" t="s">
        <v>14</v>
      </c>
      <c r="U36" s="664">
        <f t="shared" si="13"/>
        <v>100</v>
      </c>
      <c r="V36" s="663" t="s">
        <v>14</v>
      </c>
      <c r="W36" s="664">
        <f t="shared" si="14"/>
        <v>100</v>
      </c>
      <c r="X36" s="1260"/>
      <c r="Y36" s="3387"/>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387"/>
      <c r="Q37" s="1258" t="str">
        <f t="shared" si="11"/>
        <v>内部装修状况</v>
      </c>
      <c r="R37" s="663" t="s">
        <v>14</v>
      </c>
      <c r="S37" s="664">
        <f t="shared" si="12"/>
        <v>100</v>
      </c>
      <c r="T37" s="663" t="s">
        <v>14</v>
      </c>
      <c r="U37" s="664">
        <f t="shared" si="13"/>
        <v>100</v>
      </c>
      <c r="V37" s="663" t="s">
        <v>14</v>
      </c>
      <c r="W37" s="664">
        <f t="shared" si="14"/>
        <v>100</v>
      </c>
      <c r="X37" s="1260"/>
      <c r="Y37" s="3387"/>
      <c r="Z37" s="1259" t="str">
        <f t="shared" si="15"/>
        <v>内部装修状况</v>
      </c>
      <c r="AA37" s="1259">
        <f t="shared" si="3"/>
        <v>1</v>
      </c>
      <c r="AB37" s="1259">
        <f t="shared" si="4"/>
        <v>1</v>
      </c>
      <c r="AC37" s="1259">
        <f t="shared" si="5"/>
        <v>1</v>
      </c>
    </row>
    <row r="38" spans="1:29" s="406" customFormat="1" ht="15">
      <c r="A38" s="404"/>
      <c r="B38" s="1062">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387"/>
      <c r="Q38" s="529">
        <f t="shared" si="11"/>
        <v>111</v>
      </c>
      <c r="R38" s="665" t="s">
        <v>14</v>
      </c>
      <c r="S38" s="666">
        <f t="shared" si="12"/>
        <v>100</v>
      </c>
      <c r="T38" s="665" t="s">
        <v>14</v>
      </c>
      <c r="U38" s="666">
        <f t="shared" si="13"/>
        <v>100</v>
      </c>
      <c r="V38" s="665" t="s">
        <v>14</v>
      </c>
      <c r="W38" s="666">
        <f t="shared" si="14"/>
        <v>100</v>
      </c>
      <c r="X38" s="667"/>
      <c r="Y38" s="3387"/>
      <c r="Z38" s="668">
        <f t="shared" si="15"/>
        <v>111</v>
      </c>
      <c r="AA38" s="1259">
        <f t="shared" si="3"/>
        <v>1</v>
      </c>
      <c r="AB38" s="1259">
        <f t="shared" si="4"/>
        <v>1</v>
      </c>
      <c r="AC38" s="1259">
        <f t="shared" si="5"/>
        <v>1</v>
      </c>
    </row>
    <row r="39" spans="1:29" ht="15">
      <c r="A39" s="407"/>
      <c r="B39" s="1062">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387"/>
      <c r="Q39" s="1258">
        <f t="shared" si="11"/>
        <v>111</v>
      </c>
      <c r="R39" s="663" t="s">
        <v>14</v>
      </c>
      <c r="S39" s="664">
        <f t="shared" si="12"/>
        <v>100</v>
      </c>
      <c r="T39" s="663" t="s">
        <v>14</v>
      </c>
      <c r="U39" s="664">
        <f t="shared" si="13"/>
        <v>100</v>
      </c>
      <c r="V39" s="663" t="s">
        <v>14</v>
      </c>
      <c r="W39" s="664">
        <f t="shared" si="14"/>
        <v>100</v>
      </c>
      <c r="X39" s="1260"/>
      <c r="Y39" s="3387"/>
      <c r="Z39" s="1259">
        <f t="shared" si="15"/>
        <v>111</v>
      </c>
      <c r="AA39" s="1259">
        <f t="shared" si="3"/>
        <v>1</v>
      </c>
      <c r="AB39" s="1259">
        <f t="shared" si="4"/>
        <v>1</v>
      </c>
      <c r="AC39" s="1259">
        <f t="shared" si="5"/>
        <v>1</v>
      </c>
    </row>
    <row r="40" spans="1:29" ht="15.75" thickBot="1">
      <c r="A40" s="413"/>
      <c r="B40" s="1744">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51"/>
      <c r="Q40" s="1258">
        <f t="shared" si="11"/>
        <v>111</v>
      </c>
      <c r="R40" s="663" t="s">
        <v>14</v>
      </c>
      <c r="S40" s="664">
        <f t="shared" si="12"/>
        <v>100</v>
      </c>
      <c r="T40" s="663" t="s">
        <v>14</v>
      </c>
      <c r="U40" s="664">
        <f t="shared" si="13"/>
        <v>100</v>
      </c>
      <c r="V40" s="663" t="s">
        <v>14</v>
      </c>
      <c r="W40" s="664">
        <f t="shared" si="14"/>
        <v>100</v>
      </c>
      <c r="X40" s="1260"/>
      <c r="Y40" s="3451"/>
      <c r="Z40" s="1259">
        <f t="shared" si="15"/>
        <v>111</v>
      </c>
      <c r="AA40" s="1259">
        <f t="shared" si="3"/>
        <v>1</v>
      </c>
      <c r="AB40" s="1259">
        <f t="shared" si="4"/>
        <v>1</v>
      </c>
      <c r="AC40" s="1259">
        <f t="shared" si="5"/>
        <v>1</v>
      </c>
    </row>
    <row r="41" spans="1:29" ht="15">
      <c r="A41" s="414" t="s">
        <v>1708</v>
      </c>
      <c r="B41" s="415"/>
      <c r="C41" s="1077" t="s">
        <v>0</v>
      </c>
      <c r="D41" s="416"/>
      <c r="E41" s="417"/>
      <c r="F41" s="418"/>
      <c r="G41" s="419"/>
      <c r="H41" s="420"/>
      <c r="I41" s="417"/>
      <c r="J41" s="420"/>
      <c r="K41" s="670"/>
      <c r="L41" s="869"/>
      <c r="M41" s="857"/>
      <c r="N41" s="857"/>
      <c r="O41" s="857"/>
      <c r="P41" s="3383" t="str">
        <f>A41</f>
        <v>成交单价（元/平方米）</v>
      </c>
      <c r="Q41" s="3383"/>
      <c r="R41" s="3388">
        <f>E41</f>
        <v>0</v>
      </c>
      <c r="S41" s="3388"/>
      <c r="T41" s="3388">
        <f>G41</f>
        <v>0</v>
      </c>
      <c r="U41" s="3388"/>
      <c r="V41" s="3388">
        <f>I41</f>
        <v>0</v>
      </c>
      <c r="W41" s="3388"/>
      <c r="X41" s="383"/>
      <c r="Y41" s="669"/>
      <c r="Z41" s="383"/>
      <c r="AA41" s="383"/>
      <c r="AB41" s="383"/>
      <c r="AC41" s="383"/>
    </row>
    <row r="42" spans="1:29" ht="15.75" thickBot="1">
      <c r="A42" s="421" t="s">
        <v>1793</v>
      </c>
      <c r="B42" s="422"/>
      <c r="C42" s="1078" t="e">
        <f>R43</f>
        <v>#DIV/0!</v>
      </c>
      <c r="D42" s="2136" t="s">
        <v>2138</v>
      </c>
      <c r="E42" s="1079" t="e">
        <f>R42</f>
        <v>#DIV/0!</v>
      </c>
      <c r="F42" s="2137"/>
      <c r="G42" s="1078" t="e">
        <f>T42</f>
        <v>#DIV/0!</v>
      </c>
      <c r="H42" s="2137"/>
      <c r="I42" s="1079" t="e">
        <f>V42</f>
        <v>#DIV/0!</v>
      </c>
      <c r="J42" s="2137"/>
      <c r="K42" s="2139">
        <f>F42+H42+J42</f>
        <v>0</v>
      </c>
      <c r="L42" s="869"/>
      <c r="M42" s="857"/>
      <c r="N42" s="857"/>
      <c r="O42" s="857"/>
      <c r="P42" s="3383" t="str">
        <f>A42</f>
        <v>比较价值（元/平方米）</v>
      </c>
      <c r="Q42" s="338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3"/>
      <c r="Y42" s="383"/>
      <c r="Z42" s="383"/>
      <c r="AA42" s="383"/>
      <c r="AB42" s="383"/>
      <c r="AC42" s="383"/>
    </row>
    <row r="43" spans="1:29" ht="15.75" thickBot="1">
      <c r="A43" s="425" t="s">
        <v>1794</v>
      </c>
      <c r="B43" s="426"/>
      <c r="C43" s="349" t="e">
        <f>R43</f>
        <v>#DIV/0!</v>
      </c>
      <c r="D43" s="349"/>
      <c r="E43" s="349"/>
      <c r="F43" s="349"/>
      <c r="G43" s="349"/>
      <c r="H43" s="349"/>
      <c r="I43" s="349"/>
      <c r="J43" s="349"/>
      <c r="K43" s="671"/>
      <c r="L43" s="869"/>
      <c r="M43" s="857"/>
      <c r="N43" s="857"/>
      <c r="O43" s="857"/>
      <c r="P43" s="3377" t="str">
        <f>A43</f>
        <v>估价对象XX用房的比较价值（楼面单价，元/平方米）</v>
      </c>
      <c r="Q43" s="3378"/>
      <c r="R43" s="3447" t="e">
        <f>IF(F1="售价",ROUND(IF(D42="简单平均",AVERAGE(R42:V42),R42*F42+T42*H42+V42*J42),0),ROUND(IF(D42="简单平均",AVERAGE(R42:V42),R42*F42+T42*H42+V42*J42),1))</f>
        <v>#DIV/0!</v>
      </c>
      <c r="S43" s="3447"/>
      <c r="T43" s="3447"/>
      <c r="U43" s="3447"/>
      <c r="V43" s="3447"/>
      <c r="W43" s="3447"/>
      <c r="X43" s="383"/>
      <c r="Y43" s="383"/>
      <c r="Z43" s="383"/>
      <c r="AA43" s="383"/>
      <c r="AB43" s="383"/>
      <c r="AC43" s="383"/>
    </row>
    <row r="44" spans="1:29">
      <c r="A44" s="2481"/>
      <c r="B44" s="2481"/>
      <c r="C44" s="2481"/>
      <c r="D44" s="2481"/>
      <c r="E44" s="2481"/>
      <c r="F44" s="2481"/>
      <c r="G44" s="2492"/>
      <c r="H44" s="2481"/>
      <c r="I44" s="2481"/>
      <c r="J44" s="2481"/>
      <c r="K44" s="2493"/>
      <c r="L44" s="832"/>
      <c r="M44" s="857"/>
      <c r="N44" s="857"/>
      <c r="O44" s="857"/>
    </row>
    <row r="45" spans="1:29">
      <c r="A45" s="2481"/>
      <c r="B45" s="2481"/>
      <c r="C45" s="2481"/>
      <c r="D45" s="2481"/>
      <c r="E45" s="2481"/>
      <c r="F45" s="2481"/>
      <c r="G45" s="2481"/>
      <c r="H45" s="2481"/>
      <c r="I45" s="2481"/>
      <c r="J45" s="2481"/>
      <c r="K45" s="2493"/>
      <c r="L45" s="832"/>
      <c r="M45" s="857"/>
      <c r="N45" s="857"/>
      <c r="O45" s="857"/>
    </row>
    <row r="46" spans="1:29"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2"/>
      <c r="M46" s="857"/>
      <c r="N46" s="857"/>
      <c r="O46" s="857"/>
    </row>
    <row r="47" spans="1:29"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2"/>
      <c r="M47" s="857"/>
      <c r="N47" s="857"/>
      <c r="O47" s="857"/>
    </row>
    <row r="48" spans="1:29"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2"/>
      <c r="M48" s="870"/>
      <c r="N48" s="870"/>
      <c r="O48" s="870"/>
    </row>
    <row r="49" spans="1:17" s="435" customFormat="1">
      <c r="A49" s="2491"/>
      <c r="B49" s="2494"/>
      <c r="C49" s="2495"/>
      <c r="D49" s="2491"/>
      <c r="E49" s="2491"/>
      <c r="F49" s="2491"/>
      <c r="G49" s="2491"/>
      <c r="H49" s="2491"/>
      <c r="I49" s="2491"/>
      <c r="J49" s="2491"/>
      <c r="K49" s="2496"/>
      <c r="L49" s="872"/>
      <c r="M49" s="870"/>
      <c r="N49" s="870"/>
      <c r="O49" s="870"/>
    </row>
    <row r="50" spans="1:17">
      <c r="A50" s="2481"/>
      <c r="B50" s="2494"/>
      <c r="C50" s="2495"/>
      <c r="D50" s="2481"/>
      <c r="E50" s="2481"/>
      <c r="F50" s="2481"/>
      <c r="G50" s="2481"/>
      <c r="H50" s="2481"/>
      <c r="I50" s="2481"/>
      <c r="J50" s="2481"/>
      <c r="K50" s="2493"/>
      <c r="L50" s="832"/>
      <c r="M50" s="857"/>
      <c r="N50" s="857"/>
      <c r="O50" s="857"/>
    </row>
    <row r="51" spans="1:17" ht="21.75" thickBot="1">
      <c r="A51" s="654" t="s">
        <v>1798</v>
      </c>
      <c r="B51" s="383"/>
      <c r="C51" s="655"/>
      <c r="D51" s="655"/>
      <c r="E51" s="655"/>
      <c r="F51" s="656"/>
      <c r="G51" s="656"/>
      <c r="H51" s="655"/>
      <c r="I51" s="655"/>
      <c r="J51" s="655"/>
      <c r="K51" s="883"/>
      <c r="L51" s="884"/>
      <c r="M51" s="882"/>
      <c r="N51" s="882"/>
      <c r="O51" s="882"/>
      <c r="P51" s="436"/>
      <c r="Q51" s="437"/>
    </row>
    <row r="52" spans="1:17" s="440" customFormat="1" ht="15">
      <c r="A52" s="438" t="s">
        <v>1679</v>
      </c>
      <c r="B52" s="439"/>
      <c r="C52" s="1098" t="str">
        <f>YEAR(C7)&amp;"-"&amp;MONTH(C7)</f>
        <v>2024-11</v>
      </c>
      <c r="D52" s="1099">
        <f>EDATE(C52,-1)</f>
        <v>45566</v>
      </c>
      <c r="E52" s="1099">
        <f t="shared" ref="E52:O52" si="16">EDATE(D52,-1)</f>
        <v>45536</v>
      </c>
      <c r="F52" s="1099">
        <f t="shared" si="16"/>
        <v>45505</v>
      </c>
      <c r="G52" s="1099">
        <f t="shared" si="16"/>
        <v>45474</v>
      </c>
      <c r="H52" s="1099">
        <f t="shared" si="16"/>
        <v>45444</v>
      </c>
      <c r="I52" s="1099">
        <f t="shared" si="16"/>
        <v>45413</v>
      </c>
      <c r="J52" s="1099">
        <f t="shared" si="16"/>
        <v>45383</v>
      </c>
      <c r="K52" s="1099">
        <f t="shared" si="16"/>
        <v>45352</v>
      </c>
      <c r="L52" s="1099">
        <f t="shared" si="16"/>
        <v>45323</v>
      </c>
      <c r="M52" s="1099">
        <f t="shared" si="16"/>
        <v>45292</v>
      </c>
      <c r="N52" s="1099">
        <f t="shared" si="16"/>
        <v>45261</v>
      </c>
      <c r="O52" s="1099">
        <f t="shared" si="16"/>
        <v>45231</v>
      </c>
    </row>
    <row r="53" spans="1:17" s="101" customFormat="1" ht="15">
      <c r="A53" s="441"/>
      <c r="B53" s="442"/>
      <c r="C53" s="1097">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1776</v>
      </c>
      <c r="D55" s="31"/>
      <c r="E55" s="31"/>
      <c r="F55" s="31"/>
      <c r="G55" s="31"/>
      <c r="H55" s="31"/>
      <c r="I55" s="31"/>
      <c r="J55" s="31"/>
      <c r="K55" s="31"/>
      <c r="L55" s="455"/>
      <c r="M55" s="456"/>
      <c r="N55" s="874"/>
      <c r="O55" s="874"/>
      <c r="P55" s="457"/>
      <c r="Q55" s="437"/>
    </row>
    <row r="56" spans="1:17" s="101" customFormat="1" ht="15.75" thickBot="1">
      <c r="A56" s="453"/>
      <c r="B56" s="442"/>
      <c r="C56" s="561">
        <v>100</v>
      </c>
      <c r="D56" s="444"/>
      <c r="E56" s="444"/>
      <c r="F56" s="444"/>
      <c r="G56" s="444"/>
      <c r="H56" s="444"/>
      <c r="I56" s="444"/>
      <c r="J56" s="444"/>
      <c r="K56" s="444"/>
      <c r="L56" s="444"/>
      <c r="M56" s="446"/>
      <c r="N56" s="874"/>
      <c r="O56" s="874"/>
      <c r="P56" s="437"/>
      <c r="Q56" s="437"/>
    </row>
    <row r="57" spans="1:17">
      <c r="A57" s="377" t="s">
        <v>1719</v>
      </c>
      <c r="B57" s="458" t="s">
        <v>1685</v>
      </c>
      <c r="C57" s="459">
        <f>C9</f>
        <v>0</v>
      </c>
      <c r="D57" s="460"/>
      <c r="E57" s="460"/>
      <c r="F57" s="460"/>
      <c r="G57" s="460"/>
      <c r="H57" s="460"/>
      <c r="I57" s="460"/>
      <c r="J57" s="460"/>
      <c r="K57" s="461"/>
      <c r="L57" s="462"/>
      <c r="M57" s="463"/>
      <c r="N57" s="875"/>
      <c r="O57" s="875"/>
      <c r="P57" s="40"/>
      <c r="Q57" s="437"/>
    </row>
    <row r="58" spans="1:17" ht="15.75" thickBot="1">
      <c r="A58" s="365"/>
      <c r="B58" s="464"/>
      <c r="C58" s="465">
        <v>100</v>
      </c>
      <c r="D58" s="465"/>
      <c r="E58" s="465"/>
      <c r="F58" s="465"/>
      <c r="G58" s="465"/>
      <c r="H58" s="465"/>
      <c r="I58" s="465"/>
      <c r="J58" s="465"/>
      <c r="K58" s="465"/>
      <c r="L58" s="465"/>
      <c r="M58" s="466"/>
      <c r="N58" s="876"/>
      <c r="O58" s="876"/>
      <c r="P58" s="40"/>
      <c r="Q58" s="437"/>
    </row>
    <row r="59" spans="1:17" ht="27.75" thickTop="1">
      <c r="A59" s="365"/>
      <c r="B59" s="467" t="s">
        <v>1688</v>
      </c>
      <c r="C59" s="511"/>
      <c r="D59" s="511"/>
      <c r="E59" s="511"/>
      <c r="F59" s="511"/>
      <c r="G59" s="511"/>
      <c r="H59" s="511"/>
      <c r="I59" s="511"/>
      <c r="J59" s="511"/>
      <c r="K59" s="512"/>
      <c r="L59" s="513"/>
      <c r="M59" s="514"/>
      <c r="N59" s="875"/>
      <c r="O59" s="875"/>
      <c r="P59" s="40"/>
      <c r="Q59" s="437"/>
    </row>
    <row r="60" spans="1:17" ht="15.75" thickBot="1">
      <c r="A60" s="365"/>
      <c r="B60" s="472"/>
      <c r="C60" s="465"/>
      <c r="D60" s="465"/>
      <c r="E60" s="465"/>
      <c r="F60" s="465"/>
      <c r="G60" s="465"/>
      <c r="H60" s="465"/>
      <c r="I60" s="465"/>
      <c r="J60" s="465"/>
      <c r="K60" s="465"/>
      <c r="L60" s="465"/>
      <c r="M60" s="466"/>
      <c r="N60" s="876"/>
      <c r="O60" s="876"/>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ht="15">
      <c r="A62" s="365"/>
      <c r="B62" s="477"/>
      <c r="C62" s="478">
        <v>0</v>
      </c>
      <c r="D62" s="478">
        <v>2</v>
      </c>
      <c r="E62" s="478"/>
      <c r="F62" s="478"/>
      <c r="G62" s="478"/>
      <c r="H62" s="478"/>
      <c r="I62" s="478"/>
      <c r="J62" s="478"/>
      <c r="K62" s="479"/>
      <c r="L62" s="480"/>
      <c r="M62" s="481"/>
      <c r="N62" s="875"/>
      <c r="O62" s="875"/>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5.75" thickTop="1">
      <c r="A64" s="482"/>
      <c r="B64" s="467">
        <f>B12</f>
        <v>111</v>
      </c>
      <c r="C64" s="483"/>
      <c r="D64" s="483"/>
      <c r="E64" s="483"/>
      <c r="F64" s="483"/>
      <c r="G64" s="483"/>
      <c r="H64" s="484"/>
      <c r="I64" s="484"/>
      <c r="J64" s="484"/>
      <c r="K64" s="484"/>
      <c r="L64" s="485"/>
      <c r="M64" s="486"/>
      <c r="N64" s="877"/>
      <c r="O64" s="877"/>
      <c r="P64" s="487"/>
      <c r="Q64" s="488"/>
    </row>
    <row r="65" spans="1:17" s="406" customFormat="1" ht="15.75" thickBot="1">
      <c r="A65" s="482"/>
      <c r="B65" s="472"/>
      <c r="C65" s="489"/>
      <c r="D65" s="465"/>
      <c r="E65" s="465"/>
      <c r="F65" s="465"/>
      <c r="G65" s="465"/>
      <c r="H65" s="465"/>
      <c r="I65" s="465"/>
      <c r="J65" s="465"/>
      <c r="K65" s="465"/>
      <c r="L65" s="465"/>
      <c r="M65" s="466"/>
      <c r="N65" s="876"/>
      <c r="O65" s="876"/>
      <c r="P65" s="487"/>
      <c r="Q65" s="488"/>
    </row>
    <row r="66" spans="1:17" s="406" customFormat="1" ht="15.75" thickTop="1">
      <c r="A66" s="482"/>
      <c r="B66" s="467">
        <f>B13</f>
        <v>111</v>
      </c>
      <c r="C66" s="483"/>
      <c r="D66" s="483"/>
      <c r="E66" s="483"/>
      <c r="F66" s="483"/>
      <c r="G66" s="483"/>
      <c r="H66" s="484"/>
      <c r="I66" s="484"/>
      <c r="J66" s="484"/>
      <c r="K66" s="484"/>
      <c r="L66" s="485"/>
      <c r="M66" s="486"/>
      <c r="N66" s="877"/>
      <c r="O66" s="877"/>
      <c r="Q66" s="490"/>
    </row>
    <row r="67" spans="1:17" s="406" customFormat="1" ht="15.75" thickBot="1">
      <c r="A67" s="482"/>
      <c r="B67" s="472"/>
      <c r="C67" s="489"/>
      <c r="D67" s="465"/>
      <c r="E67" s="465"/>
      <c r="F67" s="465"/>
      <c r="G67" s="489"/>
      <c r="H67" s="491"/>
      <c r="I67" s="491"/>
      <c r="J67" s="491"/>
      <c r="K67" s="491"/>
      <c r="L67" s="491"/>
      <c r="M67" s="492"/>
      <c r="N67" s="877"/>
      <c r="O67" s="877"/>
      <c r="P67" s="487"/>
      <c r="Q67" s="488"/>
    </row>
    <row r="68" spans="1:17" s="406" customFormat="1" ht="15.75" thickTop="1">
      <c r="A68" s="482"/>
      <c r="B68" s="475">
        <f>B14</f>
        <v>111</v>
      </c>
      <c r="C68" s="31"/>
      <c r="D68" s="31"/>
      <c r="E68" s="31"/>
      <c r="F68" s="31"/>
      <c r="G68" s="31"/>
      <c r="H68" s="493"/>
      <c r="I68" s="493"/>
      <c r="J68" s="493"/>
      <c r="K68" s="493"/>
      <c r="L68" s="494"/>
      <c r="M68" s="495"/>
      <c r="N68" s="877"/>
      <c r="O68" s="877"/>
      <c r="P68" s="496"/>
      <c r="Q68" s="488"/>
    </row>
    <row r="69" spans="1:17" s="406" customFormat="1" ht="15.75" thickBot="1">
      <c r="A69" s="497"/>
      <c r="B69" s="498"/>
      <c r="C69" s="499"/>
      <c r="D69" s="499"/>
      <c r="E69" s="499"/>
      <c r="F69" s="499"/>
      <c r="G69" s="499"/>
      <c r="H69" s="500"/>
      <c r="I69" s="500"/>
      <c r="J69" s="500"/>
      <c r="K69" s="500"/>
      <c r="L69" s="500"/>
      <c r="M69" s="501"/>
      <c r="N69" s="877"/>
      <c r="O69" s="877"/>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59"/>
      <c r="N76" s="876"/>
      <c r="O76" s="876"/>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1" customFormat="1" ht="15.75" thickTop="1">
      <c r="A80" s="368"/>
      <c r="B80" s="467">
        <f>B25</f>
        <v>111</v>
      </c>
      <c r="C80" s="483"/>
      <c r="D80" s="483"/>
      <c r="E80" s="483"/>
      <c r="F80" s="483"/>
      <c r="G80" s="483"/>
      <c r="H80" s="483"/>
      <c r="I80" s="483"/>
      <c r="J80" s="483"/>
      <c r="K80" s="483"/>
      <c r="L80" s="508"/>
      <c r="M80" s="509"/>
      <c r="N80" s="874"/>
      <c r="O80" s="874"/>
      <c r="P80" s="40"/>
      <c r="Q80" s="437"/>
    </row>
    <row r="81" spans="1:17" s="101" customFormat="1" ht="15.75" thickBot="1">
      <c r="A81" s="368"/>
      <c r="B81" s="472"/>
      <c r="C81" s="489"/>
      <c r="D81" s="465"/>
      <c r="E81" s="465"/>
      <c r="F81" s="465"/>
      <c r="G81" s="465"/>
      <c r="H81" s="465"/>
      <c r="I81" s="465"/>
      <c r="J81" s="465"/>
      <c r="K81" s="465"/>
      <c r="L81" s="465"/>
      <c r="M81" s="466"/>
      <c r="N81" s="876"/>
      <c r="O81" s="876"/>
      <c r="P81" s="40"/>
      <c r="Q81" s="437"/>
    </row>
    <row r="82" spans="1:17" s="101" customFormat="1" ht="15.75" thickTop="1">
      <c r="A82" s="368"/>
      <c r="B82" s="467">
        <f>B26</f>
        <v>111</v>
      </c>
      <c r="C82" s="483"/>
      <c r="D82" s="483"/>
      <c r="E82" s="483"/>
      <c r="F82" s="483"/>
      <c r="G82" s="483"/>
      <c r="H82" s="483"/>
      <c r="I82" s="483"/>
      <c r="J82" s="483"/>
      <c r="K82" s="483"/>
      <c r="L82" s="508"/>
      <c r="M82" s="509"/>
      <c r="N82" s="874"/>
      <c r="O82" s="874"/>
      <c r="P82" s="40"/>
      <c r="Q82" s="437"/>
    </row>
    <row r="83" spans="1:17" s="101" customFormat="1" ht="15.75" thickBot="1">
      <c r="A83" s="368"/>
      <c r="B83" s="472"/>
      <c r="C83" s="489"/>
      <c r="D83" s="465"/>
      <c r="E83" s="465"/>
      <c r="F83" s="465"/>
      <c r="G83" s="465"/>
      <c r="H83" s="465"/>
      <c r="I83" s="465"/>
      <c r="J83" s="465"/>
      <c r="K83" s="465"/>
      <c r="L83" s="465"/>
      <c r="M83" s="466"/>
      <c r="N83" s="876"/>
      <c r="O83" s="876"/>
      <c r="P83" s="40"/>
      <c r="Q83" s="437"/>
    </row>
    <row r="84" spans="1:17" s="406" customFormat="1" ht="15.75" thickTop="1">
      <c r="A84" s="482"/>
      <c r="B84" s="467">
        <f>B27</f>
        <v>111</v>
      </c>
      <c r="C84" s="483"/>
      <c r="D84" s="483"/>
      <c r="E84" s="483"/>
      <c r="F84" s="483"/>
      <c r="G84" s="483"/>
      <c r="H84" s="483"/>
      <c r="I84" s="483"/>
      <c r="J84" s="483"/>
      <c r="K84" s="483"/>
      <c r="L84" s="508"/>
      <c r="M84" s="509"/>
      <c r="N84" s="877"/>
      <c r="O84" s="877"/>
      <c r="P84" s="487"/>
      <c r="Q84" s="488"/>
    </row>
    <row r="85" spans="1:17" s="406" customFormat="1" ht="15.75" thickBot="1">
      <c r="A85" s="482"/>
      <c r="B85" s="472"/>
      <c r="C85" s="489"/>
      <c r="D85" s="465"/>
      <c r="E85" s="465"/>
      <c r="F85" s="465"/>
      <c r="G85" s="465"/>
      <c r="H85" s="465"/>
      <c r="I85" s="465"/>
      <c r="J85" s="465"/>
      <c r="K85" s="465"/>
      <c r="L85" s="465"/>
      <c r="M85" s="466"/>
      <c r="N85" s="877"/>
      <c r="O85" s="877"/>
      <c r="P85" s="487"/>
      <c r="Q85" s="488"/>
    </row>
    <row r="86" spans="1:17" ht="15.75" thickTop="1">
      <c r="A86" s="365"/>
      <c r="B86" s="475">
        <f>B28</f>
        <v>111</v>
      </c>
      <c r="C86" s="31"/>
      <c r="D86" s="31"/>
      <c r="E86" s="31"/>
      <c r="F86" s="31"/>
      <c r="G86" s="515"/>
      <c r="H86" s="515"/>
      <c r="I86" s="515"/>
      <c r="J86" s="515"/>
      <c r="K86" s="516"/>
      <c r="L86" s="517"/>
      <c r="M86" s="518"/>
      <c r="N86" s="875"/>
      <c r="O86" s="875"/>
      <c r="P86" s="40"/>
      <c r="Q86" s="437"/>
    </row>
    <row r="87" spans="1:17" ht="15.75" thickBot="1">
      <c r="A87" s="373"/>
      <c r="B87" s="498"/>
      <c r="C87" s="499"/>
      <c r="D87" s="499"/>
      <c r="E87" s="499"/>
      <c r="F87" s="499"/>
      <c r="G87" s="519"/>
      <c r="H87" s="519"/>
      <c r="I87" s="519"/>
      <c r="J87" s="519"/>
      <c r="K87" s="519"/>
      <c r="L87" s="519"/>
      <c r="M87" s="520"/>
      <c r="N87" s="876"/>
      <c r="O87" s="876"/>
      <c r="P87" s="40"/>
      <c r="Q87" s="437"/>
    </row>
    <row r="88" spans="1:17">
      <c r="A88" s="377" t="s">
        <v>1694</v>
      </c>
      <c r="B88" s="458" t="s">
        <v>1736</v>
      </c>
      <c r="C88" s="460"/>
      <c r="D88" s="460"/>
      <c r="E88" s="460"/>
      <c r="F88" s="460"/>
      <c r="G88" s="460"/>
      <c r="H88" s="460"/>
      <c r="I88" s="460"/>
      <c r="J88" s="460"/>
      <c r="K88" s="461"/>
      <c r="L88" s="462"/>
      <c r="M88" s="463"/>
      <c r="N88" s="875"/>
      <c r="O88" s="875"/>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5.75"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5"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5.75" thickBot="1">
      <c r="A109" s="482"/>
      <c r="B109" s="464"/>
      <c r="C109" s="489"/>
      <c r="D109" s="465"/>
      <c r="E109" s="465"/>
      <c r="F109" s="465"/>
      <c r="G109" s="489"/>
      <c r="H109" s="491"/>
      <c r="I109" s="491"/>
      <c r="J109" s="491"/>
      <c r="K109" s="491"/>
      <c r="L109" s="491"/>
      <c r="M109" s="492"/>
      <c r="N109" s="877"/>
      <c r="O109" s="877"/>
      <c r="P109" s="487"/>
      <c r="Q109" s="488"/>
    </row>
    <row r="110" spans="1:17" ht="15" thickTop="1">
      <c r="A110" s="407"/>
      <c r="B110" s="467">
        <f>B39</f>
        <v>111</v>
      </c>
      <c r="C110" s="483"/>
      <c r="D110" s="483"/>
      <c r="E110" s="483"/>
      <c r="F110" s="483"/>
      <c r="G110" s="483"/>
      <c r="H110" s="484"/>
      <c r="I110" s="484"/>
      <c r="J110" s="484"/>
      <c r="K110" s="484"/>
      <c r="L110" s="485"/>
      <c r="M110" s="486"/>
      <c r="N110" s="875"/>
      <c r="O110" s="875"/>
      <c r="P110" s="40"/>
      <c r="Q110" s="437"/>
    </row>
    <row r="111" spans="1:17" ht="15.75" thickBot="1">
      <c r="A111" s="365"/>
      <c r="B111" s="472"/>
      <c r="C111" s="489"/>
      <c r="D111" s="465"/>
      <c r="E111" s="465"/>
      <c r="F111" s="465"/>
      <c r="G111" s="489"/>
      <c r="H111" s="491"/>
      <c r="I111" s="491"/>
      <c r="J111" s="491"/>
      <c r="K111" s="491"/>
      <c r="L111" s="491"/>
      <c r="M111" s="492"/>
      <c r="N111" s="876"/>
      <c r="O111" s="876"/>
      <c r="P111" s="40"/>
      <c r="Q111" s="437"/>
    </row>
    <row r="112" spans="1:17" ht="15" thickTop="1">
      <c r="A112" s="407"/>
      <c r="B112" s="475">
        <f>B40</f>
        <v>111</v>
      </c>
      <c r="C112" s="31"/>
      <c r="D112" s="31"/>
      <c r="E112" s="31"/>
      <c r="F112" s="31"/>
      <c r="G112" s="515"/>
      <c r="H112" s="515"/>
      <c r="I112" s="515"/>
      <c r="J112" s="515"/>
      <c r="K112" s="31"/>
      <c r="L112" s="455"/>
      <c r="M112" s="518"/>
      <c r="N112" s="875"/>
      <c r="O112" s="875"/>
      <c r="P112" s="40"/>
      <c r="Q112" s="437"/>
    </row>
    <row r="113" spans="1:17" ht="15.75"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3331</v>
      </c>
      <c r="C1" s="1136" t="s">
        <v>1662</v>
      </c>
      <c r="D1" s="1137"/>
      <c r="E1" s="3125"/>
      <c r="F1" s="1730"/>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7"/>
      <c r="M2" s="2498"/>
      <c r="N2" s="2498"/>
      <c r="O2" s="2498"/>
      <c r="P2" s="1082"/>
      <c r="Q2" s="339"/>
      <c r="R2" s="339"/>
      <c r="S2" s="339"/>
      <c r="T2" s="339"/>
      <c r="U2" s="339"/>
      <c r="V2" s="339"/>
      <c r="W2" s="339"/>
      <c r="X2" s="339"/>
      <c r="Y2" s="339"/>
      <c r="Z2" s="339"/>
      <c r="AA2" s="339"/>
      <c r="AB2" s="339"/>
      <c r="AC2" s="659"/>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1"/>
      <c r="H3" s="851"/>
      <c r="I3" s="851"/>
      <c r="J3" s="851"/>
      <c r="K3" s="853"/>
      <c r="L3" s="2497"/>
      <c r="M3" s="2498" t="e">
        <f ca="1">IF(C2="——",IF(B37="元/平方米",ROUND(C39*D3/10000,0),ROUND(F3*C39/10000,0)),IF(B37="元/平方米",ROUND(C39*D3/10000,0),ROUND(F3*C39/10000,0))-D2)</f>
        <v>#DIV/0!</v>
      </c>
      <c r="N3" s="2498"/>
      <c r="O3" s="2498"/>
      <c r="P3" s="1082"/>
      <c r="Q3" s="339"/>
      <c r="R3" s="339"/>
      <c r="S3" s="339"/>
      <c r="T3" s="339"/>
      <c r="U3" s="339"/>
      <c r="V3" s="339"/>
      <c r="W3" s="339"/>
      <c r="X3" s="339"/>
      <c r="Y3" s="339"/>
      <c r="Z3" s="339"/>
      <c r="AA3" s="339"/>
      <c r="AB3" s="672"/>
      <c r="AC3" s="659"/>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395" t="s">
        <v>1775</v>
      </c>
      <c r="Q4" s="3396"/>
      <c r="R4" s="3401" t="s">
        <v>1771</v>
      </c>
      <c r="S4" s="3402"/>
      <c r="T4" s="3401" t="s">
        <v>1772</v>
      </c>
      <c r="U4" s="3402"/>
      <c r="V4" s="3388" t="s">
        <v>1773</v>
      </c>
      <c r="W4" s="3388"/>
      <c r="X4" s="1260"/>
      <c r="Y4" s="3401" t="s">
        <v>1775</v>
      </c>
      <c r="Z4" s="3402"/>
      <c r="AA4" s="3389" t="s">
        <v>1771</v>
      </c>
      <c r="AB4" s="3390" t="s">
        <v>1772</v>
      </c>
      <c r="AC4" s="3389" t="s">
        <v>1773</v>
      </c>
    </row>
    <row r="5" spans="1:29" ht="15">
      <c r="A5" s="346"/>
      <c r="B5" s="347"/>
      <c r="C5" s="3409" t="s">
        <v>1673</v>
      </c>
      <c r="D5" s="3410"/>
      <c r="E5" s="3416" t="s">
        <v>1674</v>
      </c>
      <c r="F5" s="3417"/>
      <c r="G5" s="3409" t="s">
        <v>1675</v>
      </c>
      <c r="H5" s="3410"/>
      <c r="I5" s="3409" t="s">
        <v>1676</v>
      </c>
      <c r="J5" s="3410"/>
      <c r="K5" s="535"/>
      <c r="L5" s="2480"/>
      <c r="M5" s="2481"/>
      <c r="N5" s="2481"/>
      <c r="O5" s="2481"/>
      <c r="P5" s="3397"/>
      <c r="Q5" s="3398"/>
      <c r="R5" s="3403"/>
      <c r="S5" s="3404"/>
      <c r="T5" s="3403"/>
      <c r="U5" s="3404"/>
      <c r="V5" s="3388"/>
      <c r="W5" s="3388"/>
      <c r="X5" s="1260"/>
      <c r="Y5" s="3403"/>
      <c r="Z5" s="3404"/>
      <c r="AA5" s="3390"/>
      <c r="AB5" s="3390"/>
      <c r="AC5" s="3390"/>
    </row>
    <row r="6" spans="1:29" ht="15.75" thickBot="1">
      <c r="A6" s="348"/>
      <c r="B6" s="349"/>
      <c r="C6" s="3407" t="s">
        <v>1677</v>
      </c>
      <c r="D6" s="3408"/>
      <c r="E6" s="3414" t="s">
        <v>1677</v>
      </c>
      <c r="F6" s="3415"/>
      <c r="G6" s="3407" t="s">
        <v>1677</v>
      </c>
      <c r="H6" s="3408"/>
      <c r="I6" s="3407" t="s">
        <v>1677</v>
      </c>
      <c r="J6" s="3408"/>
      <c r="K6" s="535" t="s">
        <v>1678</v>
      </c>
      <c r="L6" s="2480"/>
      <c r="M6" s="2481"/>
      <c r="N6" s="2481"/>
      <c r="O6" s="2481"/>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c r="F7" s="355">
        <f>SUMIF(48:48,YEAR(E7)&amp;"-"&amp;MONTH(E7),49:49)</f>
        <v>0</v>
      </c>
      <c r="G7" s="354"/>
      <c r="H7" s="353">
        <f>SUMIF(48:48,YEAR(G7)&amp;"-"&amp;MONTH(G7),49:49)</f>
        <v>0</v>
      </c>
      <c r="I7" s="354"/>
      <c r="J7" s="353">
        <f>SUMIF(48:48,YEAR(I7)&amp;"-"&amp;MONTH(I7),49:49)</f>
        <v>0</v>
      </c>
      <c r="K7" s="38"/>
      <c r="L7" s="2482"/>
      <c r="M7" s="2434"/>
      <c r="N7" s="2434"/>
      <c r="O7" s="2434"/>
      <c r="P7" s="3411" t="s">
        <v>1680</v>
      </c>
      <c r="Q7" s="3413"/>
      <c r="R7" s="660" t="s">
        <v>14</v>
      </c>
      <c r="S7" s="661">
        <f t="shared" ref="S7:S14" si="0">F7</f>
        <v>0</v>
      </c>
      <c r="T7" s="660" t="s">
        <v>14</v>
      </c>
      <c r="U7" s="661">
        <f t="shared" ref="U7:U14" si="1">H7</f>
        <v>0</v>
      </c>
      <c r="V7" s="660" t="s">
        <v>14</v>
      </c>
      <c r="W7" s="661">
        <f t="shared" ref="W7:W14" si="2">J7</f>
        <v>0</v>
      </c>
      <c r="X7" s="662"/>
      <c r="Y7" s="3411" t="s">
        <v>1680</v>
      </c>
      <c r="Z7" s="3412"/>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4"/>
      <c r="N8" s="2434"/>
      <c r="O8" s="2434"/>
      <c r="P8" s="3411" t="s">
        <v>1683</v>
      </c>
      <c r="Q8" s="3412"/>
      <c r="R8" s="660" t="s">
        <v>14</v>
      </c>
      <c r="S8" s="661">
        <f t="shared" si="0"/>
        <v>100</v>
      </c>
      <c r="T8" s="660" t="s">
        <v>14</v>
      </c>
      <c r="U8" s="661">
        <f t="shared" si="1"/>
        <v>100</v>
      </c>
      <c r="V8" s="660" t="s">
        <v>14</v>
      </c>
      <c r="W8" s="661">
        <f t="shared" si="2"/>
        <v>100</v>
      </c>
      <c r="X8" s="662"/>
      <c r="Y8" s="3411" t="s">
        <v>1683</v>
      </c>
      <c r="Z8" s="3412"/>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4"/>
      <c r="N9" s="2434"/>
      <c r="O9" s="2434"/>
      <c r="P9" s="3383" t="s">
        <v>1686</v>
      </c>
      <c r="Q9" s="528" t="str">
        <f t="shared" ref="Q9:Q14" si="6">B9</f>
        <v>用途</v>
      </c>
      <c r="R9" s="660" t="s">
        <v>14</v>
      </c>
      <c r="S9" s="661">
        <f t="shared" si="0"/>
        <v>100</v>
      </c>
      <c r="T9" s="660" t="s">
        <v>14</v>
      </c>
      <c r="U9" s="661">
        <f t="shared" si="1"/>
        <v>100</v>
      </c>
      <c r="V9" s="660" t="s">
        <v>14</v>
      </c>
      <c r="W9" s="661">
        <f t="shared" si="2"/>
        <v>100</v>
      </c>
      <c r="X9" s="662"/>
      <c r="Y9" s="3283" t="s">
        <v>1687</v>
      </c>
      <c r="Z9" s="50" t="str">
        <f t="shared" ref="Z9:Z14" si="7">Q9</f>
        <v>用途</v>
      </c>
      <c r="AA9" s="50">
        <f t="shared" si="3"/>
        <v>1</v>
      </c>
      <c r="AB9" s="50">
        <f t="shared" si="4"/>
        <v>1</v>
      </c>
      <c r="AC9" s="50">
        <f t="shared" si="5"/>
        <v>1</v>
      </c>
    </row>
    <row r="10" spans="1:29" s="364" customFormat="1" ht="27">
      <c r="A10" s="563"/>
      <c r="B10" s="564" t="s">
        <v>1688</v>
      </c>
      <c r="C10" s="3126"/>
      <c r="D10" s="117">
        <v>100</v>
      </c>
      <c r="E10" s="3126"/>
      <c r="F10" s="117">
        <f>SUMIF(55:55,E10,56:56)-SUMIF(55:55,C10,56:56)+100</f>
        <v>100</v>
      </c>
      <c r="G10" s="3127"/>
      <c r="H10" s="117">
        <f>SUMIF(55:55,G10,56:56)-SUMIF(55:55,C10,56:56)+100</f>
        <v>100</v>
      </c>
      <c r="I10" s="3126"/>
      <c r="J10" s="117">
        <f>SUMIF(55:55,I10,56:56)-SUMIF(55:55,C10,56:56)+100</f>
        <v>100</v>
      </c>
      <c r="K10" s="38"/>
      <c r="L10" s="2483"/>
      <c r="M10" s="2484"/>
      <c r="N10" s="2484"/>
      <c r="O10" s="2484"/>
      <c r="P10" s="3383"/>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383"/>
      <c r="Q11" s="528">
        <f t="shared" si="6"/>
        <v>111</v>
      </c>
      <c r="R11" s="660" t="s">
        <v>14</v>
      </c>
      <c r="S11" s="661">
        <f t="shared" si="0"/>
        <v>100</v>
      </c>
      <c r="T11" s="660" t="s">
        <v>14</v>
      </c>
      <c r="U11" s="661">
        <f t="shared" si="1"/>
        <v>100</v>
      </c>
      <c r="V11" s="660" t="s">
        <v>14</v>
      </c>
      <c r="W11" s="661">
        <f t="shared" si="2"/>
        <v>100</v>
      </c>
      <c r="X11" s="662"/>
      <c r="Y11" s="3283"/>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4"/>
      <c r="N12" s="2434"/>
      <c r="O12" s="2434"/>
      <c r="P12" s="3383"/>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383"/>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50">
        <f t="shared" si="5"/>
        <v>1</v>
      </c>
    </row>
    <row r="14" spans="1:29" ht="85.5">
      <c r="A14" s="343" t="s">
        <v>1690</v>
      </c>
      <c r="B14" s="552" t="s">
        <v>1833</v>
      </c>
      <c r="C14" s="1814"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384" t="s">
        <v>1691</v>
      </c>
      <c r="Q14" s="1258" t="str">
        <f t="shared" si="6"/>
        <v>交通便捷度</v>
      </c>
      <c r="R14" s="663" t="s">
        <v>14</v>
      </c>
      <c r="S14" s="664">
        <f t="shared" si="0"/>
        <v>100</v>
      </c>
      <c r="T14" s="663" t="s">
        <v>14</v>
      </c>
      <c r="U14" s="664">
        <f t="shared" si="1"/>
        <v>100</v>
      </c>
      <c r="V14" s="663" t="s">
        <v>14</v>
      </c>
      <c r="W14" s="664">
        <f t="shared" si="2"/>
        <v>100</v>
      </c>
      <c r="X14" s="1260"/>
      <c r="Y14" s="3384"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6"/>
      <c r="M15" s="2481"/>
      <c r="N15" s="2481"/>
      <c r="O15" s="2481"/>
      <c r="P15" s="3385"/>
      <c r="Q15" s="1258"/>
      <c r="R15" s="663"/>
      <c r="S15" s="664"/>
      <c r="T15" s="663"/>
      <c r="U15" s="664"/>
      <c r="V15" s="663"/>
      <c r="W15" s="664"/>
      <c r="X15" s="1260"/>
      <c r="Y15" s="3385"/>
      <c r="Z15" s="1259"/>
      <c r="AA15" s="1259">
        <v>1</v>
      </c>
      <c r="AB15" s="1259">
        <v>1</v>
      </c>
      <c r="AC15" s="1259">
        <v>1</v>
      </c>
    </row>
    <row r="16" spans="1:29" ht="42.75">
      <c r="A16" s="346"/>
      <c r="B16" s="554" t="s">
        <v>1812</v>
      </c>
      <c r="C16" s="1749"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385"/>
      <c r="Q16" s="1258" t="str">
        <f>B16</f>
        <v>公共配套设施</v>
      </c>
      <c r="R16" s="663" t="s">
        <v>14</v>
      </c>
      <c r="S16" s="664">
        <f>F16</f>
        <v>100</v>
      </c>
      <c r="T16" s="663" t="s">
        <v>14</v>
      </c>
      <c r="U16" s="664">
        <f>H16</f>
        <v>100</v>
      </c>
      <c r="V16" s="663" t="s">
        <v>14</v>
      </c>
      <c r="W16" s="664">
        <f>J16</f>
        <v>100</v>
      </c>
      <c r="X16" s="1260"/>
      <c r="Y16" s="3385"/>
      <c r="Z16" s="1259" t="str">
        <f>Q16</f>
        <v>公共配套设施</v>
      </c>
      <c r="AA16" s="1259">
        <f t="shared" si="3"/>
        <v>1</v>
      </c>
      <c r="AB16" s="1259">
        <f t="shared" si="4"/>
        <v>1</v>
      </c>
      <c r="AC16" s="1259">
        <f t="shared" si="5"/>
        <v>1</v>
      </c>
    </row>
    <row r="17" spans="1:29" ht="15">
      <c r="A17" s="346"/>
      <c r="B17" s="399"/>
      <c r="C17" s="1750"/>
      <c r="D17" s="385"/>
      <c r="E17" s="384"/>
      <c r="F17" s="386"/>
      <c r="G17" s="384"/>
      <c r="H17" s="385"/>
      <c r="I17" s="384"/>
      <c r="J17" s="385"/>
      <c r="K17" s="539"/>
      <c r="L17" s="2486"/>
      <c r="M17" s="2481"/>
      <c r="N17" s="2481"/>
      <c r="O17" s="2481"/>
      <c r="P17" s="3385"/>
      <c r="Q17" s="1258"/>
      <c r="R17" s="663"/>
      <c r="S17" s="664"/>
      <c r="T17" s="663"/>
      <c r="U17" s="664"/>
      <c r="V17" s="663"/>
      <c r="W17" s="664"/>
      <c r="X17" s="1260"/>
      <c r="Y17" s="3385"/>
      <c r="Z17" s="1259"/>
      <c r="AA17" s="1259">
        <v>1</v>
      </c>
      <c r="AB17" s="1259">
        <v>1</v>
      </c>
      <c r="AC17" s="1259">
        <v>1</v>
      </c>
    </row>
    <row r="18" spans="1:29" ht="28.5">
      <c r="A18" s="346"/>
      <c r="B18" s="555" t="s">
        <v>1813</v>
      </c>
      <c r="C18" s="1749"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385"/>
      <c r="Q18" s="1258" t="str">
        <f>B18</f>
        <v>基础设施水平</v>
      </c>
      <c r="R18" s="663" t="s">
        <v>14</v>
      </c>
      <c r="S18" s="664">
        <f>F18</f>
        <v>100</v>
      </c>
      <c r="T18" s="663" t="s">
        <v>14</v>
      </c>
      <c r="U18" s="664">
        <f>H18</f>
        <v>100</v>
      </c>
      <c r="V18" s="663" t="s">
        <v>14</v>
      </c>
      <c r="W18" s="664">
        <f>J18</f>
        <v>100</v>
      </c>
      <c r="X18" s="1260"/>
      <c r="Y18" s="3385"/>
      <c r="Z18" s="1259" t="str">
        <f>Q18</f>
        <v>基础设施水平</v>
      </c>
      <c r="AA18" s="1259">
        <f t="shared" ref="AA18" si="8">D18/F18</f>
        <v>1</v>
      </c>
      <c r="AB18" s="1259">
        <f t="shared" ref="AB18" si="9">D18/H18</f>
        <v>1</v>
      </c>
      <c r="AC18" s="1259">
        <f t="shared" ref="AC18" si="10">D18/J18</f>
        <v>1</v>
      </c>
    </row>
    <row r="19" spans="1:29" ht="15">
      <c r="A19" s="346"/>
      <c r="B19" s="555"/>
      <c r="C19" s="1750"/>
      <c r="D19" s="387"/>
      <c r="E19" s="1750"/>
      <c r="F19" s="390"/>
      <c r="G19" s="1750"/>
      <c r="H19" s="385"/>
      <c r="I19" s="384"/>
      <c r="J19" s="385"/>
      <c r="K19" s="1060"/>
      <c r="L19" s="2486"/>
      <c r="M19" s="2481"/>
      <c r="N19" s="2481"/>
      <c r="O19" s="2481"/>
      <c r="P19" s="3385"/>
      <c r="Q19" s="1258"/>
      <c r="R19" s="663"/>
      <c r="S19" s="664"/>
      <c r="T19" s="663"/>
      <c r="U19" s="664"/>
      <c r="V19" s="663"/>
      <c r="W19" s="664"/>
      <c r="X19" s="1260"/>
      <c r="Y19" s="3385"/>
      <c r="Z19" s="1259"/>
      <c r="AA19" s="1259">
        <v>1</v>
      </c>
      <c r="AB19" s="1259">
        <v>1</v>
      </c>
      <c r="AC19" s="1259">
        <v>1</v>
      </c>
    </row>
    <row r="20" spans="1:29" ht="57">
      <c r="A20" s="346"/>
      <c r="B20" s="554" t="s">
        <v>1834</v>
      </c>
      <c r="C20" s="1749"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385"/>
      <c r="Q20" s="1258" t="str">
        <f>B20</f>
        <v>自然及人文环境</v>
      </c>
      <c r="R20" s="663" t="s">
        <v>14</v>
      </c>
      <c r="S20" s="664">
        <f>F20</f>
        <v>100</v>
      </c>
      <c r="T20" s="663" t="s">
        <v>14</v>
      </c>
      <c r="U20" s="664">
        <f>H20</f>
        <v>100</v>
      </c>
      <c r="V20" s="663" t="s">
        <v>14</v>
      </c>
      <c r="W20" s="664">
        <f>J20</f>
        <v>100</v>
      </c>
      <c r="X20" s="1260"/>
      <c r="Y20" s="3385"/>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6"/>
      <c r="M21" s="2481"/>
      <c r="N21" s="2481"/>
      <c r="O21" s="2481"/>
      <c r="P21" s="3385"/>
      <c r="Q21" s="1258"/>
      <c r="R21" s="663"/>
      <c r="S21" s="664"/>
      <c r="T21" s="663"/>
      <c r="U21" s="664"/>
      <c r="V21" s="663"/>
      <c r="W21" s="664"/>
      <c r="X21" s="1260"/>
      <c r="Y21" s="3385"/>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385"/>
      <c r="Q22" s="1258" t="str">
        <f>B22</f>
        <v>楼层</v>
      </c>
      <c r="R22" s="663" t="s">
        <v>14</v>
      </c>
      <c r="S22" s="664">
        <f>F22</f>
        <v>100</v>
      </c>
      <c r="T22" s="663" t="s">
        <v>14</v>
      </c>
      <c r="U22" s="664">
        <f>H22</f>
        <v>100</v>
      </c>
      <c r="V22" s="663" t="s">
        <v>14</v>
      </c>
      <c r="W22" s="664">
        <f>J22</f>
        <v>100</v>
      </c>
      <c r="X22" s="1260"/>
      <c r="Y22" s="3385"/>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385"/>
      <c r="Q23" s="1258">
        <f>B23</f>
        <v>111</v>
      </c>
      <c r="R23" s="663" t="s">
        <v>14</v>
      </c>
      <c r="S23" s="664">
        <f>F23</f>
        <v>100</v>
      </c>
      <c r="T23" s="663" t="s">
        <v>14</v>
      </c>
      <c r="U23" s="664">
        <f>H23</f>
        <v>100</v>
      </c>
      <c r="V23" s="663" t="s">
        <v>14</v>
      </c>
      <c r="W23" s="664">
        <f>J23</f>
        <v>100</v>
      </c>
      <c r="X23" s="1260"/>
      <c r="Y23" s="3385"/>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385"/>
      <c r="Q24" s="1258">
        <f t="shared" ref="Q24:Q36" si="11">B24</f>
        <v>111</v>
      </c>
      <c r="R24" s="663" t="s">
        <v>14</v>
      </c>
      <c r="S24" s="664">
        <f>F24</f>
        <v>100</v>
      </c>
      <c r="T24" s="663" t="s">
        <v>14</v>
      </c>
      <c r="U24" s="664">
        <f>H24</f>
        <v>100</v>
      </c>
      <c r="V24" s="663" t="s">
        <v>14</v>
      </c>
      <c r="W24" s="664">
        <f>J24</f>
        <v>100</v>
      </c>
      <c r="X24" s="1260"/>
      <c r="Y24" s="3385"/>
      <c r="Z24" s="1259">
        <f>Q24</f>
        <v>111</v>
      </c>
      <c r="AA24" s="1259">
        <f t="shared" si="3"/>
        <v>1</v>
      </c>
      <c r="AB24" s="1259">
        <f t="shared" si="4"/>
        <v>1</v>
      </c>
      <c r="AC24" s="1259">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4"/>
      <c r="N25" s="2434"/>
      <c r="O25" s="2434"/>
      <c r="P25" s="3385"/>
      <c r="Q25" s="528">
        <f t="shared" si="11"/>
        <v>111</v>
      </c>
      <c r="R25" s="660" t="s">
        <v>14</v>
      </c>
      <c r="S25" s="661">
        <f>F25</f>
        <v>100</v>
      </c>
      <c r="T25" s="660" t="s">
        <v>14</v>
      </c>
      <c r="U25" s="661">
        <f>H25</f>
        <v>100</v>
      </c>
      <c r="V25" s="660" t="s">
        <v>14</v>
      </c>
      <c r="W25" s="661">
        <f>J25</f>
        <v>100</v>
      </c>
      <c r="X25" s="662"/>
      <c r="Y25" s="3385"/>
      <c r="Z25" s="50">
        <f>Q25</f>
        <v>111</v>
      </c>
      <c r="AA25" s="1259">
        <f>D25/F25</f>
        <v>1</v>
      </c>
      <c r="AB25" s="1259">
        <f>D25/H25</f>
        <v>1</v>
      </c>
      <c r="AC25" s="1259">
        <f>D25/J25</f>
        <v>1</v>
      </c>
    </row>
    <row r="26" spans="1:29" ht="28.5">
      <c r="A26" s="572" t="s">
        <v>1694</v>
      </c>
      <c r="B26" s="59" t="s">
        <v>1836</v>
      </c>
      <c r="C26" s="1815"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386" t="s">
        <v>1696</v>
      </c>
      <c r="Q26" s="1258" t="str">
        <f t="shared" si="11"/>
        <v>配套类型</v>
      </c>
      <c r="R26" s="663" t="s">
        <v>14</v>
      </c>
      <c r="S26" s="664">
        <f t="shared" ref="S26:S36" si="12">F26</f>
        <v>0</v>
      </c>
      <c r="T26" s="663" t="s">
        <v>14</v>
      </c>
      <c r="U26" s="664">
        <f t="shared" ref="U26:U36" si="13">H26</f>
        <v>0</v>
      </c>
      <c r="V26" s="663" t="s">
        <v>14</v>
      </c>
      <c r="W26" s="664">
        <f t="shared" ref="W26:W36" si="14">J26</f>
        <v>0</v>
      </c>
      <c r="X26" s="1260"/>
      <c r="Y26" s="3387" t="s">
        <v>1696</v>
      </c>
      <c r="Z26" s="1259" t="str">
        <f t="shared" ref="Z26:Z36" si="15">Q26</f>
        <v>配套类型</v>
      </c>
      <c r="AA26" s="1259" t="e">
        <f t="shared" si="3"/>
        <v>#DIV/0!</v>
      </c>
      <c r="AB26" s="1259" t="e">
        <f t="shared" si="4"/>
        <v>#DIV/0!</v>
      </c>
      <c r="AC26" s="1259"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387"/>
      <c r="Q27" s="529" t="str">
        <f t="shared" si="11"/>
        <v>项目停车位配比</v>
      </c>
      <c r="R27" s="665" t="s">
        <v>14</v>
      </c>
      <c r="S27" s="666">
        <f t="shared" si="12"/>
        <v>100</v>
      </c>
      <c r="T27" s="665" t="s">
        <v>14</v>
      </c>
      <c r="U27" s="666">
        <f t="shared" si="13"/>
        <v>100</v>
      </c>
      <c r="V27" s="665" t="s">
        <v>14</v>
      </c>
      <c r="W27" s="666">
        <f t="shared" si="14"/>
        <v>100</v>
      </c>
      <c r="X27" s="667"/>
      <c r="Y27" s="3387"/>
      <c r="Z27" s="668" t="str">
        <f t="shared" si="15"/>
        <v>项目停车位配比</v>
      </c>
      <c r="AA27" s="1259">
        <f t="shared" si="3"/>
        <v>1</v>
      </c>
      <c r="AB27" s="1259">
        <f t="shared" si="4"/>
        <v>1</v>
      </c>
      <c r="AC27" s="1259">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387"/>
      <c r="Q28" s="1258" t="str">
        <f t="shared" si="11"/>
        <v>公共部分装修</v>
      </c>
      <c r="R28" s="663" t="s">
        <v>14</v>
      </c>
      <c r="S28" s="664">
        <f t="shared" si="12"/>
        <v>100</v>
      </c>
      <c r="T28" s="663" t="s">
        <v>14</v>
      </c>
      <c r="U28" s="664">
        <f t="shared" si="13"/>
        <v>100</v>
      </c>
      <c r="V28" s="663" t="s">
        <v>14</v>
      </c>
      <c r="W28" s="664">
        <f t="shared" si="14"/>
        <v>100</v>
      </c>
      <c r="X28" s="1260"/>
      <c r="Y28" s="3387"/>
      <c r="Z28" s="1259" t="str">
        <f t="shared" si="15"/>
        <v>公共部分装修</v>
      </c>
      <c r="AA28" s="1259">
        <f t="shared" si="3"/>
        <v>1</v>
      </c>
      <c r="AB28" s="1259">
        <f t="shared" si="4"/>
        <v>1</v>
      </c>
      <c r="AC28" s="1259">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387"/>
      <c r="Q29" s="1258" t="str">
        <f t="shared" si="11"/>
        <v>成新率</v>
      </c>
      <c r="R29" s="663" t="s">
        <v>14</v>
      </c>
      <c r="S29" s="664" t="e">
        <f t="shared" si="12"/>
        <v>#N/A</v>
      </c>
      <c r="T29" s="663" t="s">
        <v>14</v>
      </c>
      <c r="U29" s="664" t="e">
        <f t="shared" si="13"/>
        <v>#N/A</v>
      </c>
      <c r="V29" s="663" t="s">
        <v>14</v>
      </c>
      <c r="W29" s="664" t="e">
        <f t="shared" si="14"/>
        <v>#N/A</v>
      </c>
      <c r="X29" s="1260"/>
      <c r="Y29" s="3387"/>
      <c r="Z29" s="1259" t="str">
        <f t="shared" si="15"/>
        <v>成新率</v>
      </c>
      <c r="AA29" s="1259" t="e">
        <f t="shared" si="3"/>
        <v>#N/A</v>
      </c>
      <c r="AB29" s="1259" t="e">
        <f t="shared" si="4"/>
        <v>#N/A</v>
      </c>
      <c r="AC29" s="1259"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387"/>
      <c r="Q30" s="1258" t="str">
        <f t="shared" si="11"/>
        <v>物业等级</v>
      </c>
      <c r="R30" s="663" t="s">
        <v>14</v>
      </c>
      <c r="S30" s="664">
        <f t="shared" si="12"/>
        <v>100</v>
      </c>
      <c r="T30" s="663" t="s">
        <v>14</v>
      </c>
      <c r="U30" s="664">
        <f t="shared" si="13"/>
        <v>100</v>
      </c>
      <c r="V30" s="663" t="s">
        <v>14</v>
      </c>
      <c r="W30" s="664">
        <f t="shared" si="14"/>
        <v>100</v>
      </c>
      <c r="X30" s="1260"/>
      <c r="Y30" s="3387"/>
      <c r="Z30" s="1259" t="str">
        <f t="shared" si="15"/>
        <v>物业等级</v>
      </c>
      <c r="AA30" s="1259">
        <f t="shared" si="3"/>
        <v>1</v>
      </c>
      <c r="AB30" s="1259">
        <f t="shared" si="4"/>
        <v>1</v>
      </c>
      <c r="AC30" s="1259">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4"/>
      <c r="N31" s="2434"/>
      <c r="O31" s="2434"/>
      <c r="P31" s="3387"/>
      <c r="Q31" s="528" t="str">
        <f t="shared" si="11"/>
        <v>停车位面积</v>
      </c>
      <c r="R31" s="660" t="s">
        <v>14</v>
      </c>
      <c r="S31" s="661" t="e">
        <f t="shared" si="12"/>
        <v>#N/A</v>
      </c>
      <c r="T31" s="660" t="s">
        <v>14</v>
      </c>
      <c r="U31" s="661" t="e">
        <f t="shared" si="13"/>
        <v>#N/A</v>
      </c>
      <c r="V31" s="660" t="s">
        <v>14</v>
      </c>
      <c r="W31" s="661" t="e">
        <f t="shared" si="14"/>
        <v>#N/A</v>
      </c>
      <c r="X31" s="662"/>
      <c r="Y31" s="3387"/>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387" t="s">
        <v>1696</v>
      </c>
      <c r="Q32" s="1258" t="str">
        <f t="shared" si="11"/>
        <v>车位类型</v>
      </c>
      <c r="R32" s="663" t="s">
        <v>14</v>
      </c>
      <c r="S32" s="664">
        <f t="shared" si="12"/>
        <v>100</v>
      </c>
      <c r="T32" s="663" t="s">
        <v>14</v>
      </c>
      <c r="U32" s="664">
        <f t="shared" si="13"/>
        <v>100</v>
      </c>
      <c r="V32" s="663" t="s">
        <v>14</v>
      </c>
      <c r="W32" s="664">
        <f t="shared" si="14"/>
        <v>100</v>
      </c>
      <c r="X32" s="1260"/>
      <c r="Y32" s="3387"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387"/>
      <c r="Q33" s="1258" t="str">
        <f t="shared" si="11"/>
        <v>是否直接入户</v>
      </c>
      <c r="R33" s="663" t="s">
        <v>14</v>
      </c>
      <c r="S33" s="664">
        <f t="shared" si="12"/>
        <v>100</v>
      </c>
      <c r="T33" s="663" t="s">
        <v>14</v>
      </c>
      <c r="U33" s="664">
        <f t="shared" si="13"/>
        <v>100</v>
      </c>
      <c r="V33" s="663" t="s">
        <v>14</v>
      </c>
      <c r="W33" s="664">
        <f t="shared" si="14"/>
        <v>100</v>
      </c>
      <c r="X33" s="1260"/>
      <c r="Y33" s="3387"/>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387"/>
      <c r="Q34" s="1258">
        <f t="shared" si="11"/>
        <v>111</v>
      </c>
      <c r="R34" s="663" t="s">
        <v>14</v>
      </c>
      <c r="S34" s="664">
        <f t="shared" si="12"/>
        <v>100</v>
      </c>
      <c r="T34" s="663" t="s">
        <v>14</v>
      </c>
      <c r="U34" s="664">
        <f t="shared" si="13"/>
        <v>100</v>
      </c>
      <c r="V34" s="663" t="s">
        <v>14</v>
      </c>
      <c r="W34" s="664">
        <f t="shared" si="14"/>
        <v>100</v>
      </c>
      <c r="X34" s="1260"/>
      <c r="Y34" s="3387"/>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387"/>
      <c r="Q35" s="529">
        <f t="shared" si="11"/>
        <v>111</v>
      </c>
      <c r="R35" s="665" t="s">
        <v>14</v>
      </c>
      <c r="S35" s="666">
        <f t="shared" si="12"/>
        <v>100</v>
      </c>
      <c r="T35" s="665" t="s">
        <v>14</v>
      </c>
      <c r="U35" s="666">
        <f t="shared" si="13"/>
        <v>100</v>
      </c>
      <c r="V35" s="665" t="s">
        <v>14</v>
      </c>
      <c r="W35" s="666">
        <f t="shared" si="14"/>
        <v>100</v>
      </c>
      <c r="X35" s="667"/>
      <c r="Y35" s="3387"/>
      <c r="Z35" s="668">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387"/>
      <c r="Q36" s="1258">
        <f t="shared" si="11"/>
        <v>111</v>
      </c>
      <c r="R36" s="663" t="s">
        <v>14</v>
      </c>
      <c r="S36" s="664">
        <f t="shared" si="12"/>
        <v>100</v>
      </c>
      <c r="T36" s="663" t="s">
        <v>14</v>
      </c>
      <c r="U36" s="664">
        <f t="shared" si="13"/>
        <v>100</v>
      </c>
      <c r="V36" s="663" t="s">
        <v>14</v>
      </c>
      <c r="W36" s="664">
        <f t="shared" si="14"/>
        <v>100</v>
      </c>
      <c r="X36" s="1260"/>
      <c r="Y36" s="3387"/>
      <c r="Z36" s="1259">
        <f t="shared" si="15"/>
        <v>111</v>
      </c>
      <c r="AA36" s="1259">
        <f t="shared" si="3"/>
        <v>1</v>
      </c>
      <c r="AB36" s="1259">
        <f t="shared" si="4"/>
        <v>1</v>
      </c>
      <c r="AC36" s="1259">
        <f t="shared" si="5"/>
        <v>1</v>
      </c>
    </row>
    <row r="37" spans="1:29" ht="15">
      <c r="A37" s="414" t="s">
        <v>1844</v>
      </c>
      <c r="B37" s="1816" t="s">
        <v>3352</v>
      </c>
      <c r="C37" s="1077" t="s">
        <v>0</v>
      </c>
      <c r="D37" s="416"/>
      <c r="E37" s="417"/>
      <c r="F37" s="418"/>
      <c r="G37" s="419"/>
      <c r="H37" s="420"/>
      <c r="I37" s="417"/>
      <c r="J37" s="420"/>
      <c r="K37" s="543"/>
      <c r="L37" s="2488"/>
      <c r="M37" s="2481"/>
      <c r="N37" s="2481"/>
      <c r="O37" s="2481"/>
      <c r="P37" s="3383" t="str">
        <f>A37</f>
        <v>成交单价</v>
      </c>
      <c r="Q37" s="3383"/>
      <c r="R37" s="3388">
        <f>E37</f>
        <v>0</v>
      </c>
      <c r="S37" s="3388"/>
      <c r="T37" s="3388">
        <f>G37</f>
        <v>0</v>
      </c>
      <c r="U37" s="3388"/>
      <c r="V37" s="3388">
        <f>I37</f>
        <v>0</v>
      </c>
      <c r="W37" s="3388"/>
      <c r="X37" s="383"/>
      <c r="Y37" s="669"/>
      <c r="Z37" s="383"/>
      <c r="AA37" s="383"/>
      <c r="AB37" s="383"/>
      <c r="AC37" s="383"/>
    </row>
    <row r="38" spans="1:29" ht="15.75" thickBot="1">
      <c r="A38" s="421" t="s">
        <v>1845</v>
      </c>
      <c r="B38" s="422" t="str">
        <f>B37</f>
        <v>元/平方米</v>
      </c>
      <c r="C38" s="1078" t="e">
        <f>R39</f>
        <v>#DIV/0!</v>
      </c>
      <c r="D38" s="2136" t="s">
        <v>2138</v>
      </c>
      <c r="E38" s="1079" t="e">
        <f>R38</f>
        <v>#DIV/0!</v>
      </c>
      <c r="F38" s="2137"/>
      <c r="G38" s="1078" t="e">
        <f>T38</f>
        <v>#DIV/0!</v>
      </c>
      <c r="H38" s="2137"/>
      <c r="I38" s="1079" t="e">
        <f>V38</f>
        <v>#DIV/0!</v>
      </c>
      <c r="J38" s="2137"/>
      <c r="K38" s="2139">
        <f>F38+H38+J38</f>
        <v>0</v>
      </c>
      <c r="L38" s="2488"/>
      <c r="M38" s="2481"/>
      <c r="N38" s="2481"/>
      <c r="O38" s="2481"/>
      <c r="P38" s="3383" t="str">
        <f>A38</f>
        <v>比较价值（元/平方米）</v>
      </c>
      <c r="Q38" s="3383"/>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8"/>
      <c r="M39" s="2481"/>
      <c r="N39" s="2481"/>
      <c r="O39" s="2481"/>
      <c r="P39" s="3377" t="str">
        <f>A39</f>
        <v>估价对象XX用房的比较价值（楼面单价，元/平方米）</v>
      </c>
      <c r="Q39" s="3378"/>
      <c r="R39" s="3469" t="e">
        <f>IF(F1="售价",ROUND(IF(D38="简单平均",AVERAGE(R38:W38),R38*F38+T38*H38+V38*J38),0),ROUND(IF(D38="简单平均",AVERAGE(R38:V38),R38*F38+T38*H38+V38*J38),1))</f>
        <v>#DIV/0!</v>
      </c>
      <c r="S39" s="3469"/>
      <c r="T39" s="3469"/>
      <c r="U39" s="3469"/>
      <c r="V39" s="3469"/>
      <c r="W39" s="3469"/>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3" t="s">
        <v>1850</v>
      </c>
      <c r="B47" s="857"/>
      <c r="C47" s="882"/>
      <c r="D47" s="882"/>
      <c r="E47" s="882"/>
      <c r="F47" s="1084"/>
      <c r="G47" s="1084"/>
      <c r="H47" s="882"/>
      <c r="I47" s="882"/>
      <c r="J47" s="882"/>
      <c r="K47" s="883"/>
      <c r="L47" s="884"/>
      <c r="M47" s="882"/>
      <c r="N47" s="2531"/>
      <c r="O47" s="2531"/>
      <c r="P47" s="2520"/>
      <c r="Q47" s="2502"/>
      <c r="R47" s="2481"/>
      <c r="S47" s="2481"/>
      <c r="T47" s="2481"/>
      <c r="U47" s="2481"/>
      <c r="V47" s="2481"/>
      <c r="W47" s="2481"/>
      <c r="X47" s="2481"/>
      <c r="Y47" s="2481"/>
      <c r="Z47" s="2481"/>
      <c r="AA47" s="2481"/>
      <c r="AB47" s="2481"/>
      <c r="AC47" s="2481"/>
    </row>
    <row r="48" spans="1:29" s="440" customFormat="1" ht="15">
      <c r="A48" s="438" t="s">
        <v>1851</v>
      </c>
      <c r="B48" s="439"/>
      <c r="C48" s="1098" t="str">
        <f>YEAR(C7)&amp;"-"&amp;MONTH(C7)</f>
        <v>2024-11</v>
      </c>
      <c r="D48" s="1099">
        <f>EDATE(C48,-1)</f>
        <v>45566</v>
      </c>
      <c r="E48" s="1099">
        <f t="shared" ref="E48:O48" si="16">EDATE(D48,-1)</f>
        <v>45536</v>
      </c>
      <c r="F48" s="1099">
        <f t="shared" si="16"/>
        <v>45505</v>
      </c>
      <c r="G48" s="1099">
        <f t="shared" si="16"/>
        <v>45474</v>
      </c>
      <c r="H48" s="1099">
        <f t="shared" si="16"/>
        <v>45444</v>
      </c>
      <c r="I48" s="1099">
        <f t="shared" si="16"/>
        <v>45413</v>
      </c>
      <c r="J48" s="1099">
        <f t="shared" si="16"/>
        <v>45383</v>
      </c>
      <c r="K48" s="1099">
        <f t="shared" si="16"/>
        <v>45352</v>
      </c>
      <c r="L48" s="1099">
        <f t="shared" si="16"/>
        <v>45323</v>
      </c>
      <c r="M48" s="1099">
        <f t="shared" si="16"/>
        <v>45292</v>
      </c>
      <c r="N48" s="1099">
        <f t="shared" si="16"/>
        <v>45261</v>
      </c>
      <c r="O48" s="1099">
        <f t="shared" si="16"/>
        <v>45231</v>
      </c>
      <c r="P48" s="2521"/>
      <c r="Q48" s="2504"/>
      <c r="R48" s="2504"/>
      <c r="S48" s="2504"/>
      <c r="T48" s="2504"/>
      <c r="U48" s="2504"/>
      <c r="V48" s="2504"/>
      <c r="W48" s="2504"/>
      <c r="X48" s="2504"/>
      <c r="Y48" s="2504"/>
      <c r="Z48" s="2504"/>
      <c r="AA48" s="2504"/>
      <c r="AB48" s="2504"/>
      <c r="AC48" s="2504"/>
    </row>
    <row r="49" spans="1:29" s="101" customFormat="1" ht="15">
      <c r="A49" s="441"/>
      <c r="B49" s="442"/>
      <c r="C49" s="1093">
        <v>100</v>
      </c>
      <c r="D49" s="444"/>
      <c r="E49" s="444"/>
      <c r="F49" s="444"/>
      <c r="G49" s="444"/>
      <c r="H49" s="444"/>
      <c r="I49" s="444"/>
      <c r="J49" s="444"/>
      <c r="K49" s="444"/>
      <c r="L49" s="444"/>
      <c r="M49" s="445"/>
      <c r="N49" s="444"/>
      <c r="O49" s="445"/>
      <c r="P49" s="2522"/>
      <c r="Q49" s="2434"/>
      <c r="R49" s="2434"/>
      <c r="S49" s="2434"/>
      <c r="T49" s="2434"/>
      <c r="U49" s="2434"/>
      <c r="V49" s="2434"/>
      <c r="W49" s="2434"/>
      <c r="X49" s="2434"/>
      <c r="Y49" s="2434"/>
      <c r="Z49" s="2434"/>
      <c r="AA49" s="2434"/>
      <c r="AB49" s="2434"/>
      <c r="AC49" s="2434"/>
    </row>
    <row r="50" spans="1:29" s="101" customFormat="1" ht="15.75" thickBot="1">
      <c r="A50" s="447" t="s">
        <v>1716</v>
      </c>
      <c r="B50" s="448"/>
      <c r="C50" s="449"/>
      <c r="D50" s="450"/>
      <c r="E50" s="450"/>
      <c r="F50" s="450"/>
      <c r="G50" s="450"/>
      <c r="H50" s="450"/>
      <c r="I50" s="450"/>
      <c r="J50" s="450"/>
      <c r="K50" s="450"/>
      <c r="L50" s="450"/>
      <c r="M50" s="451"/>
      <c r="N50" s="450"/>
      <c r="O50" s="451"/>
      <c r="P50" s="2522"/>
      <c r="Q50" s="2502"/>
      <c r="R50" s="2434"/>
      <c r="S50" s="2434"/>
      <c r="T50" s="2434"/>
      <c r="U50" s="2434"/>
      <c r="V50" s="2434"/>
      <c r="W50" s="2434"/>
      <c r="X50" s="2434"/>
      <c r="Y50" s="2434"/>
      <c r="Z50" s="2434"/>
      <c r="AA50" s="2434"/>
      <c r="AB50" s="2434"/>
      <c r="AC50" s="2434"/>
    </row>
    <row r="51" spans="1:29" s="101" customFormat="1" ht="15">
      <c r="A51" s="453" t="s">
        <v>1681</v>
      </c>
      <c r="B51" s="442"/>
      <c r="C51" s="454" t="s">
        <v>1776</v>
      </c>
      <c r="D51" s="31"/>
      <c r="E51" s="31"/>
      <c r="F51" s="31"/>
      <c r="G51" s="31"/>
      <c r="H51" s="31"/>
      <c r="I51" s="31"/>
      <c r="J51" s="31"/>
      <c r="K51" s="31"/>
      <c r="L51" s="455"/>
      <c r="M51" s="456"/>
      <c r="N51" s="2514"/>
      <c r="O51" s="2514"/>
      <c r="P51" s="2523"/>
      <c r="Q51" s="2502"/>
      <c r="R51" s="2434"/>
      <c r="S51" s="2434"/>
      <c r="T51" s="2434"/>
      <c r="U51" s="2434"/>
      <c r="V51" s="2434"/>
      <c r="W51" s="2434"/>
      <c r="X51" s="2434"/>
      <c r="Y51" s="2434"/>
      <c r="Z51" s="2434"/>
      <c r="AA51" s="2434"/>
      <c r="AB51" s="2434"/>
      <c r="AC51" s="2434"/>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4"/>
      <c r="S52" s="2434"/>
      <c r="T52" s="2434"/>
      <c r="U52" s="2434"/>
      <c r="V52" s="2434"/>
      <c r="W52" s="2434"/>
      <c r="X52" s="2434"/>
      <c r="Y52" s="2434"/>
      <c r="Z52" s="2434"/>
      <c r="AA52" s="2434"/>
      <c r="AB52" s="2434"/>
      <c r="AC52" s="2434"/>
    </row>
    <row r="53" spans="1:29">
      <c r="A53" s="377" t="s">
        <v>1719</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1727</v>
      </c>
      <c r="C65" s="507" t="s">
        <v>1721</v>
      </c>
      <c r="D65" s="507" t="s">
        <v>1722</v>
      </c>
      <c r="E65" s="507" t="s">
        <v>1723</v>
      </c>
      <c r="F65" s="507" t="s">
        <v>1724</v>
      </c>
      <c r="G65" s="507" t="s">
        <v>1725</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1813</v>
      </c>
      <c r="C67" s="579" t="s">
        <v>1799</v>
      </c>
      <c r="D67" s="579" t="s">
        <v>1800</v>
      </c>
      <c r="E67" s="579" t="s">
        <v>1801</v>
      </c>
      <c r="F67" s="579" t="s">
        <v>1802</v>
      </c>
      <c r="G67" s="579" t="s">
        <v>1803</v>
      </c>
      <c r="H67" s="468"/>
      <c r="I67" s="468"/>
      <c r="J67" s="468"/>
      <c r="K67" s="468"/>
      <c r="L67" s="468"/>
      <c r="M67" s="1059"/>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1733</v>
      </c>
      <c r="C69" s="507" t="s">
        <v>1721</v>
      </c>
      <c r="D69" s="507" t="s">
        <v>1722</v>
      </c>
      <c r="E69" s="507" t="s">
        <v>1723</v>
      </c>
      <c r="F69" s="507" t="s">
        <v>1724</v>
      </c>
      <c r="G69" s="507" t="s">
        <v>1725</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1852</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4"/>
      <c r="S73" s="2434"/>
      <c r="T73" s="2434"/>
      <c r="U73" s="2434"/>
      <c r="V73" s="2434"/>
      <c r="W73" s="2434"/>
      <c r="X73" s="2434"/>
      <c r="Y73" s="2434"/>
      <c r="Z73" s="2434"/>
      <c r="AA73" s="2434"/>
      <c r="AB73" s="2434"/>
      <c r="AC73" s="2434"/>
    </row>
    <row r="74" spans="1:29" s="101" customFormat="1" ht="15.75" thickBot="1">
      <c r="A74" s="368"/>
      <c r="B74" s="472"/>
      <c r="C74" s="489"/>
      <c r="D74" s="465"/>
      <c r="E74" s="465"/>
      <c r="F74" s="465"/>
      <c r="G74" s="465"/>
      <c r="H74" s="465"/>
      <c r="I74" s="465"/>
      <c r="J74" s="465"/>
      <c r="K74" s="465"/>
      <c r="L74" s="465"/>
      <c r="M74" s="466"/>
      <c r="N74" s="2516"/>
      <c r="O74" s="2516"/>
      <c r="P74" s="2524"/>
      <c r="Q74" s="2502"/>
      <c r="R74" s="2434"/>
      <c r="S74" s="2434"/>
      <c r="T74" s="2434"/>
      <c r="U74" s="2434"/>
      <c r="V74" s="2434"/>
      <c r="W74" s="2434"/>
      <c r="X74" s="2434"/>
      <c r="Y74" s="2434"/>
      <c r="Z74" s="2434"/>
      <c r="AA74" s="2434"/>
      <c r="AB74" s="2434"/>
      <c r="AC74" s="2434"/>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4"/>
      <c r="S75" s="2434"/>
      <c r="T75" s="2434"/>
      <c r="U75" s="2434"/>
      <c r="V75" s="2434"/>
      <c r="W75" s="2434"/>
      <c r="X75" s="2434"/>
      <c r="Y75" s="2434"/>
      <c r="Z75" s="2434"/>
      <c r="AA75" s="2434"/>
      <c r="AB75" s="2434"/>
      <c r="AC75" s="2434"/>
    </row>
    <row r="76" spans="1:29" s="101" customFormat="1" ht="15.75" thickBot="1">
      <c r="A76" s="368"/>
      <c r="B76" s="472"/>
      <c r="C76" s="489"/>
      <c r="D76" s="465"/>
      <c r="E76" s="465"/>
      <c r="F76" s="465"/>
      <c r="G76" s="465"/>
      <c r="H76" s="465"/>
      <c r="I76" s="465"/>
      <c r="J76" s="465"/>
      <c r="K76" s="465"/>
      <c r="L76" s="465"/>
      <c r="M76" s="466"/>
      <c r="N76" s="2516"/>
      <c r="O76" s="2516"/>
      <c r="P76" s="2524"/>
      <c r="Q76" s="2502"/>
      <c r="R76" s="2434"/>
      <c r="S76" s="2434"/>
      <c r="T76" s="2434"/>
      <c r="U76" s="2434"/>
      <c r="V76" s="2434"/>
      <c r="W76" s="2434"/>
      <c r="X76" s="2434"/>
      <c r="Y76" s="2434"/>
      <c r="Z76" s="2434"/>
      <c r="AA76" s="2434"/>
      <c r="AB76" s="2434"/>
      <c r="AC76" s="2434"/>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1853</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1740</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1856</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1858</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1859</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3332</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1"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395" t="s">
        <v>1775</v>
      </c>
      <c r="Q4" s="3396"/>
      <c r="R4" s="3401" t="s">
        <v>1771</v>
      </c>
      <c r="S4" s="3402"/>
      <c r="T4" s="3401" t="s">
        <v>1772</v>
      </c>
      <c r="U4" s="3402"/>
      <c r="V4" s="3388" t="s">
        <v>1773</v>
      </c>
      <c r="W4" s="3388"/>
      <c r="X4" s="1260"/>
      <c r="Y4" s="3401" t="s">
        <v>1775</v>
      </c>
      <c r="Z4" s="3402"/>
      <c r="AA4" s="3389" t="s">
        <v>1771</v>
      </c>
      <c r="AB4" s="3390" t="s">
        <v>1772</v>
      </c>
      <c r="AC4" s="3389" t="s">
        <v>1773</v>
      </c>
    </row>
    <row r="5" spans="1:29" ht="15">
      <c r="A5" s="346"/>
      <c r="B5" s="347"/>
      <c r="C5" s="3409" t="s">
        <v>1673</v>
      </c>
      <c r="D5" s="3410"/>
      <c r="E5" s="3416" t="s">
        <v>1674</v>
      </c>
      <c r="F5" s="3417"/>
      <c r="G5" s="3409" t="s">
        <v>1675</v>
      </c>
      <c r="H5" s="3410"/>
      <c r="I5" s="3409" t="s">
        <v>1676</v>
      </c>
      <c r="J5" s="3410"/>
      <c r="K5" s="535"/>
      <c r="L5" s="2480"/>
      <c r="M5" s="2481"/>
      <c r="N5" s="2481"/>
      <c r="O5" s="2481"/>
      <c r="P5" s="3397"/>
      <c r="Q5" s="3398"/>
      <c r="R5" s="3403"/>
      <c r="S5" s="3404"/>
      <c r="T5" s="3403"/>
      <c r="U5" s="3404"/>
      <c r="V5" s="3388"/>
      <c r="W5" s="3388"/>
      <c r="X5" s="1260"/>
      <c r="Y5" s="3403"/>
      <c r="Z5" s="3404"/>
      <c r="AA5" s="3390"/>
      <c r="AB5" s="3390"/>
      <c r="AC5" s="3390"/>
    </row>
    <row r="6" spans="1:29" ht="15.75" thickBot="1">
      <c r="A6" s="348"/>
      <c r="B6" s="349"/>
      <c r="C6" s="3407" t="s">
        <v>1677</v>
      </c>
      <c r="D6" s="3408"/>
      <c r="E6" s="3414" t="s">
        <v>1677</v>
      </c>
      <c r="F6" s="3415"/>
      <c r="G6" s="3407" t="s">
        <v>1677</v>
      </c>
      <c r="H6" s="3408"/>
      <c r="I6" s="3407" t="s">
        <v>1677</v>
      </c>
      <c r="J6" s="3408"/>
      <c r="K6" s="535" t="s">
        <v>1678</v>
      </c>
      <c r="L6" s="2480"/>
      <c r="M6" s="2481"/>
      <c r="N6" s="2481"/>
      <c r="O6" s="2481"/>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c r="F7" s="355">
        <f>SUMIF(46:46,YEAR(E7)&amp;"-"&amp;MONTH(E7),47:47)</f>
        <v>0</v>
      </c>
      <c r="G7" s="1817"/>
      <c r="H7" s="353">
        <f>SUMIF(46:46,YEAR(G7)&amp;"-"&amp;MONTH(G7),47:47)</f>
        <v>0</v>
      </c>
      <c r="I7" s="354"/>
      <c r="J7" s="353">
        <f>SUMIF(46:46,YEAR(I7)&amp;"-"&amp;MONTH(I7),47:47)</f>
        <v>0</v>
      </c>
      <c r="K7" s="38"/>
      <c r="L7" s="2482"/>
      <c r="M7" s="2434"/>
      <c r="N7" s="2434"/>
      <c r="O7" s="2434"/>
      <c r="P7" s="3411" t="s">
        <v>1680</v>
      </c>
      <c r="Q7" s="3413"/>
      <c r="R7" s="660" t="s">
        <v>14</v>
      </c>
      <c r="S7" s="661">
        <f t="shared" ref="S7:S14" si="0">F7</f>
        <v>0</v>
      </c>
      <c r="T7" s="660" t="s">
        <v>14</v>
      </c>
      <c r="U7" s="661">
        <f t="shared" ref="U7:U14" si="1">H7</f>
        <v>0</v>
      </c>
      <c r="V7" s="660" t="s">
        <v>14</v>
      </c>
      <c r="W7" s="661">
        <f t="shared" ref="W7:W14" si="2">J7</f>
        <v>0</v>
      </c>
      <c r="X7" s="662"/>
      <c r="Y7" s="3411" t="s">
        <v>1680</v>
      </c>
      <c r="Z7" s="3412"/>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4"/>
      <c r="N8" s="2434"/>
      <c r="O8" s="2434"/>
      <c r="P8" s="3411" t="s">
        <v>1683</v>
      </c>
      <c r="Q8" s="3412"/>
      <c r="R8" s="660" t="s">
        <v>14</v>
      </c>
      <c r="S8" s="661">
        <f t="shared" si="0"/>
        <v>100</v>
      </c>
      <c r="T8" s="660" t="s">
        <v>14</v>
      </c>
      <c r="U8" s="661">
        <f t="shared" si="1"/>
        <v>100</v>
      </c>
      <c r="V8" s="660" t="s">
        <v>14</v>
      </c>
      <c r="W8" s="661">
        <f t="shared" si="2"/>
        <v>100</v>
      </c>
      <c r="X8" s="662"/>
      <c r="Y8" s="3411" t="s">
        <v>1683</v>
      </c>
      <c r="Z8" s="3412"/>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4"/>
      <c r="N9" s="2434"/>
      <c r="O9" s="2534"/>
      <c r="P9" s="3383" t="s">
        <v>1686</v>
      </c>
      <c r="Q9" s="528" t="str">
        <f t="shared" ref="Q9:Q14" si="6">B9</f>
        <v>用途</v>
      </c>
      <c r="R9" s="660" t="s">
        <v>14</v>
      </c>
      <c r="S9" s="661">
        <f t="shared" si="0"/>
        <v>100</v>
      </c>
      <c r="T9" s="660" t="s">
        <v>14</v>
      </c>
      <c r="U9" s="661">
        <f t="shared" si="1"/>
        <v>100</v>
      </c>
      <c r="V9" s="660" t="s">
        <v>14</v>
      </c>
      <c r="W9" s="661">
        <f t="shared" si="2"/>
        <v>100</v>
      </c>
      <c r="X9" s="662"/>
      <c r="Y9" s="3283" t="s">
        <v>1687</v>
      </c>
      <c r="Z9" s="50" t="str">
        <f t="shared" ref="Z9:Z14" si="7">Q9</f>
        <v>用途</v>
      </c>
      <c r="AA9" s="50">
        <f t="shared" si="3"/>
        <v>1</v>
      </c>
      <c r="AB9" s="50">
        <f t="shared" si="4"/>
        <v>1</v>
      </c>
      <c r="AC9" s="50">
        <f t="shared" si="5"/>
        <v>1</v>
      </c>
    </row>
    <row r="10" spans="1:29" s="364" customFormat="1" ht="27">
      <c r="A10" s="361"/>
      <c r="B10" s="362" t="s">
        <v>1688</v>
      </c>
      <c r="C10" s="3126"/>
      <c r="D10" s="117">
        <v>100</v>
      </c>
      <c r="E10" s="3126"/>
      <c r="F10" s="362">
        <f>SUMIF(53:53,E10,54:54)-SUMIF(53:53,C10,54:54)+100</f>
        <v>100</v>
      </c>
      <c r="G10" s="3126"/>
      <c r="H10" s="117">
        <f>SUMIF(53:53,G10,54:54)-SUMIF(53:53,C10,54:54)+100</f>
        <v>100</v>
      </c>
      <c r="I10" s="3126"/>
      <c r="J10" s="117">
        <f>SUMIF(53:53,I10,54:54)-SUMIF(53:53,C10,54:54)+100</f>
        <v>100</v>
      </c>
      <c r="K10" s="38"/>
      <c r="L10" s="2483"/>
      <c r="M10" s="2484"/>
      <c r="N10" s="2484"/>
      <c r="O10" s="2535"/>
      <c r="P10" s="3383"/>
      <c r="Q10" s="528" t="str">
        <f t="shared" si="6"/>
        <v>土地使用年限（年）</v>
      </c>
      <c r="R10" s="660" t="s">
        <v>14</v>
      </c>
      <c r="S10" s="661">
        <f t="shared" si="0"/>
        <v>100</v>
      </c>
      <c r="T10" s="660" t="s">
        <v>14</v>
      </c>
      <c r="U10" s="661">
        <f t="shared" si="1"/>
        <v>100</v>
      </c>
      <c r="V10" s="660" t="s">
        <v>14</v>
      </c>
      <c r="W10" s="661">
        <f t="shared" si="2"/>
        <v>100</v>
      </c>
      <c r="X10" s="662"/>
      <c r="Y10" s="3283"/>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383"/>
      <c r="Q11" s="528">
        <f t="shared" si="6"/>
        <v>111</v>
      </c>
      <c r="R11" s="660" t="s">
        <v>14</v>
      </c>
      <c r="S11" s="661">
        <f t="shared" si="0"/>
        <v>100</v>
      </c>
      <c r="T11" s="660" t="s">
        <v>14</v>
      </c>
      <c r="U11" s="661">
        <f t="shared" si="1"/>
        <v>100</v>
      </c>
      <c r="V11" s="660" t="s">
        <v>14</v>
      </c>
      <c r="W11" s="661">
        <f t="shared" si="2"/>
        <v>100</v>
      </c>
      <c r="X11" s="662"/>
      <c r="Y11" s="3283"/>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4"/>
      <c r="N12" s="2434"/>
      <c r="O12" s="2534"/>
      <c r="P12" s="3383"/>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8"/>
      <c r="H13" s="375">
        <f>SUMIF(59:59,G13,60:60)-SUMIF(59:59,C13,60:60)+100</f>
        <v>100</v>
      </c>
      <c r="I13" s="405"/>
      <c r="J13" s="372">
        <f>SUMIF(59:59,I13,60:60)-SUMIF(59:59,C13,60:60)+100</f>
        <v>100</v>
      </c>
      <c r="K13" s="537"/>
      <c r="L13" s="2486"/>
      <c r="M13" s="2481"/>
      <c r="N13" s="2481"/>
      <c r="O13" s="2536"/>
      <c r="P13" s="3383"/>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50">
        <f t="shared" si="5"/>
        <v>1</v>
      </c>
    </row>
    <row r="14" spans="1:29" ht="85.5">
      <c r="A14" s="377" t="s">
        <v>1690</v>
      </c>
      <c r="B14" s="58" t="s">
        <v>1833</v>
      </c>
      <c r="C14" s="1814"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384" t="s">
        <v>1691</v>
      </c>
      <c r="Q14" s="1258" t="str">
        <f t="shared" si="6"/>
        <v>交通便捷度</v>
      </c>
      <c r="R14" s="663" t="s">
        <v>14</v>
      </c>
      <c r="S14" s="664">
        <f t="shared" si="0"/>
        <v>100</v>
      </c>
      <c r="T14" s="663" t="s">
        <v>14</v>
      </c>
      <c r="U14" s="664">
        <f t="shared" si="1"/>
        <v>100</v>
      </c>
      <c r="V14" s="663" t="s">
        <v>14</v>
      </c>
      <c r="W14" s="664">
        <f t="shared" si="2"/>
        <v>100</v>
      </c>
      <c r="X14" s="1260"/>
      <c r="Y14" s="3384"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6"/>
      <c r="M15" s="2481"/>
      <c r="N15" s="2481"/>
      <c r="O15" s="2536"/>
      <c r="P15" s="3385"/>
      <c r="Q15" s="1258"/>
      <c r="R15" s="663"/>
      <c r="S15" s="664"/>
      <c r="T15" s="663"/>
      <c r="U15" s="664"/>
      <c r="V15" s="663"/>
      <c r="W15" s="664"/>
      <c r="X15" s="1260"/>
      <c r="Y15" s="3385"/>
      <c r="Z15" s="1259"/>
      <c r="AA15" s="1259">
        <v>1</v>
      </c>
      <c r="AB15" s="1259">
        <v>1</v>
      </c>
      <c r="AC15" s="1259">
        <v>1</v>
      </c>
    </row>
    <row r="16" spans="1:29" ht="42.75">
      <c r="A16" s="365"/>
      <c r="B16" s="388" t="s">
        <v>1812</v>
      </c>
      <c r="C16" s="1749"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385"/>
      <c r="Q16" s="1258" t="str">
        <f>B16</f>
        <v>公共配套设施</v>
      </c>
      <c r="R16" s="663" t="s">
        <v>14</v>
      </c>
      <c r="S16" s="664">
        <f>F16</f>
        <v>100</v>
      </c>
      <c r="T16" s="663" t="s">
        <v>14</v>
      </c>
      <c r="U16" s="664">
        <f>H16</f>
        <v>100</v>
      </c>
      <c r="V16" s="663" t="s">
        <v>14</v>
      </c>
      <c r="W16" s="664">
        <f>J16</f>
        <v>100</v>
      </c>
      <c r="X16" s="1260"/>
      <c r="Y16" s="3385"/>
      <c r="Z16" s="1259" t="str">
        <f>Q16</f>
        <v>公共配套设施</v>
      </c>
      <c r="AA16" s="1259">
        <f t="shared" si="3"/>
        <v>1</v>
      </c>
      <c r="AB16" s="1259">
        <f t="shared" si="4"/>
        <v>1</v>
      </c>
      <c r="AC16" s="1259">
        <f t="shared" si="5"/>
        <v>1</v>
      </c>
    </row>
    <row r="17" spans="1:29" ht="15">
      <c r="A17" s="365"/>
      <c r="B17" s="393"/>
      <c r="C17" s="1750"/>
      <c r="D17" s="385"/>
      <c r="E17" s="384"/>
      <c r="F17" s="386"/>
      <c r="G17" s="384"/>
      <c r="H17" s="385"/>
      <c r="I17" s="384"/>
      <c r="J17" s="385"/>
      <c r="K17" s="539"/>
      <c r="L17" s="2486"/>
      <c r="M17" s="2481"/>
      <c r="N17" s="2481"/>
      <c r="O17" s="2536"/>
      <c r="P17" s="3385"/>
      <c r="Q17" s="1258"/>
      <c r="R17" s="663"/>
      <c r="S17" s="664"/>
      <c r="T17" s="663"/>
      <c r="U17" s="664"/>
      <c r="V17" s="663"/>
      <c r="W17" s="664"/>
      <c r="X17" s="1260"/>
      <c r="Y17" s="3385"/>
      <c r="Z17" s="1259"/>
      <c r="AA17" s="1259">
        <v>1</v>
      </c>
      <c r="AB17" s="1259">
        <v>1</v>
      </c>
      <c r="AC17" s="1259">
        <v>1</v>
      </c>
    </row>
    <row r="18" spans="1:29" ht="28.5">
      <c r="A18" s="365"/>
      <c r="B18" s="584" t="s">
        <v>1813</v>
      </c>
      <c r="C18" s="1749"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385"/>
      <c r="Q18" s="1258" t="str">
        <f>B18</f>
        <v>基础设施水平</v>
      </c>
      <c r="R18" s="663" t="s">
        <v>14</v>
      </c>
      <c r="S18" s="664">
        <f>F18</f>
        <v>100</v>
      </c>
      <c r="T18" s="663" t="s">
        <v>14</v>
      </c>
      <c r="U18" s="664">
        <f>H18</f>
        <v>100</v>
      </c>
      <c r="V18" s="663" t="s">
        <v>14</v>
      </c>
      <c r="W18" s="664">
        <f>J18</f>
        <v>100</v>
      </c>
      <c r="X18" s="1260"/>
      <c r="Y18" s="3385"/>
      <c r="Z18" s="1259" t="str">
        <f>Q18</f>
        <v>基础设施水平</v>
      </c>
      <c r="AA18" s="1259">
        <f t="shared" ref="AA18" si="8">D18/F18</f>
        <v>1</v>
      </c>
      <c r="AB18" s="1259">
        <f t="shared" ref="AB18" si="9">D18/H18</f>
        <v>1</v>
      </c>
      <c r="AC18" s="1259">
        <f t="shared" ref="AC18" si="10">D18/J18</f>
        <v>1</v>
      </c>
    </row>
    <row r="19" spans="1:29" ht="15">
      <c r="A19" s="365"/>
      <c r="B19" s="584"/>
      <c r="C19" s="1750"/>
      <c r="D19" s="387"/>
      <c r="E19" s="1750"/>
      <c r="F19" s="390"/>
      <c r="G19" s="1750"/>
      <c r="H19" s="385"/>
      <c r="I19" s="384"/>
      <c r="J19" s="385"/>
      <c r="K19" s="1060"/>
      <c r="L19" s="2486"/>
      <c r="M19" s="2481"/>
      <c r="N19" s="2481"/>
      <c r="O19" s="2536"/>
      <c r="P19" s="3385"/>
      <c r="Q19" s="1258"/>
      <c r="R19" s="663"/>
      <c r="S19" s="664"/>
      <c r="T19" s="663"/>
      <c r="U19" s="664"/>
      <c r="V19" s="663"/>
      <c r="W19" s="664"/>
      <c r="X19" s="1260"/>
      <c r="Y19" s="3385"/>
      <c r="Z19" s="1259"/>
      <c r="AA19" s="1259">
        <v>1</v>
      </c>
      <c r="AB19" s="1259">
        <v>1</v>
      </c>
      <c r="AC19" s="1259">
        <v>1</v>
      </c>
    </row>
    <row r="20" spans="1:29" ht="57">
      <c r="A20" s="365"/>
      <c r="B20" s="388" t="s">
        <v>1834</v>
      </c>
      <c r="C20" s="1749"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385"/>
      <c r="Q20" s="1258" t="str">
        <f>B20</f>
        <v>自然及人文环境</v>
      </c>
      <c r="R20" s="663" t="s">
        <v>14</v>
      </c>
      <c r="S20" s="664">
        <f>F20</f>
        <v>100</v>
      </c>
      <c r="T20" s="663" t="s">
        <v>14</v>
      </c>
      <c r="U20" s="664">
        <f>H20</f>
        <v>100</v>
      </c>
      <c r="V20" s="663" t="s">
        <v>14</v>
      </c>
      <c r="W20" s="664">
        <f>J20</f>
        <v>100</v>
      </c>
      <c r="X20" s="1260"/>
      <c r="Y20" s="3385"/>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6"/>
      <c r="M21" s="2481"/>
      <c r="N21" s="2481"/>
      <c r="O21" s="2536"/>
      <c r="P21" s="3385"/>
      <c r="Q21" s="1258"/>
      <c r="R21" s="663"/>
      <c r="S21" s="664"/>
      <c r="T21" s="663"/>
      <c r="U21" s="664"/>
      <c r="V21" s="663"/>
      <c r="W21" s="664"/>
      <c r="X21" s="1260"/>
      <c r="Y21" s="3385"/>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385"/>
      <c r="Q22" s="1258" t="str">
        <f>B22</f>
        <v>楼层</v>
      </c>
      <c r="R22" s="663" t="s">
        <v>14</v>
      </c>
      <c r="S22" s="664">
        <f>F22</f>
        <v>100</v>
      </c>
      <c r="T22" s="663" t="s">
        <v>14</v>
      </c>
      <c r="U22" s="664">
        <f>H22</f>
        <v>100</v>
      </c>
      <c r="V22" s="663" t="s">
        <v>14</v>
      </c>
      <c r="W22" s="664">
        <f>J22</f>
        <v>100</v>
      </c>
      <c r="X22" s="1260"/>
      <c r="Y22" s="3385"/>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385"/>
      <c r="Q23" s="1258">
        <f>B23</f>
        <v>111</v>
      </c>
      <c r="R23" s="663" t="s">
        <v>14</v>
      </c>
      <c r="S23" s="664">
        <f>F23</f>
        <v>100</v>
      </c>
      <c r="T23" s="663" t="s">
        <v>14</v>
      </c>
      <c r="U23" s="664">
        <f>H23</f>
        <v>100</v>
      </c>
      <c r="V23" s="663" t="s">
        <v>14</v>
      </c>
      <c r="W23" s="664">
        <f>J23</f>
        <v>100</v>
      </c>
      <c r="X23" s="1260"/>
      <c r="Y23" s="3385"/>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385"/>
      <c r="Q24" s="1258">
        <f t="shared" ref="Q24:Q34" si="11">B24</f>
        <v>111</v>
      </c>
      <c r="R24" s="663" t="s">
        <v>14</v>
      </c>
      <c r="S24" s="664">
        <f>F24</f>
        <v>100</v>
      </c>
      <c r="T24" s="663" t="s">
        <v>14</v>
      </c>
      <c r="U24" s="664">
        <f>H24</f>
        <v>100</v>
      </c>
      <c r="V24" s="663" t="s">
        <v>14</v>
      </c>
      <c r="W24" s="664">
        <f>J24</f>
        <v>100</v>
      </c>
      <c r="X24" s="1260"/>
      <c r="Y24" s="3385"/>
      <c r="Z24" s="1259">
        <f>Q24</f>
        <v>111</v>
      </c>
      <c r="AA24" s="1259">
        <f t="shared" si="3"/>
        <v>1</v>
      </c>
      <c r="AB24" s="1259">
        <f t="shared" si="4"/>
        <v>1</v>
      </c>
      <c r="AC24" s="1259">
        <f t="shared" si="5"/>
        <v>1</v>
      </c>
    </row>
    <row r="25" spans="1:29" s="101" customFormat="1" ht="15.75" thickBot="1">
      <c r="A25" s="368"/>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2"/>
      <c r="M25" s="2434"/>
      <c r="N25" s="2434"/>
      <c r="O25" s="2534"/>
      <c r="P25" s="3385"/>
      <c r="Q25" s="528">
        <f t="shared" si="11"/>
        <v>111</v>
      </c>
      <c r="R25" s="660" t="s">
        <v>14</v>
      </c>
      <c r="S25" s="661">
        <f>F25</f>
        <v>100</v>
      </c>
      <c r="T25" s="660" t="s">
        <v>14</v>
      </c>
      <c r="U25" s="661">
        <f>H25</f>
        <v>100</v>
      </c>
      <c r="V25" s="660" t="s">
        <v>14</v>
      </c>
      <c r="W25" s="661">
        <f>J25</f>
        <v>100</v>
      </c>
      <c r="X25" s="662"/>
      <c r="Y25" s="3385"/>
      <c r="Z25" s="50">
        <f>Q25</f>
        <v>111</v>
      </c>
      <c r="AA25" s="1259">
        <f>D25/F25</f>
        <v>1</v>
      </c>
      <c r="AB25" s="1259">
        <f>D25/H25</f>
        <v>1</v>
      </c>
      <c r="AC25" s="1259">
        <f>D25/J25</f>
        <v>1</v>
      </c>
    </row>
    <row r="26" spans="1:29" ht="28.5">
      <c r="A26" s="402" t="s">
        <v>1694</v>
      </c>
      <c r="B26" s="60" t="s">
        <v>1838</v>
      </c>
      <c r="C26" s="1759"/>
      <c r="D26" s="403">
        <v>100</v>
      </c>
      <c r="E26" s="1759"/>
      <c r="F26" s="585">
        <f>SUMIF(77:77,E26,78:78)-SUMIF(77:77,C26,78:78)+100</f>
        <v>100</v>
      </c>
      <c r="G26" s="1759"/>
      <c r="H26" s="403">
        <f>SUMIF(77:77,G26,78:78)-SUMIF(77:77,C26,78:78)+100</f>
        <v>100</v>
      </c>
      <c r="I26" s="1759"/>
      <c r="J26" s="403">
        <f>SUMIF(77:77,I26,78:78)-SUMIF(77:77,C26,78:78)+100</f>
        <v>100</v>
      </c>
      <c r="K26" s="536"/>
      <c r="L26" s="2486"/>
      <c r="M26" s="2481"/>
      <c r="N26" s="2481"/>
      <c r="O26" s="2536"/>
      <c r="P26" s="3386" t="s">
        <v>1696</v>
      </c>
      <c r="Q26" s="1258" t="str">
        <f t="shared" si="11"/>
        <v>公共部分装修</v>
      </c>
      <c r="R26" s="663" t="s">
        <v>14</v>
      </c>
      <c r="S26" s="664">
        <f t="shared" ref="S26:S34" si="12">F26</f>
        <v>100</v>
      </c>
      <c r="T26" s="663" t="s">
        <v>14</v>
      </c>
      <c r="U26" s="664">
        <f t="shared" ref="U26:U34" si="13">H26</f>
        <v>100</v>
      </c>
      <c r="V26" s="663" t="s">
        <v>14</v>
      </c>
      <c r="W26" s="664">
        <f t="shared" ref="W26:W34" si="14">J26</f>
        <v>100</v>
      </c>
      <c r="X26" s="1260"/>
      <c r="Y26" s="3387"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387"/>
      <c r="Q27" s="529" t="str">
        <f t="shared" si="11"/>
        <v>成新率</v>
      </c>
      <c r="R27" s="665" t="s">
        <v>14</v>
      </c>
      <c r="S27" s="666" t="e">
        <f t="shared" si="12"/>
        <v>#N/A</v>
      </c>
      <c r="T27" s="665" t="s">
        <v>14</v>
      </c>
      <c r="U27" s="666" t="e">
        <f t="shared" si="13"/>
        <v>#N/A</v>
      </c>
      <c r="V27" s="665" t="s">
        <v>14</v>
      </c>
      <c r="W27" s="666" t="e">
        <f t="shared" si="14"/>
        <v>#N/A</v>
      </c>
      <c r="X27" s="667"/>
      <c r="Y27" s="3387"/>
      <c r="Z27" s="668"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387"/>
      <c r="Q28" s="1258" t="str">
        <f t="shared" si="11"/>
        <v>物业等级</v>
      </c>
      <c r="R28" s="663" t="s">
        <v>14</v>
      </c>
      <c r="S28" s="664">
        <f t="shared" si="12"/>
        <v>100</v>
      </c>
      <c r="T28" s="663" t="s">
        <v>14</v>
      </c>
      <c r="U28" s="664">
        <f t="shared" si="13"/>
        <v>100</v>
      </c>
      <c r="V28" s="663" t="s">
        <v>14</v>
      </c>
      <c r="W28" s="664">
        <f t="shared" si="14"/>
        <v>100</v>
      </c>
      <c r="X28" s="1260"/>
      <c r="Y28" s="3387"/>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387"/>
      <c r="Q29" s="1258" t="str">
        <f t="shared" si="11"/>
        <v>有无电梯</v>
      </c>
      <c r="R29" s="663" t="s">
        <v>14</v>
      </c>
      <c r="S29" s="664">
        <f t="shared" si="12"/>
        <v>100</v>
      </c>
      <c r="T29" s="663" t="s">
        <v>14</v>
      </c>
      <c r="U29" s="664">
        <f t="shared" si="13"/>
        <v>100</v>
      </c>
      <c r="V29" s="663" t="s">
        <v>14</v>
      </c>
      <c r="W29" s="664">
        <f t="shared" si="14"/>
        <v>100</v>
      </c>
      <c r="X29" s="1260"/>
      <c r="Y29" s="3387"/>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387"/>
      <c r="Q30" s="1258" t="str">
        <f t="shared" si="11"/>
        <v>建筑面积</v>
      </c>
      <c r="R30" s="663" t="s">
        <v>14</v>
      </c>
      <c r="S30" s="664" t="e">
        <f t="shared" si="12"/>
        <v>#N/A</v>
      </c>
      <c r="T30" s="663" t="s">
        <v>14</v>
      </c>
      <c r="U30" s="664" t="e">
        <f t="shared" si="13"/>
        <v>#N/A</v>
      </c>
      <c r="V30" s="663" t="s">
        <v>14</v>
      </c>
      <c r="W30" s="664" t="e">
        <f t="shared" si="14"/>
        <v>#N/A</v>
      </c>
      <c r="X30" s="1260"/>
      <c r="Y30" s="3387"/>
      <c r="Z30" s="1259" t="str">
        <f t="shared" si="15"/>
        <v>建筑面积</v>
      </c>
      <c r="AA30" s="1259" t="e">
        <f t="shared" si="3"/>
        <v>#N/A</v>
      </c>
      <c r="AB30" s="1259" t="e">
        <f t="shared" si="4"/>
        <v>#N/A</v>
      </c>
      <c r="AC30" s="1259"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4"/>
      <c r="N31" s="2434"/>
      <c r="O31" s="2534"/>
      <c r="P31" s="3387"/>
      <c r="Q31" s="528" t="str">
        <f t="shared" si="11"/>
        <v>是否封闭</v>
      </c>
      <c r="R31" s="660" t="s">
        <v>14</v>
      </c>
      <c r="S31" s="661">
        <f t="shared" si="12"/>
        <v>100</v>
      </c>
      <c r="T31" s="660" t="s">
        <v>14</v>
      </c>
      <c r="U31" s="661">
        <f t="shared" si="13"/>
        <v>100</v>
      </c>
      <c r="V31" s="660" t="s">
        <v>14</v>
      </c>
      <c r="W31" s="661">
        <f t="shared" si="14"/>
        <v>100</v>
      </c>
      <c r="X31" s="662"/>
      <c r="Y31" s="3387"/>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387" t="s">
        <v>1696</v>
      </c>
      <c r="Q32" s="1258">
        <f t="shared" si="11"/>
        <v>111</v>
      </c>
      <c r="R32" s="663" t="s">
        <v>14</v>
      </c>
      <c r="S32" s="664">
        <f t="shared" si="12"/>
        <v>100</v>
      </c>
      <c r="T32" s="663" t="s">
        <v>14</v>
      </c>
      <c r="U32" s="664">
        <f t="shared" si="13"/>
        <v>100</v>
      </c>
      <c r="V32" s="663" t="s">
        <v>14</v>
      </c>
      <c r="W32" s="664">
        <f t="shared" si="14"/>
        <v>100</v>
      </c>
      <c r="X32" s="1260"/>
      <c r="Y32" s="3387"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387"/>
      <c r="Q33" s="1258">
        <f t="shared" si="11"/>
        <v>111</v>
      </c>
      <c r="R33" s="663" t="s">
        <v>14</v>
      </c>
      <c r="S33" s="664">
        <f t="shared" si="12"/>
        <v>100</v>
      </c>
      <c r="T33" s="663" t="s">
        <v>14</v>
      </c>
      <c r="U33" s="664">
        <f t="shared" si="13"/>
        <v>100</v>
      </c>
      <c r="V33" s="663" t="s">
        <v>14</v>
      </c>
      <c r="W33" s="664">
        <f t="shared" si="14"/>
        <v>100</v>
      </c>
      <c r="X33" s="1260"/>
      <c r="Y33" s="3387"/>
      <c r="Z33" s="1259">
        <f t="shared" si="15"/>
        <v>111</v>
      </c>
      <c r="AA33" s="1259">
        <f t="shared" si="3"/>
        <v>1</v>
      </c>
      <c r="AB33" s="1259">
        <f t="shared" si="4"/>
        <v>1</v>
      </c>
      <c r="AC33" s="1259">
        <f t="shared" si="5"/>
        <v>1</v>
      </c>
    </row>
    <row r="34" spans="1:30" ht="15.75" thickBot="1">
      <c r="A34" s="413"/>
      <c r="B34" s="1744">
        <v>111</v>
      </c>
      <c r="C34" s="374"/>
      <c r="D34" s="375">
        <v>100</v>
      </c>
      <c r="E34" s="1818"/>
      <c r="F34" s="376">
        <f>SUMIF(95:95,E34,96:96)-SUMIF(95:95,C34,96:96)+100</f>
        <v>100</v>
      </c>
      <c r="G34" s="1818"/>
      <c r="H34" s="375">
        <f>SUMIF(95:95,G34,96:96)-SUMIF(95:95,C34,96:96)+100</f>
        <v>100</v>
      </c>
      <c r="I34" s="1818"/>
      <c r="J34" s="375">
        <f>SUMIF(95:95,I34,96:96)-SUMIF(95:95,C34,96:96)+100</f>
        <v>100</v>
      </c>
      <c r="K34" s="537"/>
      <c r="L34" s="2486"/>
      <c r="M34" s="2481"/>
      <c r="N34" s="2481"/>
      <c r="O34" s="2536"/>
      <c r="P34" s="3387"/>
      <c r="Q34" s="1258">
        <f t="shared" si="11"/>
        <v>111</v>
      </c>
      <c r="R34" s="663" t="s">
        <v>14</v>
      </c>
      <c r="S34" s="664">
        <f t="shared" si="12"/>
        <v>100</v>
      </c>
      <c r="T34" s="663" t="s">
        <v>14</v>
      </c>
      <c r="U34" s="664">
        <f t="shared" si="13"/>
        <v>100</v>
      </c>
      <c r="V34" s="663" t="s">
        <v>14</v>
      </c>
      <c r="W34" s="664">
        <f t="shared" si="14"/>
        <v>100</v>
      </c>
      <c r="X34" s="1260"/>
      <c r="Y34" s="3387"/>
      <c r="Z34" s="1259">
        <f t="shared" si="15"/>
        <v>111</v>
      </c>
      <c r="AA34" s="1259">
        <f t="shared" si="3"/>
        <v>1</v>
      </c>
      <c r="AB34" s="1259">
        <f t="shared" si="4"/>
        <v>1</v>
      </c>
      <c r="AC34" s="1259">
        <f t="shared" si="5"/>
        <v>1</v>
      </c>
    </row>
    <row r="35" spans="1:30" ht="15">
      <c r="A35" s="414" t="s">
        <v>1708</v>
      </c>
      <c r="B35" s="415"/>
      <c r="C35" s="1077" t="s">
        <v>0</v>
      </c>
      <c r="D35" s="416"/>
      <c r="E35" s="417"/>
      <c r="F35" s="418"/>
      <c r="G35" s="419"/>
      <c r="H35" s="420"/>
      <c r="I35" s="417"/>
      <c r="J35" s="420"/>
      <c r="K35" s="670"/>
      <c r="L35" s="2488"/>
      <c r="M35" s="2481"/>
      <c r="N35" s="2481"/>
      <c r="O35" s="2481"/>
      <c r="P35" s="3383" t="str">
        <f>A35</f>
        <v>成交单价（元/平方米）</v>
      </c>
      <c r="Q35" s="3383"/>
      <c r="R35" s="3388">
        <f>E35</f>
        <v>0</v>
      </c>
      <c r="S35" s="3388"/>
      <c r="T35" s="3388">
        <f>G35</f>
        <v>0</v>
      </c>
      <c r="U35" s="3388"/>
      <c r="V35" s="3388">
        <f>I35</f>
        <v>0</v>
      </c>
      <c r="W35" s="3388"/>
      <c r="X35" s="383"/>
      <c r="Y35" s="669"/>
      <c r="Z35" s="383"/>
      <c r="AA35" s="383"/>
      <c r="AB35" s="383"/>
      <c r="AC35" s="383"/>
    </row>
    <row r="36" spans="1:30" ht="15.75" thickBot="1">
      <c r="A36" s="421" t="s">
        <v>1793</v>
      </c>
      <c r="B36" s="422"/>
      <c r="C36" s="1078" t="e">
        <f>R37</f>
        <v>#DIV/0!</v>
      </c>
      <c r="D36" s="2136" t="s">
        <v>2138</v>
      </c>
      <c r="E36" s="1079" t="e">
        <f>R36</f>
        <v>#DIV/0!</v>
      </c>
      <c r="F36" s="2137"/>
      <c r="G36" s="1078" t="e">
        <f>T36</f>
        <v>#DIV/0!</v>
      </c>
      <c r="H36" s="2137"/>
      <c r="I36" s="1079" t="e">
        <f>V36</f>
        <v>#DIV/0!</v>
      </c>
      <c r="J36" s="2137"/>
      <c r="K36" s="2139">
        <f>F36+H36+J36</f>
        <v>0</v>
      </c>
      <c r="L36" s="2488"/>
      <c r="M36" s="2481"/>
      <c r="N36" s="2481"/>
      <c r="O36" s="2481"/>
      <c r="P36" s="3383" t="str">
        <f>A36</f>
        <v>比较价值（元/平方米）</v>
      </c>
      <c r="Q36" s="338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3"/>
      <c r="Y36" s="383"/>
      <c r="Z36" s="383"/>
      <c r="AA36" s="383"/>
      <c r="AB36" s="383"/>
      <c r="AC36" s="383"/>
    </row>
    <row r="37" spans="1:30" ht="15.75" thickBot="1">
      <c r="A37" s="425" t="s">
        <v>1794</v>
      </c>
      <c r="B37" s="426"/>
      <c r="C37" s="349" t="e">
        <f>R37</f>
        <v>#DIV/0!</v>
      </c>
      <c r="D37" s="349"/>
      <c r="E37" s="349"/>
      <c r="F37" s="349"/>
      <c r="G37" s="349"/>
      <c r="H37" s="349"/>
      <c r="I37" s="349"/>
      <c r="J37" s="349"/>
      <c r="K37" s="671"/>
      <c r="L37" s="2488"/>
      <c r="M37" s="2481"/>
      <c r="N37" s="2481"/>
      <c r="O37" s="2481"/>
      <c r="P37" s="3377" t="str">
        <f>A37</f>
        <v>估价对象XX用房的比较价值（楼面单价，元/平方米）</v>
      </c>
      <c r="Q37" s="3378"/>
      <c r="R37" s="3469" t="e">
        <f>IF(F1="售价",ROUND(IF(D36="简单平均",AVERAGE(R36:W36),R36*F36+T36*H36+V36*J36),0),ROUND(IF(D36="简单平均",AVERAGE(R36:V36),R36*F36+T36*H36+V36*J36),1))</f>
        <v>#DIV/0!</v>
      </c>
      <c r="S37" s="3469"/>
      <c r="T37" s="3469"/>
      <c r="U37" s="3469"/>
      <c r="V37" s="3469"/>
      <c r="W37" s="3469"/>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4" t="s">
        <v>1798</v>
      </c>
      <c r="B45" s="383"/>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098" t="str">
        <f>YEAR(C7)&amp;"-"&amp;MONTH(C7)</f>
        <v>2024-11</v>
      </c>
      <c r="D46" s="1099">
        <f>EDATE(C46,-1)</f>
        <v>45566</v>
      </c>
      <c r="E46" s="1099">
        <f t="shared" ref="E46:O46" si="16">EDATE(D46,-1)</f>
        <v>45536</v>
      </c>
      <c r="F46" s="1099">
        <f t="shared" si="16"/>
        <v>45505</v>
      </c>
      <c r="G46" s="1099">
        <f t="shared" si="16"/>
        <v>45474</v>
      </c>
      <c r="H46" s="1099">
        <f t="shared" si="16"/>
        <v>45444</v>
      </c>
      <c r="I46" s="1099">
        <f t="shared" si="16"/>
        <v>45413</v>
      </c>
      <c r="J46" s="1099">
        <f t="shared" si="16"/>
        <v>45383</v>
      </c>
      <c r="K46" s="1099">
        <f t="shared" si="16"/>
        <v>45352</v>
      </c>
      <c r="L46" s="1099">
        <f t="shared" si="16"/>
        <v>45323</v>
      </c>
      <c r="M46" s="1099">
        <f t="shared" si="16"/>
        <v>45292</v>
      </c>
      <c r="N46" s="1099">
        <f t="shared" si="16"/>
        <v>45261</v>
      </c>
      <c r="O46" s="1099">
        <f t="shared" si="16"/>
        <v>45231</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7">
        <v>100</v>
      </c>
      <c r="D47" s="444"/>
      <c r="E47" s="444"/>
      <c r="F47" s="444"/>
      <c r="G47" s="444"/>
      <c r="H47" s="444"/>
      <c r="I47" s="444"/>
      <c r="J47" s="444"/>
      <c r="K47" s="444"/>
      <c r="L47" s="444"/>
      <c r="M47" s="445"/>
      <c r="N47" s="444"/>
      <c r="O47" s="446"/>
      <c r="P47" s="2502"/>
      <c r="Q47" s="2434"/>
      <c r="R47" s="2434"/>
      <c r="S47" s="2434"/>
      <c r="T47" s="2434"/>
      <c r="U47" s="2434"/>
      <c r="V47" s="2434"/>
      <c r="W47" s="2434"/>
      <c r="X47" s="2434"/>
      <c r="Y47" s="2434"/>
      <c r="Z47" s="2434"/>
      <c r="AA47" s="2434"/>
      <c r="AB47" s="2434"/>
      <c r="AC47" s="2434"/>
      <c r="AD47" s="2434"/>
    </row>
    <row r="48" spans="1:30" s="101" customFormat="1" ht="15.75" thickBot="1">
      <c r="A48" s="447" t="s">
        <v>1716</v>
      </c>
      <c r="B48" s="448"/>
      <c r="C48" s="449"/>
      <c r="D48" s="450"/>
      <c r="E48" s="450"/>
      <c r="F48" s="450"/>
      <c r="G48" s="450"/>
      <c r="H48" s="450"/>
      <c r="I48" s="450"/>
      <c r="J48" s="450"/>
      <c r="K48" s="450"/>
      <c r="L48" s="450"/>
      <c r="M48" s="451"/>
      <c r="N48" s="450"/>
      <c r="O48" s="452"/>
      <c r="P48" s="2502"/>
      <c r="Q48" s="2502"/>
      <c r="R48" s="2434"/>
      <c r="S48" s="2434"/>
      <c r="T48" s="2434"/>
      <c r="U48" s="2434"/>
      <c r="V48" s="2434"/>
      <c r="W48" s="2434"/>
      <c r="X48" s="2434"/>
      <c r="Y48" s="2434"/>
      <c r="Z48" s="2434"/>
      <c r="AA48" s="2434"/>
      <c r="AB48" s="2434"/>
      <c r="AC48" s="2434"/>
      <c r="AD48" s="2434"/>
    </row>
    <row r="49" spans="1:30" s="101" customFormat="1" ht="15">
      <c r="A49" s="453" t="s">
        <v>1681</v>
      </c>
      <c r="B49" s="442"/>
      <c r="C49" s="454" t="s">
        <v>1776</v>
      </c>
      <c r="D49" s="31"/>
      <c r="E49" s="31"/>
      <c r="F49" s="31"/>
      <c r="G49" s="31"/>
      <c r="H49" s="31"/>
      <c r="I49" s="31"/>
      <c r="J49" s="31"/>
      <c r="K49" s="31"/>
      <c r="L49" s="455"/>
      <c r="M49" s="456"/>
      <c r="N49" s="2514"/>
      <c r="O49" s="2514"/>
      <c r="P49" s="2538"/>
      <c r="Q49" s="2502"/>
      <c r="R49" s="2434"/>
      <c r="S49" s="2434"/>
      <c r="T49" s="2434"/>
      <c r="U49" s="2434"/>
      <c r="V49" s="2434"/>
      <c r="W49" s="2434"/>
      <c r="X49" s="2434"/>
      <c r="Y49" s="2434"/>
      <c r="Z49" s="2434"/>
      <c r="AA49" s="2434"/>
      <c r="AB49" s="2434"/>
      <c r="AC49" s="2434"/>
      <c r="AD49" s="2434"/>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4"/>
      <c r="S50" s="2434"/>
      <c r="T50" s="2434"/>
      <c r="U50" s="2434"/>
      <c r="V50" s="2434"/>
      <c r="W50" s="2434"/>
      <c r="X50" s="2434"/>
      <c r="Y50" s="2434"/>
      <c r="Z50" s="2434"/>
      <c r="AA50" s="2434"/>
      <c r="AB50" s="2434"/>
      <c r="AC50" s="2434"/>
      <c r="AD50" s="2434"/>
    </row>
    <row r="51" spans="1:30">
      <c r="A51" s="377" t="s">
        <v>1719</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1863</v>
      </c>
      <c r="C63" s="507" t="s">
        <v>1721</v>
      </c>
      <c r="D63" s="507" t="s">
        <v>1722</v>
      </c>
      <c r="E63" s="507" t="s">
        <v>1723</v>
      </c>
      <c r="F63" s="507" t="s">
        <v>1724</v>
      </c>
      <c r="G63" s="507" t="s">
        <v>1725</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1813</v>
      </c>
      <c r="C65" s="579" t="s">
        <v>1799</v>
      </c>
      <c r="D65" s="579" t="s">
        <v>1800</v>
      </c>
      <c r="E65" s="579" t="s">
        <v>1801</v>
      </c>
      <c r="F65" s="579" t="s">
        <v>1802</v>
      </c>
      <c r="G65" s="579" t="s">
        <v>1803</v>
      </c>
      <c r="H65" s="468"/>
      <c r="I65" s="468"/>
      <c r="J65" s="468"/>
      <c r="K65" s="468"/>
      <c r="L65" s="468"/>
      <c r="M65" s="1059"/>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1733</v>
      </c>
      <c r="C67" s="507" t="s">
        <v>1721</v>
      </c>
      <c r="D67" s="507" t="s">
        <v>1722</v>
      </c>
      <c r="E67" s="507" t="s">
        <v>1723</v>
      </c>
      <c r="F67" s="507" t="s">
        <v>1724</v>
      </c>
      <c r="G67" s="507" t="s">
        <v>1725</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1852</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4"/>
      <c r="S71" s="2434"/>
      <c r="T71" s="2434"/>
      <c r="U71" s="2434"/>
      <c r="V71" s="2434"/>
      <c r="W71" s="2434"/>
      <c r="X71" s="2434"/>
      <c r="Y71" s="2434"/>
      <c r="Z71" s="2434"/>
      <c r="AA71" s="2434"/>
      <c r="AB71" s="2434"/>
      <c r="AC71" s="2434"/>
      <c r="AD71" s="2434"/>
    </row>
    <row r="72" spans="1:30" s="101" customFormat="1" ht="15.75" thickBot="1">
      <c r="A72" s="368"/>
      <c r="B72" s="472"/>
      <c r="C72" s="489"/>
      <c r="D72" s="465"/>
      <c r="E72" s="465"/>
      <c r="F72" s="465"/>
      <c r="G72" s="465"/>
      <c r="H72" s="465"/>
      <c r="I72" s="465"/>
      <c r="J72" s="465"/>
      <c r="K72" s="465"/>
      <c r="L72" s="465"/>
      <c r="M72" s="466"/>
      <c r="N72" s="2516"/>
      <c r="O72" s="2516"/>
      <c r="P72" s="2514"/>
      <c r="Q72" s="2502"/>
      <c r="R72" s="2434"/>
      <c r="S72" s="2434"/>
      <c r="T72" s="2434"/>
      <c r="U72" s="2434"/>
      <c r="V72" s="2434"/>
      <c r="W72" s="2434"/>
      <c r="X72" s="2434"/>
      <c r="Y72" s="2434"/>
      <c r="Z72" s="2434"/>
      <c r="AA72" s="2434"/>
      <c r="AB72" s="2434"/>
      <c r="AC72" s="2434"/>
      <c r="AD72" s="2434"/>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4"/>
      <c r="S73" s="2434"/>
      <c r="T73" s="2434"/>
      <c r="U73" s="2434"/>
      <c r="V73" s="2434"/>
      <c r="W73" s="2434"/>
      <c r="X73" s="2434"/>
      <c r="Y73" s="2434"/>
      <c r="Z73" s="2434"/>
      <c r="AA73" s="2434"/>
      <c r="AB73" s="2434"/>
      <c r="AC73" s="2434"/>
      <c r="AD73" s="2434"/>
    </row>
    <row r="74" spans="1:30" s="101" customFormat="1" ht="15.75" thickBot="1">
      <c r="A74" s="368"/>
      <c r="B74" s="472"/>
      <c r="C74" s="489"/>
      <c r="D74" s="465"/>
      <c r="E74" s="465"/>
      <c r="F74" s="465"/>
      <c r="G74" s="465"/>
      <c r="H74" s="465"/>
      <c r="I74" s="465"/>
      <c r="J74" s="465"/>
      <c r="K74" s="465"/>
      <c r="L74" s="465"/>
      <c r="M74" s="466"/>
      <c r="N74" s="2516"/>
      <c r="O74" s="2516"/>
      <c r="P74" s="2514"/>
      <c r="Q74" s="2502"/>
      <c r="R74" s="2434"/>
      <c r="S74" s="2434"/>
      <c r="T74" s="2434"/>
      <c r="U74" s="2434"/>
      <c r="V74" s="2434"/>
      <c r="W74" s="2434"/>
      <c r="X74" s="2434"/>
      <c r="Y74" s="2434"/>
      <c r="Z74" s="2434"/>
      <c r="AA74" s="2434"/>
      <c r="AB74" s="2434"/>
      <c r="AC74" s="2434"/>
      <c r="AD74" s="2434"/>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1740</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1856</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1864</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1866</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8"/>
      <c r="B98" s="878"/>
      <c r="C98" s="878"/>
      <c r="D98" s="878"/>
      <c r="E98" s="878"/>
      <c r="F98" s="878"/>
      <c r="G98" s="878"/>
      <c r="H98" s="878"/>
      <c r="I98" s="878"/>
      <c r="J98" s="878"/>
      <c r="K98" s="879"/>
      <c r="L98" s="880"/>
      <c r="M98" s="878"/>
      <c r="N98" s="2481"/>
      <c r="O98" s="2481"/>
      <c r="P98" s="2481"/>
      <c r="Q98" s="2481"/>
      <c r="R98" s="2481"/>
      <c r="S98" s="2481"/>
      <c r="T98" s="2481"/>
      <c r="U98" s="2481"/>
      <c r="V98" s="2481"/>
      <c r="W98" s="2481"/>
      <c r="X98" s="2481"/>
      <c r="Y98" s="2481"/>
      <c r="Z98" s="2481"/>
      <c r="AA98" s="2481"/>
      <c r="AB98" s="2481"/>
      <c r="AC98" s="2481"/>
      <c r="AD98" s="2481"/>
    </row>
    <row r="99" spans="1:30">
      <c r="A99" s="878"/>
      <c r="B99" s="878"/>
      <c r="C99" s="878"/>
      <c r="D99" s="878"/>
      <c r="E99" s="878"/>
      <c r="F99" s="878"/>
      <c r="G99" s="878"/>
      <c r="H99" s="878"/>
      <c r="I99" s="878"/>
      <c r="J99" s="878"/>
      <c r="K99" s="879"/>
      <c r="L99" s="880"/>
      <c r="M99" s="878"/>
      <c r="N99" s="2481"/>
      <c r="O99" s="2481"/>
      <c r="P99" s="2481"/>
      <c r="Q99" s="2481"/>
      <c r="R99" s="2481"/>
      <c r="S99" s="2481"/>
      <c r="T99" s="2481"/>
      <c r="U99" s="2481"/>
      <c r="V99" s="2481"/>
      <c r="W99" s="2481"/>
      <c r="X99" s="2481"/>
      <c r="Y99" s="2481"/>
      <c r="Z99" s="2481"/>
      <c r="AA99" s="2481"/>
      <c r="AB99" s="2481"/>
      <c r="AC99" s="2481"/>
      <c r="AD99" s="2481"/>
    </row>
    <row r="100" spans="1:30">
      <c r="A100" s="878"/>
      <c r="B100" s="878"/>
      <c r="C100" s="878"/>
      <c r="D100" s="878"/>
      <c r="E100" s="878"/>
      <c r="F100" s="878"/>
      <c r="G100" s="878"/>
      <c r="H100" s="878"/>
      <c r="I100" s="878"/>
      <c r="J100" s="878"/>
      <c r="K100" s="879"/>
      <c r="L100" s="880"/>
      <c r="M100" s="878"/>
      <c r="N100" s="2481"/>
      <c r="O100" s="2481"/>
      <c r="P100" s="2481"/>
      <c r="Q100" s="2481"/>
      <c r="R100" s="2481"/>
      <c r="S100" s="2481"/>
      <c r="T100" s="2481"/>
      <c r="U100" s="2481"/>
      <c r="V100" s="2481"/>
      <c r="W100" s="2481"/>
      <c r="X100" s="2481"/>
      <c r="Y100" s="2481"/>
      <c r="Z100" s="2481"/>
      <c r="AA100" s="2481"/>
      <c r="AB100" s="2481"/>
      <c r="AC100" s="2481"/>
      <c r="AD100" s="2481"/>
    </row>
    <row r="101" spans="1:30">
      <c r="A101" s="878"/>
      <c r="B101" s="878"/>
      <c r="C101" s="878"/>
      <c r="D101" s="878"/>
      <c r="E101" s="878"/>
      <c r="F101" s="878"/>
      <c r="G101" s="878"/>
      <c r="H101" s="878"/>
      <c r="I101" s="878"/>
      <c r="J101" s="878"/>
      <c r="K101" s="879"/>
      <c r="L101" s="880"/>
      <c r="M101" s="878"/>
      <c r="N101" s="2481"/>
      <c r="O101" s="2481"/>
      <c r="P101" s="2481"/>
      <c r="Q101" s="2481"/>
      <c r="R101" s="2481"/>
      <c r="S101" s="2481"/>
      <c r="T101" s="2481"/>
      <c r="U101" s="2481"/>
      <c r="V101" s="2481"/>
      <c r="W101" s="2481"/>
      <c r="X101" s="2481"/>
      <c r="Y101" s="2481"/>
      <c r="Z101" s="2481"/>
      <c r="AA101" s="2481"/>
      <c r="AB101" s="2481"/>
      <c r="AC101" s="2481"/>
      <c r="AD101" s="2481"/>
    </row>
    <row r="102" spans="1:30">
      <c r="A102" s="878"/>
      <c r="B102" s="878"/>
      <c r="C102" s="878"/>
      <c r="D102" s="878"/>
      <c r="E102" s="878"/>
      <c r="F102" s="878"/>
      <c r="G102" s="878"/>
      <c r="H102" s="878"/>
      <c r="I102" s="878"/>
      <c r="J102" s="878"/>
      <c r="K102" s="879"/>
      <c r="L102" s="880"/>
      <c r="M102" s="878"/>
      <c r="N102" s="2481"/>
      <c r="O102" s="2481"/>
      <c r="P102" s="2481"/>
      <c r="Q102" s="2481"/>
      <c r="R102" s="2481"/>
      <c r="S102" s="2481"/>
      <c r="T102" s="2481"/>
      <c r="U102" s="2481"/>
      <c r="V102" s="2481"/>
      <c r="W102" s="2481"/>
      <c r="X102" s="2481"/>
      <c r="Y102" s="2481"/>
      <c r="Z102" s="2481"/>
      <c r="AA102" s="2481"/>
      <c r="AB102" s="2481"/>
      <c r="AC102" s="2481"/>
      <c r="AD102" s="2481"/>
    </row>
    <row r="103" spans="1:30">
      <c r="A103" s="878"/>
      <c r="B103" s="878"/>
      <c r="C103" s="878"/>
      <c r="D103" s="878"/>
      <c r="E103" s="878"/>
      <c r="F103" s="878"/>
      <c r="G103" s="878"/>
      <c r="H103" s="878"/>
      <c r="I103" s="878"/>
      <c r="J103" s="878"/>
      <c r="K103" s="879"/>
      <c r="L103" s="880"/>
      <c r="M103" s="878"/>
      <c r="N103" s="878"/>
      <c r="O103" s="878"/>
      <c r="P103" s="2481"/>
      <c r="Q103" s="2481"/>
      <c r="R103" s="2481"/>
      <c r="S103" s="2481"/>
      <c r="T103" s="2481"/>
      <c r="U103" s="2481"/>
      <c r="V103" s="2481"/>
      <c r="W103" s="2481"/>
      <c r="X103" s="2481"/>
      <c r="Y103" s="2481"/>
      <c r="Z103" s="2481"/>
      <c r="AA103" s="2481"/>
      <c r="AB103" s="2481"/>
      <c r="AC103" s="2481"/>
      <c r="AD103" s="2481"/>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7"/>
      <c r="E1" s="647"/>
      <c r="F1" s="646" t="s">
        <v>1767</v>
      </c>
      <c r="G1" s="647"/>
      <c r="H1" s="647"/>
      <c r="I1" s="647"/>
      <c r="J1" s="647"/>
      <c r="K1" s="648"/>
      <c r="L1" s="649"/>
      <c r="M1" s="650"/>
      <c r="N1" s="650"/>
      <c r="O1" s="650"/>
      <c r="P1" s="339"/>
      <c r="Q1" s="339"/>
      <c r="R1" s="339"/>
      <c r="S1" s="339"/>
      <c r="T1" s="339"/>
      <c r="U1" s="339"/>
      <c r="V1" s="339"/>
      <c r="W1" s="339"/>
      <c r="X1" s="339"/>
      <c r="Y1" s="339"/>
      <c r="Z1" s="339"/>
      <c r="AA1" s="339"/>
      <c r="AB1" s="339"/>
      <c r="AC1" s="659"/>
    </row>
    <row r="2" spans="1:29" s="340" customFormat="1" ht="28.5" customHeight="1">
      <c r="A2" s="191" t="s">
        <v>1462</v>
      </c>
      <c r="B2" s="589" t="e">
        <f>F61</f>
        <v>#DIV/0!</v>
      </c>
      <c r="C2" s="851"/>
      <c r="D2" s="851"/>
      <c r="E2" s="851"/>
      <c r="F2" s="852"/>
      <c r="G2" s="851"/>
      <c r="H2" s="851"/>
      <c r="I2" s="851"/>
      <c r="J2" s="851"/>
      <c r="K2" s="853"/>
      <c r="L2" s="2497"/>
      <c r="M2" s="2498"/>
      <c r="N2" s="2498"/>
      <c r="O2" s="2498"/>
      <c r="P2" s="339"/>
      <c r="Q2" s="339"/>
      <c r="R2" s="339"/>
      <c r="S2" s="339"/>
      <c r="T2" s="339"/>
      <c r="U2" s="339"/>
      <c r="V2" s="339"/>
      <c r="W2" s="339"/>
      <c r="X2" s="339"/>
      <c r="Y2" s="339"/>
      <c r="Z2" s="339"/>
      <c r="AA2" s="339"/>
      <c r="AB2" s="339"/>
      <c r="AC2" s="659"/>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7"/>
      <c r="M3" s="2498"/>
      <c r="N3" s="2498"/>
      <c r="O3" s="2498"/>
      <c r="P3" s="339"/>
      <c r="Q3" s="339"/>
      <c r="R3" s="339"/>
      <c r="S3" s="339"/>
      <c r="T3" s="339"/>
      <c r="U3" s="339"/>
      <c r="V3" s="339"/>
      <c r="W3" s="339"/>
      <c r="X3" s="339"/>
      <c r="Y3" s="339"/>
      <c r="Z3" s="339"/>
      <c r="AA3" s="339"/>
      <c r="AB3" s="672"/>
      <c r="AC3" s="659"/>
    </row>
    <row r="4" spans="1:29" ht="15">
      <c r="A4" s="343" t="s">
        <v>1769</v>
      </c>
      <c r="B4" s="344"/>
      <c r="C4" s="3380" t="s">
        <v>1770</v>
      </c>
      <c r="D4" s="3392"/>
      <c r="E4" s="3393" t="s">
        <v>1771</v>
      </c>
      <c r="F4" s="3394"/>
      <c r="G4" s="3380" t="s">
        <v>1772</v>
      </c>
      <c r="H4" s="3392"/>
      <c r="I4" s="3380" t="s">
        <v>1773</v>
      </c>
      <c r="J4" s="3392"/>
      <c r="K4" s="535" t="s">
        <v>1774</v>
      </c>
      <c r="L4" s="2480"/>
      <c r="M4" s="2481"/>
      <c r="N4" s="2481"/>
      <c r="O4" s="2481"/>
      <c r="P4" s="3395" t="s">
        <v>1775</v>
      </c>
      <c r="Q4" s="3396"/>
      <c r="R4" s="3401" t="s">
        <v>1771</v>
      </c>
      <c r="S4" s="3402"/>
      <c r="T4" s="3401" t="s">
        <v>1772</v>
      </c>
      <c r="U4" s="3402"/>
      <c r="V4" s="3388" t="s">
        <v>1773</v>
      </c>
      <c r="W4" s="3388"/>
      <c r="X4" s="1260"/>
      <c r="Y4" s="3401" t="s">
        <v>1775</v>
      </c>
      <c r="Z4" s="3402"/>
      <c r="AA4" s="3389" t="s">
        <v>1771</v>
      </c>
      <c r="AB4" s="3390" t="s">
        <v>1772</v>
      </c>
      <c r="AC4" s="3389" t="s">
        <v>1773</v>
      </c>
    </row>
    <row r="5" spans="1:29" ht="15">
      <c r="A5" s="346"/>
      <c r="B5" s="347"/>
      <c r="C5" s="3409" t="s">
        <v>1673</v>
      </c>
      <c r="D5" s="3410"/>
      <c r="E5" s="3416" t="s">
        <v>1674</v>
      </c>
      <c r="F5" s="3417"/>
      <c r="G5" s="3409" t="s">
        <v>1675</v>
      </c>
      <c r="H5" s="3410"/>
      <c r="I5" s="3409" t="s">
        <v>1676</v>
      </c>
      <c r="J5" s="3410"/>
      <c r="K5" s="535"/>
      <c r="L5" s="2480"/>
      <c r="M5" s="2481"/>
      <c r="N5" s="2481"/>
      <c r="O5" s="2481"/>
      <c r="P5" s="3397"/>
      <c r="Q5" s="3398"/>
      <c r="R5" s="3403"/>
      <c r="S5" s="3404"/>
      <c r="T5" s="3403"/>
      <c r="U5" s="3404"/>
      <c r="V5" s="3388"/>
      <c r="W5" s="3388"/>
      <c r="X5" s="1260"/>
      <c r="Y5" s="3403"/>
      <c r="Z5" s="3404"/>
      <c r="AA5" s="3390"/>
      <c r="AB5" s="3390"/>
      <c r="AC5" s="3390"/>
    </row>
    <row r="6" spans="1:29" ht="15.75" thickBot="1">
      <c r="A6" s="348"/>
      <c r="B6" s="349"/>
      <c r="C6" s="3470" t="s">
        <v>1919</v>
      </c>
      <c r="D6" s="3471"/>
      <c r="E6" s="3472" t="s">
        <v>1919</v>
      </c>
      <c r="F6" s="3473"/>
      <c r="G6" s="3470" t="s">
        <v>1919</v>
      </c>
      <c r="H6" s="3471"/>
      <c r="I6" s="3470" t="s">
        <v>1919</v>
      </c>
      <c r="J6" s="3471"/>
      <c r="K6" s="535" t="s">
        <v>1678</v>
      </c>
      <c r="L6" s="2480"/>
      <c r="M6" s="2481"/>
      <c r="N6" s="2481"/>
      <c r="O6" s="2481"/>
      <c r="P6" s="3399"/>
      <c r="Q6" s="3400"/>
      <c r="R6" s="3403"/>
      <c r="S6" s="3404"/>
      <c r="T6" s="3405"/>
      <c r="U6" s="3406"/>
      <c r="V6" s="3388"/>
      <c r="W6" s="3388"/>
      <c r="X6" s="1260"/>
      <c r="Y6" s="3405"/>
      <c r="Z6" s="3406"/>
      <c r="AA6" s="3391"/>
      <c r="AB6" s="3391"/>
      <c r="AC6" s="3391"/>
    </row>
    <row r="7" spans="1:29" s="101" customFormat="1" ht="15.75" thickBot="1">
      <c r="A7" s="350" t="s">
        <v>1679</v>
      </c>
      <c r="B7" s="351"/>
      <c r="C7" s="352">
        <f>'数据-取费表'!B2</f>
        <v>45614</v>
      </c>
      <c r="D7" s="353">
        <v>100</v>
      </c>
      <c r="E7" s="354"/>
      <c r="F7" s="355">
        <f>SUMIF(65:65,YEAR(E7)&amp;"-"&amp;INT((MONTH(E7)+2)/3),66:66)</f>
        <v>0</v>
      </c>
      <c r="G7" s="1817"/>
      <c r="H7" s="353">
        <f>SUMIF(65:65,YEAR(G7)&amp;"-"&amp;INT((MONTH(G7)+2)/3),66:66)</f>
        <v>0</v>
      </c>
      <c r="I7" s="1817"/>
      <c r="J7" s="353">
        <f>SUMIF(65:65,YEAR(I7)&amp;"-"&amp;INT((MONTH(I7)+2)/3),66:66)</f>
        <v>0</v>
      </c>
      <c r="K7" s="38"/>
      <c r="L7" s="2482"/>
      <c r="M7" s="2434"/>
      <c r="N7" s="2434"/>
      <c r="O7" s="2434"/>
      <c r="P7" s="3411" t="s">
        <v>1680</v>
      </c>
      <c r="Q7" s="3413"/>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4"/>
      <c r="N8" s="2434"/>
      <c r="O8" s="2434"/>
      <c r="P8" s="3411" t="s">
        <v>1683</v>
      </c>
      <c r="Q8" s="3412"/>
      <c r="R8" s="660" t="s">
        <v>14</v>
      </c>
      <c r="S8" s="661">
        <f t="shared" si="0"/>
        <v>0</v>
      </c>
      <c r="T8" s="660" t="s">
        <v>14</v>
      </c>
      <c r="U8" s="661">
        <f t="shared" si="1"/>
        <v>0</v>
      </c>
      <c r="V8" s="660" t="s">
        <v>14</v>
      </c>
      <c r="W8" s="661">
        <f t="shared" si="2"/>
        <v>0</v>
      </c>
      <c r="X8" s="662"/>
      <c r="Y8" s="3411" t="s">
        <v>1683</v>
      </c>
      <c r="Z8" s="3412"/>
      <c r="AA8" s="50" t="e">
        <f t="shared" ref="AA8:AA40" si="3">D8/F8</f>
        <v>#DIV/0!</v>
      </c>
      <c r="AB8" s="50" t="e">
        <f t="shared" ref="AB8:AB40" si="4">D8/H8</f>
        <v>#DIV/0!</v>
      </c>
      <c r="AC8" s="50" t="e">
        <f t="shared" ref="AC8:AC40" si="5">D8/J8</f>
        <v>#DIV/0!</v>
      </c>
    </row>
    <row r="9" spans="1:29" s="101" customFormat="1">
      <c r="A9" s="357"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2"/>
      <c r="M9" s="2434"/>
      <c r="N9" s="2434"/>
      <c r="O9" s="2534"/>
      <c r="P9" s="3383" t="s">
        <v>1686</v>
      </c>
      <c r="Q9" s="528" t="str">
        <f t="shared" ref="Q9:Q15" si="6">B9</f>
        <v>用途</v>
      </c>
      <c r="R9" s="660" t="s">
        <v>14</v>
      </c>
      <c r="S9" s="661">
        <f t="shared" si="0"/>
        <v>100</v>
      </c>
      <c r="T9" s="660" t="s">
        <v>14</v>
      </c>
      <c r="U9" s="661">
        <f t="shared" si="1"/>
        <v>100</v>
      </c>
      <c r="V9" s="660" t="s">
        <v>14</v>
      </c>
      <c r="W9" s="661">
        <f t="shared" si="2"/>
        <v>100</v>
      </c>
      <c r="X9" s="662"/>
      <c r="Y9" s="3283"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104</v>
      </c>
      <c r="G10" s="369"/>
      <c r="H10" s="117">
        <f>ROUND(100/'数据-取费表'!G16,0)</f>
        <v>104</v>
      </c>
      <c r="I10" s="369"/>
      <c r="J10" s="117">
        <f>ROUND(100/'数据-取费表'!G16,0)</f>
        <v>104</v>
      </c>
      <c r="K10" s="590"/>
      <c r="L10" s="2483"/>
      <c r="M10" s="2484"/>
      <c r="N10" s="2484"/>
      <c r="O10" s="2535"/>
      <c r="P10" s="3383"/>
      <c r="Q10" s="528" t="str">
        <f t="shared" si="6"/>
        <v>土地使用年限（年）</v>
      </c>
      <c r="R10" s="660" t="s">
        <v>14</v>
      </c>
      <c r="S10" s="661">
        <f t="shared" si="0"/>
        <v>104</v>
      </c>
      <c r="T10" s="660" t="s">
        <v>14</v>
      </c>
      <c r="U10" s="661">
        <f t="shared" si="1"/>
        <v>104</v>
      </c>
      <c r="V10" s="660" t="s">
        <v>14</v>
      </c>
      <c r="W10" s="661">
        <f t="shared" si="2"/>
        <v>104</v>
      </c>
      <c r="X10" s="662"/>
      <c r="Y10" s="3283"/>
      <c r="Z10" s="50" t="str">
        <f t="shared" si="7"/>
        <v>土地使用年限（年）</v>
      </c>
      <c r="AA10" s="50">
        <f t="shared" si="3"/>
        <v>0.96153846153846156</v>
      </c>
      <c r="AB10" s="50">
        <f t="shared" si="4"/>
        <v>0.96153846153846156</v>
      </c>
      <c r="AC10" s="50">
        <f t="shared" si="5"/>
        <v>0.96153846153846156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383"/>
      <c r="Q11" s="528" t="str">
        <f t="shared" si="6"/>
        <v>容积率</v>
      </c>
      <c r="R11" s="660" t="s">
        <v>14</v>
      </c>
      <c r="S11" s="661" t="e">
        <f t="shared" si="0"/>
        <v>#N/A</v>
      </c>
      <c r="T11" s="660" t="s">
        <v>14</v>
      </c>
      <c r="U11" s="661" t="e">
        <f t="shared" si="1"/>
        <v>#N/A</v>
      </c>
      <c r="V11" s="660" t="s">
        <v>14</v>
      </c>
      <c r="W11" s="661" t="e">
        <f t="shared" si="2"/>
        <v>#N/A</v>
      </c>
      <c r="X11" s="662"/>
      <c r="Y11" s="3283"/>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4"/>
      <c r="N12" s="2434"/>
      <c r="O12" s="2534"/>
      <c r="P12" s="3383"/>
      <c r="Q12" s="528">
        <f t="shared" si="6"/>
        <v>111</v>
      </c>
      <c r="R12" s="660" t="s">
        <v>14</v>
      </c>
      <c r="S12" s="661">
        <f t="shared" si="0"/>
        <v>100</v>
      </c>
      <c r="T12" s="660" t="s">
        <v>14</v>
      </c>
      <c r="U12" s="661">
        <f t="shared" si="1"/>
        <v>100</v>
      </c>
      <c r="V12" s="660" t="s">
        <v>14</v>
      </c>
      <c r="W12" s="661">
        <f t="shared" si="2"/>
        <v>100</v>
      </c>
      <c r="X12" s="662"/>
      <c r="Y12" s="3283"/>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383"/>
      <c r="Q13" s="528">
        <f t="shared" si="6"/>
        <v>111</v>
      </c>
      <c r="R13" s="660" t="s">
        <v>14</v>
      </c>
      <c r="S13" s="661">
        <f t="shared" si="0"/>
        <v>100</v>
      </c>
      <c r="T13" s="660" t="s">
        <v>14</v>
      </c>
      <c r="U13" s="661">
        <f t="shared" si="1"/>
        <v>100</v>
      </c>
      <c r="V13" s="660" t="s">
        <v>14</v>
      </c>
      <c r="W13" s="661">
        <f t="shared" si="2"/>
        <v>100</v>
      </c>
      <c r="X13" s="662"/>
      <c r="Y13" s="3283"/>
      <c r="Z13" s="50">
        <f t="shared" si="7"/>
        <v>111</v>
      </c>
      <c r="AA13" s="50">
        <f t="shared" si="3"/>
        <v>1</v>
      </c>
      <c r="AB13" s="50">
        <f t="shared" si="4"/>
        <v>1</v>
      </c>
      <c r="AC13" s="50">
        <f t="shared" si="5"/>
        <v>1</v>
      </c>
    </row>
    <row r="14" spans="1:29" ht="15.75" thickBot="1">
      <c r="A14" s="373"/>
      <c r="B14" s="1744">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383"/>
      <c r="Q14" s="528">
        <f t="shared" si="6"/>
        <v>111</v>
      </c>
      <c r="R14" s="660" t="s">
        <v>14</v>
      </c>
      <c r="S14" s="661">
        <f t="shared" si="0"/>
        <v>100</v>
      </c>
      <c r="T14" s="660" t="s">
        <v>14</v>
      </c>
      <c r="U14" s="661">
        <f t="shared" si="1"/>
        <v>100</v>
      </c>
      <c r="V14" s="660" t="s">
        <v>14</v>
      </c>
      <c r="W14" s="661">
        <f t="shared" si="2"/>
        <v>100</v>
      </c>
      <c r="X14" s="662"/>
      <c r="Y14" s="3283"/>
      <c r="Z14" s="50">
        <f t="shared" si="7"/>
        <v>111</v>
      </c>
      <c r="AA14" s="50">
        <f t="shared" si="3"/>
        <v>1</v>
      </c>
      <c r="AB14" s="50">
        <f t="shared" si="4"/>
        <v>1</v>
      </c>
      <c r="AC14" s="50">
        <f t="shared" si="5"/>
        <v>1</v>
      </c>
    </row>
    <row r="15" spans="1:29" ht="57">
      <c r="A15" s="377" t="s">
        <v>1690</v>
      </c>
      <c r="B15" s="552" t="s">
        <v>1920</v>
      </c>
      <c r="C15" s="1814"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384" t="s">
        <v>1691</v>
      </c>
      <c r="Q15" s="1258" t="str">
        <f t="shared" si="6"/>
        <v>产业集聚程度</v>
      </c>
      <c r="R15" s="663" t="s">
        <v>14</v>
      </c>
      <c r="S15" s="664">
        <f t="shared" si="0"/>
        <v>100</v>
      </c>
      <c r="T15" s="663" t="s">
        <v>14</v>
      </c>
      <c r="U15" s="664">
        <f t="shared" si="1"/>
        <v>100</v>
      </c>
      <c r="V15" s="663" t="s">
        <v>14</v>
      </c>
      <c r="W15" s="664">
        <f t="shared" si="2"/>
        <v>100</v>
      </c>
      <c r="X15" s="1260"/>
      <c r="Y15" s="3384" t="s">
        <v>1691</v>
      </c>
      <c r="Z15" s="1259" t="str">
        <f t="shared" si="7"/>
        <v>产业集聚程度</v>
      </c>
      <c r="AA15" s="1259">
        <f t="shared" si="3"/>
        <v>1</v>
      </c>
      <c r="AB15" s="1259">
        <f t="shared" si="4"/>
        <v>1</v>
      </c>
      <c r="AC15" s="1259">
        <f t="shared" si="5"/>
        <v>1</v>
      </c>
    </row>
    <row r="16" spans="1:29" ht="15">
      <c r="A16" s="365"/>
      <c r="B16" s="553"/>
      <c r="C16" s="384"/>
      <c r="D16" s="385"/>
      <c r="E16" s="1753"/>
      <c r="F16" s="385"/>
      <c r="G16" s="1753"/>
      <c r="H16" s="387"/>
      <c r="I16" s="1753"/>
      <c r="J16" s="385"/>
      <c r="K16" s="590"/>
      <c r="L16" s="2486"/>
      <c r="M16" s="2481"/>
      <c r="N16" s="2481"/>
      <c r="O16" s="2536"/>
      <c r="P16" s="3385"/>
      <c r="Q16" s="1258"/>
      <c r="R16" s="663"/>
      <c r="S16" s="664"/>
      <c r="T16" s="663"/>
      <c r="U16" s="664"/>
      <c r="V16" s="663"/>
      <c r="W16" s="664"/>
      <c r="X16" s="1260"/>
      <c r="Y16" s="3385"/>
      <c r="Z16" s="1259"/>
      <c r="AA16" s="1259">
        <v>1</v>
      </c>
      <c r="AB16" s="1259">
        <v>1</v>
      </c>
      <c r="AC16" s="1259">
        <v>1</v>
      </c>
    </row>
    <row r="17" spans="1:29" ht="85.5">
      <c r="A17" s="365"/>
      <c r="B17" s="554" t="s">
        <v>1833</v>
      </c>
      <c r="C17" s="1749"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385"/>
      <c r="Q17" s="1258" t="str">
        <f>B17</f>
        <v>交通便捷度</v>
      </c>
      <c r="R17" s="663" t="s">
        <v>14</v>
      </c>
      <c r="S17" s="664">
        <f>F17</f>
        <v>100</v>
      </c>
      <c r="T17" s="663" t="s">
        <v>14</v>
      </c>
      <c r="U17" s="664">
        <f>H17</f>
        <v>100</v>
      </c>
      <c r="V17" s="663" t="s">
        <v>14</v>
      </c>
      <c r="W17" s="664">
        <f>J17</f>
        <v>100</v>
      </c>
      <c r="X17" s="1260"/>
      <c r="Y17" s="3385"/>
      <c r="Z17" s="1259" t="str">
        <f>Q17</f>
        <v>交通便捷度</v>
      </c>
      <c r="AA17" s="1259">
        <f t="shared" si="3"/>
        <v>1</v>
      </c>
      <c r="AB17" s="1259">
        <f t="shared" si="4"/>
        <v>1</v>
      </c>
      <c r="AC17" s="1259">
        <f t="shared" si="5"/>
        <v>1</v>
      </c>
    </row>
    <row r="18" spans="1:29" ht="15">
      <c r="A18" s="365"/>
      <c r="B18" s="399"/>
      <c r="C18" s="384"/>
      <c r="D18" s="385"/>
      <c r="E18" s="1747"/>
      <c r="F18" s="385"/>
      <c r="G18" s="1747"/>
      <c r="H18" s="385"/>
      <c r="I18" s="1746"/>
      <c r="J18" s="385"/>
      <c r="K18" s="590"/>
      <c r="L18" s="2486"/>
      <c r="M18" s="2481"/>
      <c r="N18" s="2481"/>
      <c r="O18" s="2536"/>
      <c r="P18" s="3385"/>
      <c r="Q18" s="1258"/>
      <c r="R18" s="663"/>
      <c r="S18" s="664"/>
      <c r="T18" s="663"/>
      <c r="U18" s="664"/>
      <c r="V18" s="663"/>
      <c r="W18" s="664"/>
      <c r="X18" s="1260"/>
      <c r="Y18" s="3385"/>
      <c r="Z18" s="1259"/>
      <c r="AA18" s="1259">
        <v>1</v>
      </c>
      <c r="AB18" s="1259">
        <v>1</v>
      </c>
      <c r="AC18" s="1259">
        <v>1</v>
      </c>
    </row>
    <row r="19" spans="1:29" ht="15">
      <c r="A19" s="365"/>
      <c r="B19" s="554" t="s">
        <v>1871</v>
      </c>
      <c r="C19" s="1749">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385"/>
      <c r="Q19" s="1258" t="str">
        <f t="shared" ref="Q19:Q33" si="8">B19</f>
        <v>区域土地利用方向</v>
      </c>
      <c r="R19" s="663" t="s">
        <v>14</v>
      </c>
      <c r="S19" s="664">
        <f>F19</f>
        <v>100</v>
      </c>
      <c r="T19" s="663" t="s">
        <v>14</v>
      </c>
      <c r="U19" s="664">
        <f>H19</f>
        <v>100</v>
      </c>
      <c r="V19" s="663" t="s">
        <v>14</v>
      </c>
      <c r="W19" s="664">
        <f>J19</f>
        <v>100</v>
      </c>
      <c r="X19" s="1260"/>
      <c r="Y19" s="3385"/>
      <c r="Z19" s="1259" t="str">
        <f>Q19</f>
        <v>区域土地利用方向</v>
      </c>
      <c r="AA19" s="1259">
        <f t="shared" si="3"/>
        <v>1</v>
      </c>
      <c r="AB19" s="1259">
        <f t="shared" si="4"/>
        <v>1</v>
      </c>
      <c r="AC19" s="1259">
        <f t="shared" si="5"/>
        <v>1</v>
      </c>
    </row>
    <row r="20" spans="1:29" ht="15">
      <c r="A20" s="346"/>
      <c r="B20" s="399"/>
      <c r="C20" s="384"/>
      <c r="D20" s="385"/>
      <c r="E20" s="1747"/>
      <c r="F20" s="385"/>
      <c r="G20" s="1747"/>
      <c r="H20" s="385"/>
      <c r="I20" s="1747"/>
      <c r="J20" s="385"/>
      <c r="K20" s="694"/>
      <c r="L20" s="2486"/>
      <c r="M20" s="2481"/>
      <c r="N20" s="2481"/>
      <c r="O20" s="2536"/>
      <c r="P20" s="3385"/>
      <c r="Q20" s="1258"/>
      <c r="R20" s="663"/>
      <c r="S20" s="664"/>
      <c r="T20" s="663"/>
      <c r="U20" s="664"/>
      <c r="V20" s="663"/>
      <c r="W20" s="664"/>
      <c r="X20" s="1260"/>
      <c r="Y20" s="3385"/>
      <c r="Z20" s="1259"/>
      <c r="AA20" s="1259"/>
      <c r="AB20" s="1259"/>
      <c r="AC20" s="1259"/>
    </row>
    <row r="21" spans="1:29" ht="71.25">
      <c r="A21" s="346"/>
      <c r="B21" s="554" t="s">
        <v>1921</v>
      </c>
      <c r="C21" s="1749"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385"/>
      <c r="Q21" s="1258" t="str">
        <f t="shared" si="8"/>
        <v>环境状况</v>
      </c>
      <c r="R21" s="663" t="s">
        <v>14</v>
      </c>
      <c r="S21" s="664">
        <f>F21</f>
        <v>100</v>
      </c>
      <c r="T21" s="663" t="s">
        <v>14</v>
      </c>
      <c r="U21" s="664">
        <f>H21</f>
        <v>100</v>
      </c>
      <c r="V21" s="663" t="s">
        <v>14</v>
      </c>
      <c r="W21" s="664">
        <f>J21</f>
        <v>100</v>
      </c>
      <c r="X21" s="1260"/>
      <c r="Y21" s="3385"/>
      <c r="Z21" s="1259" t="str">
        <f>Q21</f>
        <v>环境状况</v>
      </c>
      <c r="AA21" s="1259">
        <f t="shared" si="3"/>
        <v>1</v>
      </c>
      <c r="AB21" s="1259">
        <f t="shared" si="4"/>
        <v>1</v>
      </c>
      <c r="AC21" s="1259">
        <f t="shared" si="5"/>
        <v>1</v>
      </c>
    </row>
    <row r="22" spans="1:29" ht="15">
      <c r="A22" s="346"/>
      <c r="B22" s="399"/>
      <c r="C22" s="384"/>
      <c r="D22" s="385"/>
      <c r="E22" s="1753"/>
      <c r="F22" s="385"/>
      <c r="G22" s="1753"/>
      <c r="H22" s="385"/>
      <c r="I22" s="384"/>
      <c r="J22" s="385"/>
      <c r="K22" s="590"/>
      <c r="L22" s="2486"/>
      <c r="M22" s="2481"/>
      <c r="N22" s="2481"/>
      <c r="O22" s="2536"/>
      <c r="P22" s="3385"/>
      <c r="Q22" s="1258"/>
      <c r="R22" s="663"/>
      <c r="S22" s="664"/>
      <c r="T22" s="663"/>
      <c r="U22" s="664"/>
      <c r="V22" s="663"/>
      <c r="W22" s="664"/>
      <c r="X22" s="1260"/>
      <c r="Y22" s="3385"/>
      <c r="Z22" s="1259"/>
      <c r="AA22" s="1259">
        <v>1</v>
      </c>
      <c r="AB22" s="1259">
        <v>1</v>
      </c>
      <c r="AC22" s="1259">
        <v>1</v>
      </c>
    </row>
    <row r="23" spans="1:29" s="101" customFormat="1" ht="42.75">
      <c r="A23" s="441"/>
      <c r="B23" s="555" t="s">
        <v>1778</v>
      </c>
      <c r="C23" s="1749"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4"/>
      <c r="N23" s="2434"/>
      <c r="O23" s="2534"/>
      <c r="P23" s="3385"/>
      <c r="Q23" s="528" t="str">
        <f t="shared" si="8"/>
        <v>公共配套设施</v>
      </c>
      <c r="R23" s="660" t="s">
        <v>14</v>
      </c>
      <c r="S23" s="661">
        <f>F23</f>
        <v>100</v>
      </c>
      <c r="T23" s="660" t="s">
        <v>14</v>
      </c>
      <c r="U23" s="661">
        <f>H23</f>
        <v>100</v>
      </c>
      <c r="V23" s="660" t="s">
        <v>14</v>
      </c>
      <c r="W23" s="661">
        <f>J23</f>
        <v>100</v>
      </c>
      <c r="X23" s="662"/>
      <c r="Y23" s="3385"/>
      <c r="Z23" s="50" t="str">
        <f>Q23</f>
        <v>公共配套设施</v>
      </c>
      <c r="AA23" s="1259">
        <f>D23/F23</f>
        <v>1</v>
      </c>
      <c r="AB23" s="1259">
        <f>D23/H23</f>
        <v>1</v>
      </c>
      <c r="AC23" s="1259">
        <f>D23/J23</f>
        <v>1</v>
      </c>
    </row>
    <row r="24" spans="1:29" s="101" customFormat="1" ht="15">
      <c r="A24" s="441"/>
      <c r="B24" s="399"/>
      <c r="C24" s="1821"/>
      <c r="D24" s="385"/>
      <c r="E24" s="1753"/>
      <c r="F24" s="385"/>
      <c r="G24" s="1753"/>
      <c r="H24" s="385"/>
      <c r="I24" s="384"/>
      <c r="J24" s="385"/>
      <c r="K24" s="590"/>
      <c r="L24" s="2482"/>
      <c r="M24" s="2434"/>
      <c r="N24" s="2434"/>
      <c r="O24" s="2534"/>
      <c r="P24" s="3385"/>
      <c r="Q24" s="528"/>
      <c r="R24" s="660"/>
      <c r="S24" s="661"/>
      <c r="T24" s="660"/>
      <c r="U24" s="661"/>
      <c r="V24" s="660"/>
      <c r="W24" s="661"/>
      <c r="X24" s="662"/>
      <c r="Y24" s="3385"/>
      <c r="Z24" s="50"/>
      <c r="AA24" s="50">
        <v>1</v>
      </c>
      <c r="AB24" s="50">
        <v>1</v>
      </c>
      <c r="AC24" s="50">
        <v>1</v>
      </c>
    </row>
    <row r="25" spans="1:29" s="101" customFormat="1" ht="28.5">
      <c r="A25" s="441"/>
      <c r="B25" s="555" t="s">
        <v>1779</v>
      </c>
      <c r="C25" s="1749"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4"/>
      <c r="N25" s="2434"/>
      <c r="O25" s="2534"/>
      <c r="P25" s="3385"/>
      <c r="Q25" s="528" t="str">
        <f t="shared" ref="Q25" si="9">B25</f>
        <v>基础设施水平</v>
      </c>
      <c r="R25" s="660" t="s">
        <v>14</v>
      </c>
      <c r="S25" s="661">
        <f>F25</f>
        <v>100</v>
      </c>
      <c r="T25" s="660" t="s">
        <v>14</v>
      </c>
      <c r="U25" s="661">
        <f>H25</f>
        <v>100</v>
      </c>
      <c r="V25" s="660" t="s">
        <v>14</v>
      </c>
      <c r="W25" s="661">
        <f>J25</f>
        <v>100</v>
      </c>
      <c r="X25" s="662"/>
      <c r="Y25" s="3385"/>
      <c r="Z25" s="50" t="str">
        <f>Q25</f>
        <v>基础设施水平</v>
      </c>
      <c r="AA25" s="1259">
        <f>D25/F25</f>
        <v>1</v>
      </c>
      <c r="AB25" s="1259">
        <f>D25/H25</f>
        <v>1</v>
      </c>
      <c r="AC25" s="1259">
        <f>D25/J25</f>
        <v>1</v>
      </c>
    </row>
    <row r="26" spans="1:29" s="101" customFormat="1" ht="15">
      <c r="A26" s="441"/>
      <c r="B26" s="399"/>
      <c r="C26" s="1821"/>
      <c r="D26" s="385"/>
      <c r="E26" s="1822"/>
      <c r="F26" s="385"/>
      <c r="G26" s="1822"/>
      <c r="H26" s="385"/>
      <c r="I26" s="1822"/>
      <c r="J26" s="385"/>
      <c r="K26" s="590"/>
      <c r="L26" s="2482"/>
      <c r="M26" s="2434"/>
      <c r="N26" s="2434"/>
      <c r="O26" s="2534"/>
      <c r="P26" s="3385"/>
      <c r="Q26" s="528"/>
      <c r="R26" s="660"/>
      <c r="S26" s="661"/>
      <c r="T26" s="660"/>
      <c r="U26" s="661"/>
      <c r="V26" s="660"/>
      <c r="W26" s="661"/>
      <c r="X26" s="662"/>
      <c r="Y26" s="3385"/>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385"/>
      <c r="Q27" s="1258" t="str">
        <f t="shared" si="8"/>
        <v>临街状况</v>
      </c>
      <c r="R27" s="663" t="s">
        <v>14</v>
      </c>
      <c r="S27" s="664">
        <f t="shared" ref="S27:S40" si="10">F27</f>
        <v>100</v>
      </c>
      <c r="T27" s="663" t="s">
        <v>14</v>
      </c>
      <c r="U27" s="664">
        <f t="shared" ref="U27:U40" si="11">H27</f>
        <v>100</v>
      </c>
      <c r="V27" s="663" t="s">
        <v>14</v>
      </c>
      <c r="W27" s="664">
        <f t="shared" ref="W27:W40" si="12">J27</f>
        <v>100</v>
      </c>
      <c r="X27" s="1260"/>
      <c r="Y27" s="3385"/>
      <c r="Z27" s="1259" t="str">
        <f t="shared" ref="Z27:Z40" si="13">Q27</f>
        <v>临街状况</v>
      </c>
      <c r="AA27" s="1259">
        <f t="shared" si="3"/>
        <v>1</v>
      </c>
      <c r="AB27" s="1259">
        <f t="shared" si="4"/>
        <v>1</v>
      </c>
      <c r="AC27" s="1259">
        <f t="shared" si="5"/>
        <v>1</v>
      </c>
    </row>
    <row r="28" spans="1:29" ht="27">
      <c r="A28" s="365"/>
      <c r="B28" s="555" t="s">
        <v>1815</v>
      </c>
      <c r="C28" s="1833">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385"/>
      <c r="Q28" s="1258" t="str">
        <f t="shared" si="8"/>
        <v>毗邻道路的类型与等级</v>
      </c>
      <c r="R28" s="663" t="s">
        <v>14</v>
      </c>
      <c r="S28" s="664">
        <f t="shared" si="10"/>
        <v>100</v>
      </c>
      <c r="T28" s="663" t="s">
        <v>14</v>
      </c>
      <c r="U28" s="664">
        <f t="shared" si="11"/>
        <v>100</v>
      </c>
      <c r="V28" s="663" t="s">
        <v>14</v>
      </c>
      <c r="W28" s="664">
        <f t="shared" si="12"/>
        <v>100</v>
      </c>
      <c r="X28" s="1260"/>
      <c r="Y28" s="3385"/>
      <c r="Z28" s="1259" t="str">
        <f t="shared" si="13"/>
        <v>毗邻道路的类型与等级</v>
      </c>
      <c r="AA28" s="1259">
        <f t="shared" si="3"/>
        <v>1</v>
      </c>
      <c r="AB28" s="1259">
        <f t="shared" si="4"/>
        <v>1</v>
      </c>
      <c r="AC28" s="1259">
        <f t="shared" si="5"/>
        <v>1</v>
      </c>
    </row>
    <row r="29" spans="1:29" ht="15">
      <c r="A29" s="365"/>
      <c r="B29" s="399"/>
      <c r="C29" s="384"/>
      <c r="D29" s="385"/>
      <c r="E29" s="1753"/>
      <c r="F29" s="385"/>
      <c r="G29" s="1753"/>
      <c r="H29" s="385"/>
      <c r="I29" s="1753"/>
      <c r="J29" s="385"/>
      <c r="K29" s="537"/>
      <c r="L29" s="2486"/>
      <c r="M29" s="2481"/>
      <c r="N29" s="2481"/>
      <c r="O29" s="2536"/>
      <c r="P29" s="3385"/>
      <c r="Q29" s="1258"/>
      <c r="R29" s="663"/>
      <c r="S29" s="664"/>
      <c r="T29" s="663"/>
      <c r="U29" s="664"/>
      <c r="V29" s="663"/>
      <c r="W29" s="664"/>
      <c r="X29" s="1260"/>
      <c r="Y29" s="3385"/>
      <c r="Z29" s="1259"/>
      <c r="AA29" s="1259">
        <v>1</v>
      </c>
      <c r="AB29" s="1259">
        <v>1</v>
      </c>
      <c r="AC29" s="1259">
        <v>1</v>
      </c>
    </row>
    <row r="30" spans="1:29" ht="15">
      <c r="A30" s="365"/>
      <c r="B30" s="117" t="s">
        <v>1873</v>
      </c>
      <c r="C30" s="1065">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385"/>
      <c r="Q30" s="1258" t="str">
        <f t="shared" si="8"/>
        <v>土地级别</v>
      </c>
      <c r="R30" s="663" t="s">
        <v>14</v>
      </c>
      <c r="S30" s="664">
        <f t="shared" si="10"/>
        <v>100</v>
      </c>
      <c r="T30" s="663" t="s">
        <v>14</v>
      </c>
      <c r="U30" s="664">
        <f t="shared" si="11"/>
        <v>100</v>
      </c>
      <c r="V30" s="663" t="s">
        <v>14</v>
      </c>
      <c r="W30" s="664">
        <f t="shared" si="12"/>
        <v>100</v>
      </c>
      <c r="X30" s="1260"/>
      <c r="Y30" s="3385"/>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385"/>
      <c r="Q31" s="1258">
        <f t="shared" si="8"/>
        <v>111</v>
      </c>
      <c r="R31" s="663" t="s">
        <v>14</v>
      </c>
      <c r="S31" s="664">
        <f t="shared" si="10"/>
        <v>100</v>
      </c>
      <c r="T31" s="663" t="s">
        <v>14</v>
      </c>
      <c r="U31" s="664">
        <f t="shared" si="11"/>
        <v>100</v>
      </c>
      <c r="V31" s="663" t="s">
        <v>14</v>
      </c>
      <c r="W31" s="664">
        <f t="shared" si="12"/>
        <v>100</v>
      </c>
      <c r="X31" s="1260"/>
      <c r="Y31" s="3385"/>
      <c r="Z31" s="1259">
        <f t="shared" si="13"/>
        <v>111</v>
      </c>
      <c r="AA31" s="1259">
        <f t="shared" si="3"/>
        <v>1</v>
      </c>
      <c r="AB31" s="1259">
        <f t="shared" si="4"/>
        <v>1</v>
      </c>
      <c r="AC31" s="1259">
        <f t="shared" si="5"/>
        <v>1</v>
      </c>
    </row>
    <row r="32" spans="1:29" ht="15">
      <c r="A32" s="593"/>
      <c r="B32" s="1834">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386" t="s">
        <v>1696</v>
      </c>
      <c r="Q32" s="1258">
        <f t="shared" si="8"/>
        <v>111</v>
      </c>
      <c r="R32" s="663" t="s">
        <v>14</v>
      </c>
      <c r="S32" s="664">
        <f t="shared" si="10"/>
        <v>100</v>
      </c>
      <c r="T32" s="663" t="s">
        <v>14</v>
      </c>
      <c r="U32" s="664">
        <f t="shared" si="11"/>
        <v>100</v>
      </c>
      <c r="V32" s="663" t="s">
        <v>14</v>
      </c>
      <c r="W32" s="664">
        <f t="shared" si="12"/>
        <v>100</v>
      </c>
      <c r="X32" s="1260"/>
      <c r="Y32" s="3387" t="s">
        <v>1696</v>
      </c>
      <c r="Z32" s="1259">
        <f t="shared" si="13"/>
        <v>111</v>
      </c>
      <c r="AA32" s="1259">
        <f t="shared" si="3"/>
        <v>1</v>
      </c>
      <c r="AB32" s="1259">
        <f t="shared" si="4"/>
        <v>1</v>
      </c>
      <c r="AC32" s="1259">
        <f t="shared" si="5"/>
        <v>1</v>
      </c>
    </row>
    <row r="33" spans="1:31" s="406" customFormat="1" ht="15.75" thickBot="1">
      <c r="A33" s="594"/>
      <c r="B33" s="1835">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387"/>
      <c r="Q33" s="1258">
        <f t="shared" si="8"/>
        <v>111</v>
      </c>
      <c r="R33" s="665" t="s">
        <v>14</v>
      </c>
      <c r="S33" s="666">
        <f t="shared" si="10"/>
        <v>100</v>
      </c>
      <c r="T33" s="665" t="s">
        <v>14</v>
      </c>
      <c r="U33" s="666">
        <f t="shared" si="11"/>
        <v>100</v>
      </c>
      <c r="V33" s="665" t="s">
        <v>14</v>
      </c>
      <c r="W33" s="666">
        <f t="shared" si="12"/>
        <v>100</v>
      </c>
      <c r="X33" s="667"/>
      <c r="Y33" s="3387"/>
      <c r="Z33" s="668">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387"/>
      <c r="Q34" s="1258" t="str">
        <f>B34</f>
        <v>宗地面积</v>
      </c>
      <c r="R34" s="663" t="s">
        <v>14</v>
      </c>
      <c r="S34" s="664" t="e">
        <f t="shared" si="10"/>
        <v>#N/A</v>
      </c>
      <c r="T34" s="663" t="s">
        <v>14</v>
      </c>
      <c r="U34" s="664" t="e">
        <f t="shared" si="11"/>
        <v>#N/A</v>
      </c>
      <c r="V34" s="663" t="s">
        <v>14</v>
      </c>
      <c r="W34" s="664" t="e">
        <f t="shared" si="12"/>
        <v>#N/A</v>
      </c>
      <c r="X34" s="1260"/>
      <c r="Y34" s="3387"/>
      <c r="Z34" s="1259" t="str">
        <f t="shared" si="13"/>
        <v>宗地面积</v>
      </c>
      <c r="AA34" s="1259" t="e">
        <f t="shared" si="3"/>
        <v>#N/A</v>
      </c>
      <c r="AB34" s="1259" t="e">
        <f t="shared" si="4"/>
        <v>#N/A</v>
      </c>
      <c r="AC34" s="1259" t="e">
        <f t="shared" si="5"/>
        <v>#N/A</v>
      </c>
    </row>
    <row r="35" spans="1:31" ht="15">
      <c r="A35" s="407"/>
      <c r="B35" s="362" t="s">
        <v>1875</v>
      </c>
      <c r="C35" s="1755"/>
      <c r="D35" s="372">
        <v>100</v>
      </c>
      <c r="E35" s="1755"/>
      <c r="F35" s="372">
        <f>SUMIF(110:110,E35,111:111)-SUMIF(110:110,C35,111:111)+100</f>
        <v>100</v>
      </c>
      <c r="G35" s="1755"/>
      <c r="H35" s="372">
        <f>SUMIF(110:110,G35,111:111)-SUMIF(110:110,C35,111:111)+100</f>
        <v>100</v>
      </c>
      <c r="I35" s="1755"/>
      <c r="J35" s="372">
        <f>SUMIF(110:110,I35,111:111)-SUMIF(110:110,C35,111:111)+100</f>
        <v>100</v>
      </c>
      <c r="K35" s="536"/>
      <c r="L35" s="2486"/>
      <c r="M35" s="2481"/>
      <c r="N35" s="2481"/>
      <c r="O35" s="2536"/>
      <c r="P35" s="3387"/>
      <c r="Q35" s="1258" t="str">
        <f t="shared" ref="Q35:Q40" si="14">B35</f>
        <v>宗地形状</v>
      </c>
      <c r="R35" s="663" t="s">
        <v>14</v>
      </c>
      <c r="S35" s="664">
        <f t="shared" si="10"/>
        <v>100</v>
      </c>
      <c r="T35" s="663" t="s">
        <v>14</v>
      </c>
      <c r="U35" s="664">
        <f t="shared" si="11"/>
        <v>100</v>
      </c>
      <c r="V35" s="663" t="s">
        <v>14</v>
      </c>
      <c r="W35" s="664">
        <f t="shared" si="12"/>
        <v>100</v>
      </c>
      <c r="X35" s="1260"/>
      <c r="Y35" s="3387"/>
      <c r="Z35" s="1259" t="str">
        <f t="shared" si="13"/>
        <v>宗地形状</v>
      </c>
      <c r="AA35" s="1259">
        <f t="shared" si="3"/>
        <v>1</v>
      </c>
      <c r="AB35" s="1259">
        <f t="shared" si="4"/>
        <v>1</v>
      </c>
      <c r="AC35" s="1259">
        <f t="shared" si="5"/>
        <v>1</v>
      </c>
    </row>
    <row r="36" spans="1:31" s="101" customFormat="1" ht="15">
      <c r="A36" s="408"/>
      <c r="B36" s="362" t="s">
        <v>1877</v>
      </c>
      <c r="C36" s="1823"/>
      <c r="D36" s="117">
        <v>100</v>
      </c>
      <c r="E36" s="1823"/>
      <c r="F36" s="372">
        <f>SUMIF(112:112,E36,113:113)-SUMIF(112:112,C36,113:113)+100</f>
        <v>100</v>
      </c>
      <c r="G36" s="1823"/>
      <c r="H36" s="372">
        <f>SUMIF(112:112,G36,113:113)-SUMIF(112:112,C36,113:113)+100</f>
        <v>100</v>
      </c>
      <c r="I36" s="1823"/>
      <c r="J36" s="372">
        <f>SUMIF(112:112,I36,113:113)-SUMIF(112:112,C36,113:113)+100</f>
        <v>100</v>
      </c>
      <c r="K36" s="536"/>
      <c r="L36" s="2482"/>
      <c r="M36" s="2434"/>
      <c r="N36" s="2434"/>
      <c r="O36" s="2534"/>
      <c r="P36" s="3387"/>
      <c r="Q36" s="1258" t="str">
        <f t="shared" si="14"/>
        <v>宗地开发程度</v>
      </c>
      <c r="R36" s="660" t="s">
        <v>14</v>
      </c>
      <c r="S36" s="661">
        <f t="shared" si="10"/>
        <v>100</v>
      </c>
      <c r="T36" s="660" t="s">
        <v>14</v>
      </c>
      <c r="U36" s="661">
        <f t="shared" si="11"/>
        <v>100</v>
      </c>
      <c r="V36" s="660" t="s">
        <v>14</v>
      </c>
      <c r="W36" s="661">
        <f t="shared" si="12"/>
        <v>100</v>
      </c>
      <c r="X36" s="662"/>
      <c r="Y36" s="3387"/>
      <c r="Z36" s="50" t="str">
        <f t="shared" si="13"/>
        <v>宗地开发程度</v>
      </c>
      <c r="AA36" s="50">
        <f t="shared" si="3"/>
        <v>1</v>
      </c>
      <c r="AB36" s="50">
        <f t="shared" si="4"/>
        <v>1</v>
      </c>
      <c r="AC36" s="50">
        <f t="shared" si="5"/>
        <v>1</v>
      </c>
    </row>
    <row r="37" spans="1:31" ht="15">
      <c r="A37" s="407"/>
      <c r="B37" s="362" t="s">
        <v>1878</v>
      </c>
      <c r="C37" s="1755"/>
      <c r="D37" s="372">
        <v>100</v>
      </c>
      <c r="E37" s="1755"/>
      <c r="F37" s="372">
        <f>SUMIF(114:114,E37,115:115)-SUMIF(114:114,C37,115:115)+100</f>
        <v>100</v>
      </c>
      <c r="G37" s="1755"/>
      <c r="H37" s="372">
        <f>SUMIF(114:114,G37,115:115)-SUMIF(114:114,C37,115:115)+100</f>
        <v>100</v>
      </c>
      <c r="I37" s="1755"/>
      <c r="J37" s="372">
        <f>SUMIF(114:114,I37,115:115)-SUMIF(114:114,C37,115:115)+100</f>
        <v>100</v>
      </c>
      <c r="K37" s="536"/>
      <c r="L37" s="2486"/>
      <c r="M37" s="2481"/>
      <c r="N37" s="2481"/>
      <c r="O37" s="2536"/>
      <c r="P37" s="3387" t="s">
        <v>1696</v>
      </c>
      <c r="Q37" s="1258" t="str">
        <f t="shared" si="14"/>
        <v>工程地质条件</v>
      </c>
      <c r="R37" s="663" t="s">
        <v>14</v>
      </c>
      <c r="S37" s="664">
        <f t="shared" si="10"/>
        <v>100</v>
      </c>
      <c r="T37" s="663" t="s">
        <v>14</v>
      </c>
      <c r="U37" s="664">
        <f t="shared" si="11"/>
        <v>100</v>
      </c>
      <c r="V37" s="663" t="s">
        <v>14</v>
      </c>
      <c r="W37" s="664">
        <f t="shared" si="12"/>
        <v>100</v>
      </c>
      <c r="X37" s="1260"/>
      <c r="Y37" s="3387" t="s">
        <v>1696</v>
      </c>
      <c r="Z37" s="1259" t="str">
        <f t="shared" si="13"/>
        <v>工程地质条件</v>
      </c>
      <c r="AA37" s="1259">
        <f t="shared" si="3"/>
        <v>1</v>
      </c>
      <c r="AB37" s="1259">
        <f t="shared" si="4"/>
        <v>1</v>
      </c>
      <c r="AC37" s="1259">
        <f t="shared" si="5"/>
        <v>1</v>
      </c>
    </row>
    <row r="38" spans="1:31" ht="15">
      <c r="A38" s="407"/>
      <c r="B38" s="1063">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387"/>
      <c r="Q38" s="1258">
        <f t="shared" si="14"/>
        <v>111</v>
      </c>
      <c r="R38" s="663" t="s">
        <v>14</v>
      </c>
      <c r="S38" s="664">
        <f t="shared" si="10"/>
        <v>100</v>
      </c>
      <c r="T38" s="663" t="s">
        <v>14</v>
      </c>
      <c r="U38" s="664">
        <f t="shared" si="11"/>
        <v>100</v>
      </c>
      <c r="V38" s="663" t="s">
        <v>14</v>
      </c>
      <c r="W38" s="664">
        <f t="shared" si="12"/>
        <v>100</v>
      </c>
      <c r="X38" s="1260"/>
      <c r="Y38" s="3387"/>
      <c r="Z38" s="1259">
        <f t="shared" si="13"/>
        <v>111</v>
      </c>
      <c r="AA38" s="1259">
        <f t="shared" si="3"/>
        <v>1</v>
      </c>
      <c r="AB38" s="1259">
        <f t="shared" si="4"/>
        <v>1</v>
      </c>
      <c r="AC38" s="1259">
        <f t="shared" si="5"/>
        <v>1</v>
      </c>
    </row>
    <row r="39" spans="1:31" ht="15">
      <c r="A39" s="407"/>
      <c r="B39" s="1063">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387"/>
      <c r="Q39" s="1258">
        <f t="shared" si="14"/>
        <v>111</v>
      </c>
      <c r="R39" s="663" t="s">
        <v>14</v>
      </c>
      <c r="S39" s="664">
        <f t="shared" si="10"/>
        <v>100</v>
      </c>
      <c r="T39" s="663" t="s">
        <v>14</v>
      </c>
      <c r="U39" s="664">
        <f t="shared" si="11"/>
        <v>100</v>
      </c>
      <c r="V39" s="663" t="s">
        <v>14</v>
      </c>
      <c r="W39" s="664">
        <f t="shared" si="12"/>
        <v>100</v>
      </c>
      <c r="X39" s="1260"/>
      <c r="Y39" s="3387"/>
      <c r="Z39" s="1259">
        <f t="shared" si="13"/>
        <v>111</v>
      </c>
      <c r="AA39" s="1259">
        <f t="shared" si="3"/>
        <v>1</v>
      </c>
      <c r="AB39" s="1259">
        <f t="shared" si="4"/>
        <v>1</v>
      </c>
      <c r="AC39" s="1259">
        <f t="shared" si="5"/>
        <v>1</v>
      </c>
    </row>
    <row r="40" spans="1:31" s="406" customFormat="1" ht="15.75" thickBot="1">
      <c r="A40" s="404"/>
      <c r="B40" s="1063">
        <v>111</v>
      </c>
      <c r="C40" s="1824"/>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387"/>
      <c r="Q40" s="1258">
        <f t="shared" si="14"/>
        <v>111</v>
      </c>
      <c r="R40" s="665" t="s">
        <v>14</v>
      </c>
      <c r="S40" s="666">
        <f t="shared" si="10"/>
        <v>100</v>
      </c>
      <c r="T40" s="665" t="s">
        <v>14</v>
      </c>
      <c r="U40" s="666">
        <f t="shared" si="11"/>
        <v>100</v>
      </c>
      <c r="V40" s="665" t="s">
        <v>14</v>
      </c>
      <c r="W40" s="666">
        <f t="shared" si="12"/>
        <v>100</v>
      </c>
      <c r="X40" s="667"/>
      <c r="Y40" s="3387"/>
      <c r="Z40" s="668">
        <f t="shared" si="13"/>
        <v>111</v>
      </c>
      <c r="AA40" s="1259">
        <f t="shared" si="3"/>
        <v>1</v>
      </c>
      <c r="AB40" s="1259">
        <f t="shared" si="4"/>
        <v>1</v>
      </c>
      <c r="AC40" s="1259">
        <f t="shared" si="5"/>
        <v>1</v>
      </c>
    </row>
    <row r="41" spans="1:31" ht="15">
      <c r="A41" s="414" t="s">
        <v>1844</v>
      </c>
      <c r="B41" s="1825" t="s">
        <v>1922</v>
      </c>
      <c r="C41" s="600" t="s">
        <v>0</v>
      </c>
      <c r="D41" s="416"/>
      <c r="E41" s="417"/>
      <c r="F41" s="418"/>
      <c r="G41" s="419"/>
      <c r="H41" s="420"/>
      <c r="I41" s="417"/>
      <c r="J41" s="420"/>
      <c r="K41" s="670"/>
      <c r="L41" s="2488"/>
      <c r="M41" s="2481"/>
      <c r="N41" s="2481"/>
      <c r="O41" s="2481"/>
      <c r="P41" s="3383" t="str">
        <f>A41</f>
        <v>成交单价</v>
      </c>
      <c r="Q41" s="3383"/>
      <c r="R41" s="3388">
        <f>E41</f>
        <v>0</v>
      </c>
      <c r="S41" s="3388"/>
      <c r="T41" s="3388">
        <f>G41</f>
        <v>0</v>
      </c>
      <c r="U41" s="3388"/>
      <c r="V41" s="3388">
        <f>I41</f>
        <v>0</v>
      </c>
      <c r="W41" s="3388"/>
      <c r="X41" s="383"/>
      <c r="Y41" s="669"/>
      <c r="Z41" s="383"/>
      <c r="AA41" s="383"/>
      <c r="AB41" s="383"/>
      <c r="AC41" s="383"/>
    </row>
    <row r="42" spans="1:31" ht="15.75" thickBot="1">
      <c r="A42" s="421" t="s">
        <v>1793</v>
      </c>
      <c r="B42" s="601"/>
      <c r="C42" s="424" t="e">
        <f>R43</f>
        <v>#DIV/0!</v>
      </c>
      <c r="D42" s="2136" t="s">
        <v>2138</v>
      </c>
      <c r="E42" s="424" t="e">
        <f>R42</f>
        <v>#DIV/0!</v>
      </c>
      <c r="F42" s="2137"/>
      <c r="G42" s="423" t="e">
        <f>T42</f>
        <v>#DIV/0!</v>
      </c>
      <c r="H42" s="2137"/>
      <c r="I42" s="424" t="e">
        <f>V42</f>
        <v>#DIV/0!</v>
      </c>
      <c r="J42" s="2137"/>
      <c r="K42" s="2139">
        <f>F42+H42+J42</f>
        <v>0</v>
      </c>
      <c r="L42" s="2488"/>
      <c r="M42" s="2481"/>
      <c r="N42" s="2481"/>
      <c r="O42" s="2481"/>
      <c r="P42" s="3383" t="str">
        <f>A42</f>
        <v>比较价值（元/平方米）</v>
      </c>
      <c r="Q42" s="3383"/>
      <c r="R42" s="3376" t="e">
        <f>ROUND(PRODUCT(R41,AA7:AA40),0)</f>
        <v>#DIV/0!</v>
      </c>
      <c r="S42" s="3376"/>
      <c r="T42" s="3376" t="e">
        <f>ROUND(PRODUCT(T41,AB7:AB40),0)</f>
        <v>#DIV/0!</v>
      </c>
      <c r="U42" s="3376"/>
      <c r="V42" s="3376" t="e">
        <f>ROUND(PRODUCT(V41,AC7:AC40),0)</f>
        <v>#DIV/0!</v>
      </c>
      <c r="W42" s="3376"/>
      <c r="X42" s="383"/>
      <c r="Y42" s="383"/>
      <c r="Z42" s="383"/>
      <c r="AA42" s="383"/>
      <c r="AB42" s="383"/>
      <c r="AC42" s="383"/>
    </row>
    <row r="43" spans="1:31" ht="15.75" thickBot="1">
      <c r="A43" s="425" t="s">
        <v>1794</v>
      </c>
      <c r="B43" s="426"/>
      <c r="C43" s="427" t="e">
        <f>R43</f>
        <v>#DIV/0!</v>
      </c>
      <c r="D43" s="427"/>
      <c r="E43" s="427"/>
      <c r="F43" s="427"/>
      <c r="G43" s="427"/>
      <c r="H43" s="427"/>
      <c r="I43" s="427"/>
      <c r="J43" s="427"/>
      <c r="K43" s="671"/>
      <c r="L43" s="2488"/>
      <c r="M43" s="2481"/>
      <c r="N43" s="2481"/>
      <c r="O43" s="2481"/>
      <c r="P43" s="3377" t="str">
        <f>A43</f>
        <v>估价对象XX用房的比较价值（楼面单价，元/平方米）</v>
      </c>
      <c r="Q43" s="3378"/>
      <c r="R43" s="3379" t="e">
        <f>ROUND(IF(D42="简单平均",AVERAGE(R42:W42),R42*F42+T42*H42+V42*J42),0)</f>
        <v>#DIV/0!</v>
      </c>
      <c r="S43" s="3379"/>
      <c r="T43" s="3379"/>
      <c r="U43" s="3379"/>
      <c r="V43" s="3379"/>
      <c r="W43" s="3379"/>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6" t="s">
        <v>1883</v>
      </c>
      <c r="D50" s="1827" t="s">
        <v>1884</v>
      </c>
      <c r="E50" s="604" t="s">
        <v>1885</v>
      </c>
      <c r="F50" s="605" t="s">
        <v>1886</v>
      </c>
      <c r="G50" s="3380" t="s">
        <v>1887</v>
      </c>
      <c r="H50" s="3381"/>
      <c r="I50" s="1259" t="s">
        <v>1923</v>
      </c>
      <c r="J50" s="1259">
        <f>项目基本情况!F35</f>
        <v>0</v>
      </c>
      <c r="K50" s="1829"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6">
        <v>1</v>
      </c>
      <c r="E51" s="608">
        <f>'数据-汇总表'!E8+'数据-汇总表'!E9</f>
        <v>83916.17</v>
      </c>
      <c r="F51" s="609" t="e">
        <f t="shared" ref="F51:F60" si="15">ROUND(B51*E51/10000,0)</f>
        <v>#DIV/0!</v>
      </c>
      <c r="G51" s="3382"/>
      <c r="H51" s="3383"/>
      <c r="I51" s="723">
        <v>1</v>
      </c>
      <c r="J51" s="723">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8" t="e">
        <f>ROUND($C$43*C52*D52,0)</f>
        <v>#DIV/0!</v>
      </c>
      <c r="C52" s="161">
        <f t="shared" ref="C52:C60" si="16">IF($C$50="北京市系数",I52,J52)</f>
        <v>0.6</v>
      </c>
      <c r="D52" s="887">
        <v>0.25</v>
      </c>
      <c r="E52" s="612"/>
      <c r="F52" s="609" t="e">
        <f t="shared" si="15"/>
        <v>#DIV/0!</v>
      </c>
      <c r="G52" s="2744" t="s">
        <v>1892</v>
      </c>
      <c r="H52" s="830" t="str">
        <f>项目基本情况!B37</f>
        <v>七级</v>
      </c>
      <c r="I52" s="723">
        <f>SUMIF(修正!A57:A68,H52,修正!B57:B68)</f>
        <v>0.6</v>
      </c>
      <c r="J52" s="724"/>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8" t="e">
        <f t="shared" ref="B53:B60" si="17">ROUND($C$43*C53*D53,0)</f>
        <v>#DIV/0!</v>
      </c>
      <c r="C53" s="161">
        <f t="shared" si="16"/>
        <v>0.3</v>
      </c>
      <c r="D53" s="887">
        <v>0.25</v>
      </c>
      <c r="E53" s="612"/>
      <c r="F53" s="609" t="e">
        <f t="shared" si="15"/>
        <v>#DIV/0!</v>
      </c>
      <c r="G53" s="2745"/>
      <c r="H53" s="830" t="str">
        <f>项目基本情况!B37</f>
        <v>七级</v>
      </c>
      <c r="I53" s="723">
        <f>SUMIF(修正!A57:A68,H53,修正!C57:C68)</f>
        <v>0.3</v>
      </c>
      <c r="J53" s="724"/>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8" t="e">
        <f t="shared" si="17"/>
        <v>#DIV/0!</v>
      </c>
      <c r="C54" s="161">
        <f t="shared" si="16"/>
        <v>0.25</v>
      </c>
      <c r="D54" s="887">
        <v>0.25</v>
      </c>
      <c r="E54" s="612"/>
      <c r="F54" s="609" t="e">
        <f t="shared" si="15"/>
        <v>#DIV/0!</v>
      </c>
      <c r="G54" s="2745"/>
      <c r="H54" s="830" t="str">
        <f>项目基本情况!B37</f>
        <v>七级</v>
      </c>
      <c r="I54" s="723">
        <f>SUMIF(修正!A57:A68,H54,修正!D57:D68)</f>
        <v>0.25</v>
      </c>
      <c r="J54" s="724"/>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7"/>
      <c r="E55" s="612"/>
      <c r="F55" s="609"/>
      <c r="G55" s="2746"/>
      <c r="H55" s="830"/>
      <c r="I55" s="723"/>
      <c r="J55" s="724"/>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8" t="e">
        <f t="shared" si="17"/>
        <v>#DIV/0!</v>
      </c>
      <c r="C56" s="161">
        <f t="shared" si="16"/>
        <v>0.25</v>
      </c>
      <c r="D56" s="887">
        <v>0.25</v>
      </c>
      <c r="E56" s="207">
        <f>'数据-汇总表'!E11</f>
        <v>0</v>
      </c>
      <c r="F56" s="609" t="e">
        <f t="shared" si="15"/>
        <v>#DIV/0!</v>
      </c>
      <c r="G56" s="1830" t="s">
        <v>1896</v>
      </c>
      <c r="H56" s="830" t="str">
        <f>项目基本情况!C37</f>
        <v>七级</v>
      </c>
      <c r="I56" s="723">
        <f>SUMIF(修正!A57:A68,H56,修正!E57:E68)</f>
        <v>0.25</v>
      </c>
      <c r="J56" s="724"/>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8" t="e">
        <f t="shared" si="17"/>
        <v>#DIV/0!</v>
      </c>
      <c r="C57" s="161">
        <f t="shared" si="16"/>
        <v>0.25</v>
      </c>
      <c r="D57" s="887">
        <v>0.25</v>
      </c>
      <c r="E57" s="207">
        <f>'数据-汇总表'!E12</f>
        <v>0</v>
      </c>
      <c r="F57" s="609" t="e">
        <f t="shared" si="15"/>
        <v>#DIV/0!</v>
      </c>
      <c r="G57" s="835" t="s">
        <v>1898</v>
      </c>
      <c r="H57" s="830" t="str">
        <f>IF(G57="商业",项目基本情况!B37,IF(G57="办公",项目基本情况!C37,IF(G57="住宅",项目基本情况!D37,项目基本情况!E37)))</f>
        <v>七级</v>
      </c>
      <c r="I57" s="723">
        <f>SUMIF(修正!A57:A68,H57,修正!F57:F68)</f>
        <v>0.25</v>
      </c>
      <c r="J57" s="724"/>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8" t="e">
        <f t="shared" si="17"/>
        <v>#DIV/0!</v>
      </c>
      <c r="C58" s="161">
        <f t="shared" si="16"/>
        <v>0.15</v>
      </c>
      <c r="D58" s="887">
        <v>0.25</v>
      </c>
      <c r="E58" s="207">
        <f>'数据-汇总表'!E13</f>
        <v>46794.319999999992</v>
      </c>
      <c r="F58" s="609" t="e">
        <f t="shared" si="15"/>
        <v>#DIV/0!</v>
      </c>
      <c r="G58" s="835" t="s">
        <v>1900</v>
      </c>
      <c r="H58" s="830" t="str">
        <f>IF(G58="商业",项目基本情况!B37,IF(G58="办公",项目基本情况!C37,IF(G58="住宅",项目基本情况!D37,项目基本情况!E37)))</f>
        <v>七级</v>
      </c>
      <c r="I58" s="723">
        <f>SUMIF(修正!A57:A68,H58,修正!G57:G68)</f>
        <v>0.15</v>
      </c>
      <c r="J58" s="724"/>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8" t="e">
        <f t="shared" si="17"/>
        <v>#DIV/0!</v>
      </c>
      <c r="C59" s="161">
        <f t="shared" si="16"/>
        <v>0.15</v>
      </c>
      <c r="D59" s="887">
        <v>0.25</v>
      </c>
      <c r="E59" s="207">
        <f>'数据-汇总表'!E14</f>
        <v>0</v>
      </c>
      <c r="F59" s="609" t="e">
        <f t="shared" si="15"/>
        <v>#DIV/0!</v>
      </c>
      <c r="G59" s="1830" t="s">
        <v>1892</v>
      </c>
      <c r="H59" s="830" t="str">
        <f>项目基本情况!B37</f>
        <v>七级</v>
      </c>
      <c r="I59" s="723">
        <f>SUMIF(修正!A57:A68,H59,修正!G57:G68)</f>
        <v>0.15</v>
      </c>
      <c r="J59" s="724"/>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8" t="e">
        <f t="shared" si="17"/>
        <v>#DIV/0!</v>
      </c>
      <c r="C60" s="161">
        <f t="shared" si="16"/>
        <v>0.15</v>
      </c>
      <c r="D60" s="887">
        <v>0.25</v>
      </c>
      <c r="E60" s="207">
        <f>'数据-汇总表'!E15</f>
        <v>0</v>
      </c>
      <c r="F60" s="609" t="e">
        <f t="shared" si="15"/>
        <v>#DIV/0!</v>
      </c>
      <c r="G60" s="1831" t="s">
        <v>1896</v>
      </c>
      <c r="H60" s="840" t="str">
        <f>项目基本情况!C37</f>
        <v>七级</v>
      </c>
      <c r="I60" s="723">
        <f>SUMIF(修正!A57:A68,H60,修正!G57:G68)</f>
        <v>0.15</v>
      </c>
      <c r="J60" s="724"/>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IF(B41="楼面地价",SUM(E51:E60),'数据-汇总表'!D3)</f>
        <v>42276.47</v>
      </c>
      <c r="F61" s="615" t="e">
        <f>IF(B41="楼面地价",SUM(F51:F60),ROUND(C43*E61/10000,0))</f>
        <v>#DIV/0!</v>
      </c>
      <c r="G61" s="881"/>
      <c r="H61" s="881"/>
      <c r="I61" s="881"/>
      <c r="J61" s="881"/>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7"/>
      <c r="B62" s="871"/>
      <c r="C62" s="873"/>
      <c r="D62" s="857"/>
      <c r="E62" s="857"/>
      <c r="F62" s="857"/>
      <c r="G62" s="857"/>
      <c r="H62" s="857"/>
      <c r="I62" s="857"/>
      <c r="J62" s="857"/>
      <c r="K62" s="831"/>
      <c r="L62" s="832"/>
      <c r="M62" s="857"/>
      <c r="N62" s="857"/>
      <c r="O62" s="857"/>
      <c r="P62" s="2481"/>
      <c r="Q62" s="2481"/>
      <c r="R62" s="2481"/>
      <c r="S62" s="2481"/>
      <c r="T62" s="2481"/>
      <c r="U62" s="2481"/>
      <c r="V62" s="2481"/>
      <c r="W62" s="2481"/>
      <c r="X62" s="2481"/>
      <c r="Y62" s="2481"/>
      <c r="Z62" s="2481"/>
      <c r="AA62" s="2481"/>
      <c r="AB62" s="2481"/>
      <c r="AC62" s="2481"/>
      <c r="AD62" s="2481"/>
      <c r="AE62" s="2481"/>
    </row>
    <row r="63" spans="1:31">
      <c r="A63" s="857"/>
      <c r="B63" s="871"/>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81"/>
      <c r="Q63" s="2481"/>
      <c r="R63" s="2481"/>
      <c r="S63" s="2481"/>
      <c r="T63" s="2481"/>
      <c r="U63" s="2481"/>
      <c r="V63" s="2481"/>
      <c r="W63" s="2481"/>
      <c r="X63" s="2481"/>
      <c r="Y63" s="2481"/>
      <c r="Z63" s="2481"/>
      <c r="AA63" s="2481"/>
      <c r="AB63" s="2481"/>
      <c r="AC63" s="2481"/>
      <c r="AD63" s="2481"/>
      <c r="AE63" s="2481"/>
    </row>
    <row r="64" spans="1:31" ht="21.75" thickBot="1">
      <c r="A64" s="654" t="s">
        <v>1798</v>
      </c>
      <c r="B64" s="383"/>
      <c r="C64" s="655"/>
      <c r="D64" s="655"/>
      <c r="E64" s="655"/>
      <c r="F64" s="656"/>
      <c r="G64" s="656"/>
      <c r="H64" s="655"/>
      <c r="I64" s="655"/>
      <c r="J64" s="655"/>
      <c r="K64" s="657"/>
      <c r="L64" s="658"/>
      <c r="M64" s="655"/>
      <c r="N64" s="655"/>
      <c r="O64" s="882"/>
      <c r="P64" s="2531"/>
      <c r="Q64" s="2502"/>
      <c r="R64" s="2481"/>
      <c r="S64" s="2481"/>
      <c r="T64" s="2481"/>
      <c r="U64" s="2481"/>
      <c r="V64" s="2481"/>
      <c r="W64" s="2481"/>
      <c r="X64" s="2481"/>
      <c r="Y64" s="2481"/>
      <c r="Z64" s="2481"/>
      <c r="AA64" s="2481"/>
      <c r="AB64" s="2481"/>
      <c r="AC64" s="2481"/>
      <c r="AD64" s="2481"/>
      <c r="AE64" s="2481"/>
    </row>
    <row r="65" spans="1:31" s="440" customFormat="1" ht="15">
      <c r="A65" s="1625" t="s">
        <v>1904</v>
      </c>
      <c r="B65" s="1042"/>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6" t="s">
        <v>1924</v>
      </c>
      <c r="B66" s="278" t="str">
        <f>"北京市平均增长率"&amp;TEXT(基准地价修正!P28,"0.00%")</f>
        <v>北京市平均增长率0.00%</v>
      </c>
      <c r="C66" s="528">
        <v>100</v>
      </c>
      <c r="D66" s="6"/>
      <c r="E66" s="6"/>
      <c r="F66" s="6"/>
      <c r="G66" s="6"/>
      <c r="H66" s="6"/>
      <c r="I66" s="6"/>
      <c r="J66" s="6"/>
      <c r="K66" s="6"/>
      <c r="L66" s="6"/>
      <c r="M66" s="1062"/>
      <c r="N66" s="1062"/>
      <c r="O66" s="1094"/>
      <c r="P66" s="2502"/>
      <c r="Q66" s="2434"/>
      <c r="R66" s="2434"/>
      <c r="S66" s="2434"/>
      <c r="T66" s="2434"/>
      <c r="U66" s="2434"/>
      <c r="V66" s="2434"/>
      <c r="W66" s="2434"/>
      <c r="X66" s="2434"/>
      <c r="Y66" s="2434"/>
      <c r="Z66" s="2434"/>
      <c r="AA66" s="2434"/>
      <c r="AB66" s="2434"/>
      <c r="AC66" s="2434"/>
      <c r="AD66" s="2434"/>
      <c r="AE66" s="2434"/>
    </row>
    <row r="67" spans="1:31" s="101" customFormat="1" ht="15.75" thickBot="1">
      <c r="A67" s="447" t="s">
        <v>1716</v>
      </c>
      <c r="B67" s="448"/>
      <c r="C67" s="449"/>
      <c r="D67" s="450"/>
      <c r="E67" s="450"/>
      <c r="F67" s="450"/>
      <c r="G67" s="450"/>
      <c r="H67" s="450"/>
      <c r="I67" s="450"/>
      <c r="J67" s="450"/>
      <c r="K67" s="450"/>
      <c r="L67" s="450"/>
      <c r="M67" s="451"/>
      <c r="N67" s="451"/>
      <c r="O67" s="452"/>
      <c r="P67" s="2502"/>
      <c r="Q67" s="2502"/>
      <c r="R67" s="2434"/>
      <c r="S67" s="2434"/>
      <c r="T67" s="2434"/>
      <c r="U67" s="2434"/>
      <c r="V67" s="2434"/>
      <c r="W67" s="2434"/>
      <c r="X67" s="2434"/>
      <c r="Y67" s="2434"/>
      <c r="Z67" s="2434"/>
      <c r="AA67" s="2434"/>
      <c r="AB67" s="2434"/>
      <c r="AC67" s="2434"/>
      <c r="AD67" s="2434"/>
      <c r="AE67" s="2434"/>
    </row>
    <row r="68" spans="1:31" s="101" customFormat="1" ht="15">
      <c r="A68" s="453" t="s">
        <v>1681</v>
      </c>
      <c r="B68" s="442"/>
      <c r="C68" s="454" t="s">
        <v>1776</v>
      </c>
      <c r="D68" s="31"/>
      <c r="E68" s="31"/>
      <c r="F68" s="31"/>
      <c r="G68" s="31"/>
      <c r="H68" s="31"/>
      <c r="I68" s="31"/>
      <c r="J68" s="31"/>
      <c r="K68" s="31"/>
      <c r="L68" s="455"/>
      <c r="M68" s="456"/>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4"/>
      <c r="S69" s="2434"/>
      <c r="T69" s="2434"/>
      <c r="U69" s="2434"/>
      <c r="V69" s="2434"/>
      <c r="W69" s="2434"/>
      <c r="X69" s="2434"/>
      <c r="Y69" s="2434"/>
      <c r="Z69" s="2434"/>
      <c r="AA69" s="2434"/>
      <c r="AB69" s="2434"/>
      <c r="AC69" s="2434"/>
      <c r="AD69" s="2434"/>
      <c r="AE69" s="2434"/>
    </row>
    <row r="70" spans="1:31">
      <c r="A70" s="377" t="s">
        <v>1719</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1829</v>
      </c>
      <c r="C83" s="502" t="s">
        <v>1721</v>
      </c>
      <c r="D83" s="502" t="s">
        <v>1722</v>
      </c>
      <c r="E83" s="502" t="s">
        <v>1723</v>
      </c>
      <c r="F83" s="502" t="s">
        <v>1724</v>
      </c>
      <c r="G83" s="502" t="s">
        <v>1725</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1726</v>
      </c>
      <c r="C85" s="507" t="s">
        <v>1721</v>
      </c>
      <c r="D85" s="507" t="s">
        <v>1722</v>
      </c>
      <c r="E85" s="507" t="s">
        <v>1723</v>
      </c>
      <c r="F85" s="507" t="s">
        <v>1724</v>
      </c>
      <c r="G85" s="507" t="s">
        <v>1725</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4"/>
      <c r="S90" s="2434"/>
      <c r="T90" s="2434"/>
      <c r="U90" s="2434"/>
      <c r="V90" s="2434"/>
      <c r="W90" s="2434"/>
      <c r="X90" s="2434"/>
      <c r="Y90" s="2434"/>
      <c r="Z90" s="2434"/>
      <c r="AA90" s="2434"/>
      <c r="AB90" s="2434"/>
      <c r="AC90" s="2434"/>
      <c r="AD90" s="2434"/>
      <c r="AE90" s="2434"/>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1"/>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1815</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1873</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1914</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1916</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1917</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0"/>
    <col min="46" max="16384" width="9" style="120"/>
  </cols>
  <sheetData>
    <row r="1" spans="1:45" ht="14.25" customHeight="1" thickBot="1">
      <c r="A1" s="136"/>
      <c r="B1" s="925" t="s">
        <v>2083</v>
      </c>
      <c r="C1" s="3477" t="s">
        <v>2084</v>
      </c>
      <c r="D1" s="3478"/>
      <c r="E1" s="3478"/>
      <c r="F1" s="3478"/>
      <c r="G1" s="3478"/>
      <c r="H1" s="3478"/>
      <c r="I1" s="3478"/>
      <c r="J1" s="3478"/>
      <c r="K1" s="3478"/>
      <c r="L1" s="3478"/>
      <c r="M1" s="3478"/>
      <c r="N1" s="3478"/>
      <c r="O1" s="3478"/>
      <c r="P1" s="3478"/>
      <c r="Q1" s="3478"/>
      <c r="R1" s="3478"/>
      <c r="S1" s="3479"/>
      <c r="T1" s="925" t="s">
        <v>2085</v>
      </c>
    </row>
    <row r="2" spans="1:45" s="623" customFormat="1">
      <c r="A2" s="926"/>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8" customFormat="1">
      <c r="A3" s="928"/>
      <c r="B3" s="624"/>
      <c r="C3" s="625"/>
      <c r="D3" s="626"/>
      <c r="E3" s="626"/>
      <c r="F3" s="1215"/>
      <c r="G3" s="1215"/>
      <c r="H3" s="1215"/>
      <c r="I3" s="1215"/>
      <c r="J3" s="1215"/>
      <c r="K3" s="1215"/>
      <c r="L3" s="1216"/>
      <c r="M3" s="1217"/>
      <c r="N3" s="1217"/>
      <c r="O3" s="1215"/>
      <c r="P3" s="1215"/>
      <c r="Q3" s="1215"/>
      <c r="R3" s="1215"/>
      <c r="S3" s="1218"/>
      <c r="T3" s="627"/>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8" customFormat="1" ht="13.5" thickBot="1">
      <c r="A4" s="929"/>
      <c r="B4" s="930"/>
      <c r="C4" s="931"/>
      <c r="D4" s="932"/>
      <c r="E4" s="932"/>
      <c r="F4" s="1219"/>
      <c r="G4" s="1219"/>
      <c r="H4" s="1219"/>
      <c r="I4" s="1219"/>
      <c r="J4" s="1219"/>
      <c r="K4" s="1219"/>
      <c r="L4" s="1219"/>
      <c r="M4" s="1220"/>
      <c r="N4" s="1220"/>
      <c r="O4" s="1219"/>
      <c r="P4" s="1219"/>
      <c r="Q4" s="1219"/>
      <c r="R4" s="1219"/>
      <c r="S4" s="1221"/>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1244" t="s">
        <v>2087</v>
      </c>
      <c r="C5" s="936"/>
      <c r="D5" s="937"/>
      <c r="E5" s="937"/>
      <c r="F5" s="1222"/>
      <c r="G5" s="1222"/>
      <c r="H5" s="1222"/>
      <c r="I5" s="1222"/>
      <c r="J5" s="1222"/>
      <c r="K5" s="1222"/>
      <c r="L5" s="1223"/>
      <c r="M5" s="1224"/>
      <c r="N5" s="1224"/>
      <c r="O5" s="1222"/>
      <c r="P5" s="1222"/>
      <c r="Q5" s="1222"/>
      <c r="R5" s="1222"/>
      <c r="S5" s="1225"/>
      <c r="T5" s="93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100</v>
      </c>
      <c r="E6" s="845">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1245" t="s">
        <v>2088</v>
      </c>
      <c r="C7" s="847"/>
      <c r="D7" s="841"/>
      <c r="E7" s="841"/>
      <c r="F7" s="1227"/>
      <c r="G7" s="1227"/>
      <c r="H7" s="1227"/>
      <c r="I7" s="1227"/>
      <c r="J7" s="1227"/>
      <c r="K7" s="1227"/>
      <c r="L7" s="1227"/>
      <c r="M7" s="1228"/>
      <c r="N7" s="1229"/>
      <c r="O7" s="1230"/>
      <c r="P7" s="1230"/>
      <c r="Q7" s="1231"/>
      <c r="R7" s="1232"/>
      <c r="S7" s="1233"/>
      <c r="T7" s="629"/>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100</v>
      </c>
      <c r="E8" s="845">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5" t="s">
        <v>2089</v>
      </c>
      <c r="C9" s="847"/>
      <c r="D9" s="841"/>
      <c r="E9" s="841"/>
      <c r="F9" s="1227"/>
      <c r="G9" s="1227"/>
      <c r="H9" s="1227"/>
      <c r="I9" s="1227"/>
      <c r="J9" s="1227"/>
      <c r="K9" s="1227"/>
      <c r="L9" s="1234"/>
      <c r="M9" s="1228"/>
      <c r="N9" s="1229"/>
      <c r="O9" s="1230"/>
      <c r="P9" s="1230"/>
      <c r="Q9" s="1231"/>
      <c r="R9" s="1232"/>
      <c r="S9" s="1233"/>
      <c r="T9" s="629"/>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100</v>
      </c>
      <c r="E10" s="711">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4" t="s">
        <v>2090</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4" t="s">
        <v>2091</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4" t="s">
        <v>2092</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1" t="s">
        <v>2093</v>
      </c>
      <c r="B17" s="1982"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3"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19"/>
      <c r="B19" s="149"/>
      <c r="C19" s="149"/>
      <c r="D19" s="1983" t="s">
        <v>2095</v>
      </c>
      <c r="E19" s="1248"/>
      <c r="F19" s="1248"/>
      <c r="G19" s="1248"/>
      <c r="H19" s="992"/>
      <c r="I19" s="149"/>
      <c r="J19" s="149"/>
      <c r="K19" s="149"/>
      <c r="L19" s="149"/>
      <c r="M19" s="149"/>
      <c r="N19" s="149"/>
      <c r="O19" s="149"/>
      <c r="P19" s="149"/>
      <c r="Q19" s="149"/>
      <c r="R19" s="149"/>
      <c r="S19" s="119"/>
    </row>
    <row r="20" spans="1:45" ht="16.5" thickBot="1">
      <c r="A20" s="630" t="s">
        <v>2096</v>
      </c>
      <c r="B20" s="284" t="e">
        <f ca="1">IF(D20="——",S22,S22-F20)</f>
        <v>#REF!</v>
      </c>
      <c r="C20" s="149"/>
      <c r="D20" s="1984"/>
      <c r="E20" s="1249"/>
      <c r="F20" s="925" t="e">
        <f ca="1">SUMIF(INDIRECT("'"&amp;H20&amp;"'"&amp;"!A:A"),"承租人权益价值",INDIRECT("'"&amp;H20&amp;"'"&amp;"!c:c"))</f>
        <v>#REF!</v>
      </c>
      <c r="G20" s="925" t="s">
        <v>2097</v>
      </c>
      <c r="H20" s="1985"/>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0" t="s">
        <v>2081</v>
      </c>
      <c r="B1" s="4"/>
      <c r="C1" s="4"/>
      <c r="D1" s="4"/>
      <c r="E1" s="4"/>
      <c r="F1" s="2538"/>
      <c r="G1" s="2538"/>
      <c r="H1" s="2538"/>
      <c r="I1" s="2538"/>
      <c r="J1" s="2538"/>
      <c r="K1" s="2538"/>
      <c r="L1" s="2538"/>
      <c r="M1" s="2538"/>
      <c r="N1" s="2538"/>
      <c r="O1" s="2538"/>
      <c r="P1" s="2538"/>
    </row>
    <row r="2" spans="1:16" ht="15.75">
      <c r="A2" s="1979" t="s">
        <v>2073</v>
      </c>
      <c r="B2" s="2382" t="e">
        <f ca="1">SUMIF(B6:B13,"&lt;&gt;#ref!",B6:B13)</f>
        <v>#DIV/0!</v>
      </c>
      <c r="C2" s="1979" t="s">
        <v>2074</v>
      </c>
      <c r="D2" s="1979" t="s">
        <v>2075</v>
      </c>
      <c r="E2" s="2392">
        <f ca="1">SUMIF(E6:E13,"&lt;&gt;#ref!",E6:E13)</f>
        <v>0</v>
      </c>
      <c r="F2" s="2538"/>
      <c r="G2" s="2538"/>
      <c r="H2" s="2538"/>
      <c r="I2" s="2538"/>
      <c r="J2" s="2538"/>
      <c r="K2" s="2538"/>
      <c r="L2" s="2538"/>
      <c r="M2" s="2538"/>
      <c r="N2" s="2538"/>
      <c r="O2" s="2538"/>
      <c r="P2" s="2538"/>
    </row>
    <row r="3" spans="1:16" ht="15.75">
      <c r="A3" s="1979" t="s">
        <v>2076</v>
      </c>
      <c r="B3" s="2382" t="e">
        <f ca="1">ROUND(B2*10000/E2,0)</f>
        <v>#DIV/0!</v>
      </c>
      <c r="C3" s="1979"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0"/>
      <c r="D5" s="2538"/>
      <c r="E5" s="2391" t="s">
        <v>2079</v>
      </c>
      <c r="F5" s="2538"/>
      <c r="G5" s="2538"/>
      <c r="H5" s="2538"/>
      <c r="I5" s="2538"/>
      <c r="J5" s="2538"/>
      <c r="K5" s="2538"/>
      <c r="L5" s="2538"/>
      <c r="M5" s="2538"/>
      <c r="N5" s="2538"/>
      <c r="O5" s="2538"/>
      <c r="P5" s="2538"/>
    </row>
    <row r="6" spans="1:16" ht="15.75">
      <c r="A6" s="2389" t="s">
        <v>2080</v>
      </c>
      <c r="B6" s="2382" t="e">
        <f ca="1">SUMIF(INDIRECT("'"&amp;A6&amp;"'"&amp;"!A:A"),"总价",INDIRECT("'"&amp;A6&amp;"'"&amp;"!B:B"))</f>
        <v>#DIV/0!</v>
      </c>
      <c r="C6" s="1979" t="s">
        <v>2074</v>
      </c>
      <c r="D6" s="2538"/>
      <c r="E6" s="2392">
        <f ca="1">SUMIF(INDIRECT("'"&amp;A6&amp;"'"&amp;"!C:C"),"建筑面积",INDIRECT("'"&amp;A6&amp;"'"&amp;"!D:D"))</f>
        <v>0</v>
      </c>
      <c r="F6" s="2538"/>
      <c r="G6" s="2538"/>
      <c r="H6" s="2538"/>
      <c r="I6" s="2538"/>
      <c r="J6" s="2538"/>
      <c r="K6" s="2538"/>
      <c r="L6" s="2538"/>
      <c r="M6" s="2538"/>
      <c r="N6" s="2538"/>
      <c r="O6" s="2538"/>
      <c r="P6" s="2538"/>
    </row>
    <row r="7" spans="1:16" ht="15.75">
      <c r="A7" s="2389"/>
      <c r="B7" s="2382" t="e">
        <f ca="1">SUMIF(INDIRECT("'"&amp;A7&amp;"'"&amp;"!A:A"),"总价",INDIRECT("'"&amp;A7&amp;"'"&amp;"!B:B"))</f>
        <v>#REF!</v>
      </c>
      <c r="C7" s="1979" t="s">
        <v>2074</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79"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79"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79"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79"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79"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79"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J47" sqref="J47:J49"/>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6" t="s">
        <v>1926</v>
      </c>
      <c r="B1" s="187"/>
      <c r="C1" s="191" t="s">
        <v>1927</v>
      </c>
      <c r="D1" s="331">
        <f>SUM(D33:D34,D37:D42)</f>
        <v>0</v>
      </c>
      <c r="E1" s="1837"/>
      <c r="F1" s="1837"/>
      <c r="G1" s="1837"/>
      <c r="H1" s="1837"/>
      <c r="I1" s="1837"/>
      <c r="J1" s="1837"/>
      <c r="K1" s="1052"/>
      <c r="L1" s="1838" t="s">
        <v>1928</v>
      </c>
      <c r="M1" s="806">
        <f>SUMPRODUCT((区片价!B5:B9=I2)*(区片价!C3:G3=E2)*(区片价!C5:G9))</f>
        <v>0</v>
      </c>
      <c r="N1" s="809">
        <f>SUMPRODUCT((因素修正幅度!B5:B9=I2)*(因素修正幅度!C3:G3=E2)*(因素修正幅度!C5:G9))</f>
        <v>0</v>
      </c>
      <c r="O1" s="1839"/>
      <c r="P1" s="1839"/>
      <c r="Q1" s="1052"/>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t="e">
        <f>C30</f>
        <v>#DIV/0!</v>
      </c>
      <c r="C2" s="1841" t="s">
        <v>1935</v>
      </c>
      <c r="D2" s="160" t="s">
        <v>1936</v>
      </c>
      <c r="E2" s="3114"/>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7"/>
      <c r="K2" s="1052"/>
      <c r="L2" s="1842" t="s">
        <v>1939</v>
      </c>
      <c r="M2" s="807">
        <f>SUMPRODUCT((区片价!B10:B29=I2)*(区片价!C3:G3=E2)*(区片价!C10:G29))</f>
        <v>0</v>
      </c>
      <c r="N2" s="809">
        <f>SUMPRODUCT((因素修正幅度!B10:B29=I2)*(因素修正幅度!C3:G3=E2)*(因素修正幅度!C10:G29))</f>
        <v>0</v>
      </c>
      <c r="O2" s="1052"/>
      <c r="P2" s="1052"/>
      <c r="Q2" s="1052"/>
      <c r="R2" s="1124">
        <v>1</v>
      </c>
      <c r="S2" s="3057">
        <f>ROUND(SUMPRODUCT((B106:B110=R2)*(C105:N105=G2)*(C106:N110)),4)</f>
        <v>0</v>
      </c>
      <c r="T2" s="3057" t="e">
        <f t="shared" ref="T2:T16" si="0">ROUND($C$5*$C$22*$C$23*$C$24*S2*$C$28,0)</f>
        <v>#DIV/0!</v>
      </c>
      <c r="U2" s="1125"/>
      <c r="V2" s="3057" t="e">
        <f>ROUND(T2*U2/10000,0)</f>
        <v>#DIV/0!</v>
      </c>
      <c r="W2" s="1128"/>
      <c r="X2" s="1128"/>
      <c r="Y2" s="1128"/>
      <c r="Z2" s="1128"/>
      <c r="AA2" s="1128"/>
      <c r="AB2" s="1128"/>
      <c r="AC2" s="1129"/>
      <c r="AD2" s="1130"/>
      <c r="AE2" s="1130"/>
      <c r="AF2" s="1130"/>
      <c r="AG2" s="1130"/>
      <c r="AH2" s="1130"/>
      <c r="AI2" s="1130"/>
      <c r="AJ2" s="1131"/>
    </row>
    <row r="3" spans="1:36" ht="15.75">
      <c r="A3" s="193" t="s">
        <v>1940</v>
      </c>
      <c r="B3" s="194" t="e">
        <f>ROUND(B2*10000/D1,0)</f>
        <v>#DIV/0!</v>
      </c>
      <c r="C3" s="1841" t="s">
        <v>1941</v>
      </c>
      <c r="D3" s="160" t="s">
        <v>1942</v>
      </c>
      <c r="E3" s="3112"/>
      <c r="F3" s="1843"/>
      <c r="G3" s="704">
        <f>IF(F3="宗地容积率",'数据-汇总表'!I4,IF(F3="估价对象容积率",'数据-汇总表'!I6,'数据-汇总表'!I7))</f>
        <v>2</v>
      </c>
      <c r="H3" s="160" t="s">
        <v>1943</v>
      </c>
      <c r="I3" s="725"/>
      <c r="J3" s="1837" t="s">
        <v>1944</v>
      </c>
      <c r="K3" s="1052"/>
      <c r="L3" s="1842" t="s">
        <v>1945</v>
      </c>
      <c r="M3" s="807">
        <f>SUMPRODUCT((区片价!B30:B54=I2)*(区片价!C3:G3=E2)*(区片价!C30:G54))</f>
        <v>0</v>
      </c>
      <c r="N3" s="809">
        <f>SUMPRODUCT((因素修正幅度!B30:B54=I2)*(因素修正幅度!C3:G3=E2)*(因素修正幅度!C30:G54))</f>
        <v>0</v>
      </c>
      <c r="O3" s="1052"/>
      <c r="P3" s="1052"/>
      <c r="Q3" s="1052"/>
      <c r="R3" s="1124">
        <v>2</v>
      </c>
      <c r="S3" s="3057">
        <f>ROUND(SUMPRODUCT((B106:B110=R3)*(C105:N105=G2)*(C106:N110)),4)</f>
        <v>0</v>
      </c>
      <c r="T3" s="3057" t="e">
        <f t="shared" si="0"/>
        <v>#DIV/0!</v>
      </c>
      <c r="U3" s="1125"/>
      <c r="V3" s="3057" t="e">
        <f t="shared" ref="V3:V16" si="1">ROUND(T3*U3/10000,0)</f>
        <v>#DIV/0!</v>
      </c>
      <c r="W3" s="1128"/>
      <c r="X3" s="1128"/>
      <c r="Y3" s="1128"/>
      <c r="Z3" s="1128"/>
      <c r="AA3" s="1128"/>
      <c r="AB3" s="1128"/>
      <c r="AC3" s="1129"/>
      <c r="AD3" s="1130"/>
      <c r="AE3" s="1130"/>
      <c r="AF3" s="1130"/>
      <c r="AG3" s="1130"/>
      <c r="AH3" s="1130"/>
      <c r="AI3" s="1130"/>
      <c r="AJ3" s="1131"/>
    </row>
    <row r="4" spans="1:36" ht="15.75">
      <c r="A4" s="3487"/>
      <c r="B4" s="3488"/>
      <c r="C4" s="3488"/>
      <c r="D4" s="3489"/>
      <c r="E4" s="3489"/>
      <c r="F4" s="3489"/>
      <c r="G4" s="3489"/>
      <c r="H4" s="3489"/>
      <c r="I4" s="3489"/>
      <c r="J4" s="3490"/>
      <c r="K4" s="1052"/>
      <c r="L4" s="1842" t="s">
        <v>1946</v>
      </c>
      <c r="M4" s="807">
        <f>SUMPRODUCT((区片价!B55:B86=I2)*(区片价!C3:G3=E2)*(区片价!C55:G86))</f>
        <v>0</v>
      </c>
      <c r="N4" s="809">
        <f>SUMPRODUCT((因素修正幅度!B55:B86=I2)*(因素修正幅度!C3:G3=E2)*(因素修正幅度!C55:G86))</f>
        <v>0</v>
      </c>
      <c r="O4" s="1052"/>
      <c r="P4" s="1052"/>
      <c r="Q4" s="1052"/>
      <c r="R4" s="1124">
        <v>3</v>
      </c>
      <c r="S4" s="3057">
        <f>ROUND(SUMPRODUCT((B106:B110=R4)*(C105:N105=G2)*(C106:N110)),4)</f>
        <v>0</v>
      </c>
      <c r="T4" s="3057" t="e">
        <f t="shared" si="0"/>
        <v>#DIV/0!</v>
      </c>
      <c r="U4" s="1125"/>
      <c r="V4" s="3057" t="e">
        <f t="shared" si="1"/>
        <v>#DIV/0!</v>
      </c>
      <c r="W4" s="1128"/>
      <c r="X4" s="1128"/>
      <c r="Y4" s="1128"/>
      <c r="Z4" s="1128"/>
      <c r="AA4" s="1128"/>
      <c r="AB4" s="1128"/>
      <c r="AC4" s="1129"/>
      <c r="AD4" s="1130"/>
      <c r="AE4" s="1130"/>
      <c r="AF4" s="1130"/>
      <c r="AG4" s="1130"/>
      <c r="AH4" s="1130"/>
      <c r="AI4" s="1130"/>
      <c r="AJ4" s="1131"/>
    </row>
    <row r="5" spans="1:36" s="1853" customFormat="1" ht="15.75" thickBot="1">
      <c r="A5" s="1844" t="s">
        <v>362</v>
      </c>
      <c r="B5" s="1845" t="s">
        <v>1947</v>
      </c>
      <c r="C5" s="705" t="e">
        <f>ROUND(IF(E2="商业",C6*C7*C17+C20,(IF(E2="住宅",C6*C13*C17+C20,IF(E2="办公",C6*C12*C17+C20,C6+C20)))),0)</f>
        <v>#DIV/0!</v>
      </c>
      <c r="D5" s="1247" t="e">
        <f>ROUND(C6*C17+C20,0)</f>
        <v>#DIV/0!</v>
      </c>
      <c r="E5" s="1247"/>
      <c r="F5" s="1846"/>
      <c r="G5" s="1847"/>
      <c r="H5" s="1847"/>
      <c r="I5" s="1847"/>
      <c r="J5" s="1848"/>
      <c r="K5" s="1849"/>
      <c r="L5" s="1842" t="s">
        <v>1948</v>
      </c>
      <c r="M5" s="807">
        <f>SUMPRODUCT((区片价!B87:B126=I2)*(区片价!C3:G3=E2)*(区片价!C87:G126))</f>
        <v>0</v>
      </c>
      <c r="N5" s="809">
        <f>SUMPRODUCT((因素修正幅度!B87:B126=I2)*(因素修正幅度!C3:G3=E2)*(因素修正幅度!C87:G126))</f>
        <v>0</v>
      </c>
      <c r="O5" s="1052"/>
      <c r="P5" s="1052"/>
      <c r="Q5" s="1052"/>
      <c r="R5" s="1124">
        <v>4</v>
      </c>
      <c r="S5" s="3057">
        <f>ROUND(SUMPRODUCT((B106:B110=R5)*(C105:N105=G2)*(C106:N110)),4)</f>
        <v>0</v>
      </c>
      <c r="T5" s="3057" t="e">
        <f t="shared" si="0"/>
        <v>#DIV/0!</v>
      </c>
      <c r="U5" s="1125"/>
      <c r="V5" s="3057" t="e">
        <f t="shared" si="1"/>
        <v>#DIV/0!</v>
      </c>
      <c r="W5" s="1128"/>
      <c r="X5" s="1128"/>
      <c r="Y5" s="1128"/>
      <c r="Z5" s="1128"/>
      <c r="AA5" s="1128"/>
      <c r="AB5" s="1128"/>
      <c r="AC5" s="1850"/>
      <c r="AD5" s="1851"/>
      <c r="AE5" s="1851"/>
      <c r="AF5" s="1851"/>
      <c r="AG5" s="1851"/>
      <c r="AH5" s="1851"/>
      <c r="AI5" s="1851"/>
      <c r="AJ5" s="1852"/>
    </row>
    <row r="6" spans="1:36" ht="15.75" thickBot="1">
      <c r="A6" s="1854" t="s">
        <v>1949</v>
      </c>
      <c r="B6" s="1855" t="s">
        <v>1950</v>
      </c>
      <c r="C6" s="706">
        <f>SUMIF(L1:L12,G2,M1:M12)</f>
        <v>0</v>
      </c>
      <c r="D6" s="1856"/>
      <c r="E6" s="1857"/>
      <c r="F6" s="1857"/>
      <c r="G6" s="1858"/>
      <c r="H6" s="1858"/>
      <c r="I6" s="1858"/>
      <c r="J6" s="1859"/>
      <c r="K6" s="1287"/>
      <c r="L6" s="1842" t="s">
        <v>1951</v>
      </c>
      <c r="M6" s="807">
        <f>SUMPRODUCT((区片价!B127:B189=I2)*(区片价!C3:G3=E2)*(区片价!C127:G189))</f>
        <v>0</v>
      </c>
      <c r="N6" s="809">
        <f>SUMPRODUCT((因素修正幅度!B127:B189=I2)*(因素修正幅度!C3:G3=E2)*(因素修正幅度!C127:G189))</f>
        <v>0</v>
      </c>
      <c r="O6" s="1052"/>
      <c r="P6" s="1052"/>
      <c r="Q6" s="1052"/>
      <c r="R6" s="1124">
        <v>5</v>
      </c>
      <c r="S6" s="3057">
        <f>ROUND(SUMPRODUCT((B106:B110=R6)*(C105:N105=G2)*(C106:N110)),4)</f>
        <v>0</v>
      </c>
      <c r="T6" s="3057" t="e">
        <f t="shared" si="0"/>
        <v>#DIV/0!</v>
      </c>
      <c r="U6" s="1125"/>
      <c r="V6" s="3057" t="e">
        <f t="shared" si="1"/>
        <v>#DIV/0!</v>
      </c>
      <c r="W6" s="1128"/>
      <c r="X6" s="1128"/>
      <c r="Y6" s="1128"/>
      <c r="Z6" s="1128"/>
      <c r="AA6" s="1128"/>
      <c r="AB6" s="1128"/>
      <c r="AC6" s="1850"/>
      <c r="AD6" s="1851"/>
      <c r="AE6" s="1851"/>
      <c r="AF6" s="1851"/>
      <c r="AG6" s="1851"/>
      <c r="AH6" s="1851"/>
      <c r="AI6" s="1851"/>
      <c r="AJ6" s="1852"/>
    </row>
    <row r="7" spans="1:36" ht="24.75" thickBot="1">
      <c r="A7" s="3006" t="s">
        <v>3235</v>
      </c>
      <c r="B7" s="1860" t="s">
        <v>1952</v>
      </c>
      <c r="C7" s="707" t="e">
        <f>IF(C8="不临65条商业街",1,ROUND(1+(1.6*E8+1.2*E9+0.8*E10+0.4*E11)*C9,4))</f>
        <v>#DIV/0!</v>
      </c>
      <c r="D7" s="1861" t="s">
        <v>1953</v>
      </c>
      <c r="E7" s="726"/>
      <c r="F7" s="1862"/>
      <c r="G7" s="1863"/>
      <c r="H7" s="1863"/>
      <c r="I7" s="1863"/>
      <c r="J7" s="1864"/>
      <c r="K7" s="1287"/>
      <c r="L7" s="1842" t="s">
        <v>1954</v>
      </c>
      <c r="M7" s="807">
        <f>SUMPRODUCT((区片价!B190:B233=I2)*(区片价!C3:G3=E2)*(区片价!C190:G233))</f>
        <v>0</v>
      </c>
      <c r="N7" s="809">
        <f>SUMPRODUCT((因素修正幅度!B190:B233=I2)*(因素修正幅度!C3:G3=E2)*(因素修正幅度!C190:G233))</f>
        <v>0</v>
      </c>
      <c r="O7" s="1052"/>
      <c r="P7" s="1052"/>
      <c r="Q7" s="1052"/>
      <c r="R7" s="1124">
        <v>6</v>
      </c>
      <c r="S7" s="3111"/>
      <c r="T7" s="3057" t="e">
        <f t="shared" si="0"/>
        <v>#DIV/0!</v>
      </c>
      <c r="U7" s="1125"/>
      <c r="V7" s="3057" t="e">
        <f t="shared" si="1"/>
        <v>#DIV/0!</v>
      </c>
      <c r="W7" s="1262" t="s">
        <v>1955</v>
      </c>
      <c r="X7" s="1126">
        <f>G2</f>
        <v>0</v>
      </c>
      <c r="Y7" s="1126" t="s">
        <v>1956</v>
      </c>
      <c r="Z7" s="1127">
        <f>G3</f>
        <v>2</v>
      </c>
      <c r="AA7" s="1128"/>
      <c r="AB7" s="1128"/>
      <c r="AC7" s="1129"/>
      <c r="AD7" s="1130"/>
      <c r="AE7" s="1130"/>
      <c r="AF7" s="1130"/>
      <c r="AG7" s="1130"/>
      <c r="AH7" s="1130"/>
      <c r="AI7" s="1130"/>
      <c r="AJ7" s="1131"/>
    </row>
    <row r="8" spans="1:36" ht="15">
      <c r="A8" s="3003"/>
      <c r="B8" s="160" t="s">
        <v>1957</v>
      </c>
      <c r="C8" s="1865"/>
      <c r="D8" s="708" t="s">
        <v>112</v>
      </c>
      <c r="E8" s="709" t="e">
        <f>ROUND(C11/E7,4)</f>
        <v>#DIV/0!</v>
      </c>
      <c r="F8" s="1866" t="s">
        <v>1958</v>
      </c>
      <c r="G8" s="1867"/>
      <c r="H8" s="1867"/>
      <c r="I8" s="1867"/>
      <c r="J8" s="1868"/>
      <c r="K8" s="1052"/>
      <c r="L8" s="1842" t="s">
        <v>1959</v>
      </c>
      <c r="M8" s="807">
        <f>SUMPRODUCT((区片价!B234:B276=I2)*(区片价!C3:G3=E2)*(区片价!C234:G276))</f>
        <v>0</v>
      </c>
      <c r="N8" s="809">
        <f>SUMPRODUCT((因素修正幅度!B234:B276=I2)*(因素修正幅度!C3:G3=E2)*(因素修正幅度!C234:G276))</f>
        <v>0</v>
      </c>
      <c r="O8" s="1052"/>
      <c r="P8" s="1052"/>
      <c r="Q8" s="1052"/>
      <c r="R8" s="1124">
        <v>7</v>
      </c>
      <c r="S8" s="1125"/>
      <c r="T8" s="3057" t="e">
        <f t="shared" si="0"/>
        <v>#DIV/0!</v>
      </c>
      <c r="U8" s="1125"/>
      <c r="V8" s="3057" t="e">
        <f t="shared" si="1"/>
        <v>#DIV/0!</v>
      </c>
      <c r="W8" s="3484" t="s">
        <v>1960</v>
      </c>
      <c r="X8" s="3485"/>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10">
        <f>SUMIF(修正!C71:C138,C8,修正!E71:E138)</f>
        <v>0</v>
      </c>
      <c r="D9" s="161" t="s">
        <v>113</v>
      </c>
      <c r="E9" s="161" t="e">
        <f>ROUND(C11/E7,4)</f>
        <v>#DIV/0!</v>
      </c>
      <c r="F9" s="1866" t="s">
        <v>1974</v>
      </c>
      <c r="G9" s="1867"/>
      <c r="H9" s="1867"/>
      <c r="I9" s="1867"/>
      <c r="J9" s="1868"/>
      <c r="K9" s="1052"/>
      <c r="L9" s="1842" t="s">
        <v>1975</v>
      </c>
      <c r="M9" s="807">
        <f>SUMPRODUCT((区片价!B277:B326=I2)*(区片价!C3:G3=E2)*(区片价!C277:G326))</f>
        <v>0</v>
      </c>
      <c r="N9" s="809">
        <f>SUMPRODUCT((因素修正幅度!B277:B326=I2)*(因素修正幅度!C3:G3=E2)*(因素修正幅度!C277:G326))</f>
        <v>0</v>
      </c>
      <c r="O9" s="1052"/>
      <c r="P9" s="1052"/>
      <c r="Q9" s="1052"/>
      <c r="R9" s="1124">
        <v>8</v>
      </c>
      <c r="S9" s="1125"/>
      <c r="T9" s="3057" t="e">
        <f t="shared" si="0"/>
        <v>#DIV/0!</v>
      </c>
      <c r="U9" s="1125"/>
      <c r="V9" s="3057" t="e">
        <f t="shared" si="1"/>
        <v>#DIV/0!</v>
      </c>
      <c r="W9" s="3486"/>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6" t="s">
        <v>1977</v>
      </c>
      <c r="G10" s="1867"/>
      <c r="H10" s="1867"/>
      <c r="I10" s="1867"/>
      <c r="J10" s="1868"/>
      <c r="K10" s="1052"/>
      <c r="L10" s="1842" t="s">
        <v>1978</v>
      </c>
      <c r="M10" s="807">
        <f>SUMPRODUCT((区片价!B327:B357=I2)*(区片价!C3:G3=E2)*(区片价!C327:G357))</f>
        <v>0</v>
      </c>
      <c r="N10" s="809">
        <f>SUMPRODUCT((因素修正幅度!B327:B357=I2)*(因素修正幅度!C3:G3=E2)*(因素修正幅度!C327:G357))</f>
        <v>0</v>
      </c>
      <c r="O10" s="1052"/>
      <c r="P10" s="1052"/>
      <c r="Q10" s="1052"/>
      <c r="R10" s="1124">
        <v>9</v>
      </c>
      <c r="S10" s="1125"/>
      <c r="T10" s="3057" t="e">
        <f t="shared" si="0"/>
        <v>#DIV/0!</v>
      </c>
      <c r="U10" s="1125"/>
      <c r="V10" s="3057" t="e">
        <f t="shared" si="1"/>
        <v>#DIV/0!</v>
      </c>
      <c r="W10" s="348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1979</v>
      </c>
      <c r="C11" s="711">
        <f>C10/4</f>
        <v>0</v>
      </c>
      <c r="D11" s="711" t="s">
        <v>115</v>
      </c>
      <c r="E11" s="711" t="e">
        <f>ROUND(C11/E7,4)</f>
        <v>#DIV/0!</v>
      </c>
      <c r="F11" s="1870" t="s">
        <v>1980</v>
      </c>
      <c r="G11" s="1871"/>
      <c r="H11" s="1871"/>
      <c r="I11" s="1871"/>
      <c r="J11" s="1872"/>
      <c r="K11" s="1052"/>
      <c r="L11" s="1842" t="s">
        <v>1981</v>
      </c>
      <c r="M11" s="807">
        <f>SUMPRODUCT((区片价!B358:B377=I2)*(区片价!C3:G3=E2)*(区片价!C358:G377))</f>
        <v>0</v>
      </c>
      <c r="N11" s="809">
        <f>SUMPRODUCT((因素修正幅度!B358:B377=I2)*(因素修正幅度!C3:G3=E2)*(因素修正幅度!C358:G377))</f>
        <v>0</v>
      </c>
      <c r="O11" s="1052"/>
      <c r="P11" s="1052"/>
      <c r="Q11" s="1052"/>
      <c r="R11" s="1124">
        <v>10</v>
      </c>
      <c r="S11" s="1125"/>
      <c r="T11" s="3057" t="e">
        <f t="shared" si="0"/>
        <v>#DIV/0!</v>
      </c>
      <c r="U11" s="1125"/>
      <c r="V11" s="3057" t="e">
        <f t="shared" si="1"/>
        <v>#DIV/0!</v>
      </c>
      <c r="W11" s="1128"/>
      <c r="X11" s="1128"/>
      <c r="Y11" s="1128"/>
      <c r="Z11" s="1128"/>
      <c r="AA11" s="1128"/>
      <c r="AB11" s="1128"/>
      <c r="AC11" s="1129"/>
      <c r="AD11" s="2547"/>
      <c r="AE11" s="2547"/>
      <c r="AF11" s="2547"/>
      <c r="AG11" s="2547"/>
      <c r="AH11" s="2547"/>
      <c r="AI11" s="2547"/>
      <c r="AJ11" s="2548"/>
    </row>
    <row r="12" spans="1:36" ht="25.5" thickBot="1">
      <c r="A12" s="3006" t="s">
        <v>3236</v>
      </c>
      <c r="B12" s="3007" t="s">
        <v>3237</v>
      </c>
      <c r="C12" s="3008"/>
      <c r="D12" s="3009" t="s">
        <v>3238</v>
      </c>
      <c r="E12" s="3010" t="s">
        <v>3239</v>
      </c>
      <c r="F12" s="3011"/>
      <c r="G12" s="3012"/>
      <c r="H12" s="3012"/>
      <c r="I12" s="3012"/>
      <c r="J12" s="3013"/>
      <c r="K12" s="1052"/>
      <c r="L12" s="1791" t="s">
        <v>1984</v>
      </c>
      <c r="M12" s="808">
        <f>SUMPRODUCT((区片价!B378:B384=I2)*(区片价!C3:G3=E2)*(区片价!C378:G384))</f>
        <v>0</v>
      </c>
      <c r="N12" s="809">
        <f>SUMPRODUCT((因素修正幅度!B378:B384=I2)*(因素修正幅度!C3:G3=E2)*(因素修正幅度!C378:G384))</f>
        <v>0</v>
      </c>
      <c r="O12" s="1052"/>
      <c r="P12" s="1052"/>
      <c r="Q12" s="1052"/>
      <c r="R12" s="1124">
        <v>11</v>
      </c>
      <c r="S12" s="1125"/>
      <c r="T12" s="3057" t="e">
        <f t="shared" si="0"/>
        <v>#DIV/0!</v>
      </c>
      <c r="U12" s="1125"/>
      <c r="V12" s="3057" t="e">
        <f t="shared" si="1"/>
        <v>#DIV/0!</v>
      </c>
      <c r="W12" s="1128"/>
      <c r="X12" s="1128"/>
      <c r="Y12" s="1128"/>
      <c r="Z12" s="1128"/>
      <c r="AA12" s="1128"/>
      <c r="AB12" s="1128"/>
      <c r="AC12" s="1129"/>
      <c r="AD12" s="2547"/>
      <c r="AE12" s="2547"/>
      <c r="AF12" s="2547"/>
      <c r="AG12" s="2547"/>
      <c r="AH12" s="2547"/>
      <c r="AI12" s="2547"/>
      <c r="AJ12" s="2548"/>
    </row>
    <row r="13" spans="1:36" ht="15.75" thickBot="1">
      <c r="A13" s="3006" t="s">
        <v>3240</v>
      </c>
      <c r="B13" s="1873" t="s">
        <v>1982</v>
      </c>
      <c r="C13" s="707">
        <f>ROUND(C16*D16*E16*F16*G16*H16*I16*J16,4)</f>
        <v>0</v>
      </c>
      <c r="D13" s="1874" t="s">
        <v>1983</v>
      </c>
      <c r="E13" s="1875"/>
      <c r="F13" s="1875"/>
      <c r="G13" s="1876"/>
      <c r="H13" s="1876"/>
      <c r="I13" s="1876"/>
      <c r="J13" s="1877"/>
      <c r="K13" s="1052"/>
      <c r="L13" s="3"/>
      <c r="M13" s="4"/>
      <c r="N13" s="3004"/>
      <c r="O13" s="1052"/>
      <c r="P13" s="1052"/>
      <c r="Q13" s="1052"/>
      <c r="R13" s="1124">
        <v>12</v>
      </c>
      <c r="S13" s="1125"/>
      <c r="T13" s="3057" t="e">
        <f t="shared" si="0"/>
        <v>#DIV/0!</v>
      </c>
      <c r="U13" s="1125"/>
      <c r="V13" s="3057" t="e">
        <f t="shared" si="1"/>
        <v>#DIV/0!</v>
      </c>
      <c r="W13" s="1128"/>
      <c r="X13" s="1128"/>
      <c r="Y13" s="1128"/>
      <c r="Z13" s="1128"/>
      <c r="AA13" s="1128"/>
      <c r="AB13" s="1128"/>
      <c r="AC13" s="1129"/>
      <c r="AD13" s="2547"/>
      <c r="AE13" s="2547"/>
      <c r="AF13" s="2547"/>
      <c r="AG13" s="2547"/>
      <c r="AH13" s="2547"/>
      <c r="AI13" s="2547"/>
      <c r="AJ13" s="2548"/>
    </row>
    <row r="14" spans="1:36" ht="15">
      <c r="A14" s="3002"/>
      <c r="B14" s="1878" t="s">
        <v>1985</v>
      </c>
      <c r="C14" s="1879" t="s">
        <v>1986</v>
      </c>
      <c r="D14" s="1256" t="s">
        <v>1987</v>
      </c>
      <c r="E14" s="27" t="s">
        <v>1988</v>
      </c>
      <c r="F14" s="3014" t="s">
        <v>3241</v>
      </c>
      <c r="G14" s="3014" t="s">
        <v>3241</v>
      </c>
      <c r="H14" s="3014" t="s">
        <v>3241</v>
      </c>
      <c r="I14" s="3014" t="s">
        <v>3241</v>
      </c>
      <c r="J14" s="3014" t="s">
        <v>3241</v>
      </c>
      <c r="K14" s="1052"/>
      <c r="L14" s="1052"/>
      <c r="M14" s="1052"/>
      <c r="N14" s="1052"/>
      <c r="O14" s="1052"/>
      <c r="P14" s="1052"/>
      <c r="Q14" s="1052"/>
      <c r="R14" s="1124">
        <v>13</v>
      </c>
      <c r="S14" s="1125"/>
      <c r="T14" s="3057" t="e">
        <f t="shared" si="0"/>
        <v>#DIV/0!</v>
      </c>
      <c r="U14" s="1125"/>
      <c r="V14" s="3057" t="e">
        <f t="shared" si="1"/>
        <v>#DIV/0!</v>
      </c>
      <c r="W14" s="1128"/>
      <c r="X14" s="1128"/>
      <c r="Y14" s="1128"/>
      <c r="Z14" s="1128"/>
      <c r="AA14" s="1128"/>
      <c r="AB14" s="1128"/>
      <c r="AC14" s="1129"/>
      <c r="AD14" s="2547"/>
      <c r="AE14" s="2547"/>
      <c r="AF14" s="2547"/>
      <c r="AG14" s="2547"/>
      <c r="AH14" s="2547"/>
      <c r="AI14" s="2547"/>
      <c r="AJ14" s="2548"/>
    </row>
    <row r="15" spans="1:36" ht="15">
      <c r="A15" s="3002"/>
      <c r="B15" s="1880"/>
      <c r="C15" s="1881"/>
      <c r="D15" s="1882"/>
      <c r="E15" s="1883"/>
      <c r="F15" s="1465" t="s">
        <v>3242</v>
      </c>
      <c r="G15" s="1923"/>
      <c r="H15" s="3015"/>
      <c r="I15" s="3016"/>
      <c r="J15" s="3017"/>
      <c r="K15" s="1052"/>
      <c r="L15" s="1052"/>
      <c r="M15" s="1052"/>
      <c r="N15" s="1052"/>
      <c r="O15" s="1052"/>
      <c r="P15" s="1052"/>
      <c r="Q15" s="1052"/>
      <c r="R15" s="1124">
        <v>14</v>
      </c>
      <c r="S15" s="1125"/>
      <c r="T15" s="3057" t="e">
        <f t="shared" si="0"/>
        <v>#DIV/0!</v>
      </c>
      <c r="U15" s="1125"/>
      <c r="V15" s="3057" t="e">
        <f t="shared" si="1"/>
        <v>#DIV/0!</v>
      </c>
      <c r="W15" s="1128"/>
      <c r="X15" s="1128"/>
      <c r="Y15" s="1128"/>
      <c r="Z15" s="1128"/>
      <c r="AA15" s="1128"/>
      <c r="AB15" s="1128"/>
      <c r="AC15" s="1129"/>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2"/>
      <c r="L16" s="1839"/>
      <c r="M16" s="1839"/>
      <c r="N16" s="1839"/>
      <c r="O16" s="1839"/>
      <c r="P16" s="1839"/>
      <c r="Q16" s="1052"/>
      <c r="R16" s="1124">
        <v>15</v>
      </c>
      <c r="S16" s="1125"/>
      <c r="T16" s="3057" t="e">
        <f t="shared" si="0"/>
        <v>#DIV/0!</v>
      </c>
      <c r="U16" s="1125"/>
      <c r="V16" s="3057" t="e">
        <f t="shared" si="1"/>
        <v>#DIV/0!</v>
      </c>
      <c r="W16" s="1128"/>
      <c r="X16" s="1128"/>
      <c r="Y16" s="1128"/>
      <c r="Z16" s="1128"/>
      <c r="AA16" s="1128"/>
      <c r="AB16" s="1128"/>
      <c r="AC16" s="1129"/>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t="e">
        <f>ROUND(G18/I18,2)</f>
        <v>#DIV/0!</v>
      </c>
      <c r="F17" s="3022" t="s">
        <v>3248</v>
      </c>
      <c r="G17" s="3030" t="e">
        <f>ROUND(E19/G19,2)</f>
        <v>#DIV/0!</v>
      </c>
      <c r="H17" s="3030"/>
      <c r="I17" s="3030"/>
      <c r="J17" s="3031"/>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2"/>
      <c r="B18" s="2304"/>
      <c r="C18" s="3028"/>
      <c r="D18" s="3023" t="s">
        <v>3246</v>
      </c>
      <c r="E18" s="2351"/>
      <c r="F18" s="3024" t="s">
        <v>3249</v>
      </c>
      <c r="G18" s="3028">
        <f>ROUND(1-(1/(POWER(1+G24,E18))),4)</f>
        <v>0</v>
      </c>
      <c r="H18" s="3024" t="s">
        <v>3251</v>
      </c>
      <c r="I18" s="3028">
        <f>ROUND(1-(1/(POWER(1+G24,J24))),4)</f>
        <v>0</v>
      </c>
      <c r="J18" s="3033"/>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6"/>
    </row>
    <row r="19" spans="1:37" s="1853" customFormat="1" ht="15" thickBot="1">
      <c r="A19" s="3034"/>
      <c r="B19" s="3035"/>
      <c r="C19" s="3036"/>
      <c r="D19" s="3036" t="s">
        <v>3247</v>
      </c>
      <c r="E19" s="3037"/>
      <c r="F19" s="3038" t="s">
        <v>3250</v>
      </c>
      <c r="G19" s="3037"/>
      <c r="H19" s="3036"/>
      <c r="I19" s="3036"/>
      <c r="J19" s="3039"/>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49"/>
      <c r="AH19" s="1975"/>
      <c r="AI19" s="559"/>
      <c r="AJ19" s="559"/>
      <c r="AK19" s="1894"/>
    </row>
    <row r="20" spans="1:37" s="1853" customFormat="1" ht="14.25">
      <c r="A20" s="3491" t="s">
        <v>3252</v>
      </c>
      <c r="B20" s="157" t="s">
        <v>1994</v>
      </c>
      <c r="C20" s="3025" t="e">
        <f>ROUND(IF(F21="与级别开发程度一致",0,(G21-E21)/C21),0)</f>
        <v>#DIV/0!</v>
      </c>
      <c r="D20" s="3040" t="s">
        <v>1998</v>
      </c>
      <c r="E20" s="3041"/>
      <c r="F20" s="3497" t="s">
        <v>1995</v>
      </c>
      <c r="G20" s="3498"/>
      <c r="H20" s="3026"/>
      <c r="I20" s="3026"/>
      <c r="J20" s="3027"/>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6"/>
      <c r="AH20" s="2546"/>
      <c r="AI20" s="2546"/>
      <c r="AJ20" s="2546"/>
    </row>
    <row r="21" spans="1:37" s="1853" customFormat="1" ht="15" thickBot="1">
      <c r="A21" s="3492"/>
      <c r="B21" s="1997" t="s">
        <v>1997</v>
      </c>
      <c r="C21" s="1998">
        <f>IF(E3="M4科研用地",SUMPRODUCT((修正!A2:A7=E3)*(修正!B1:M1=G2)*(修正!B2:M7)),SUMPRODUCT((修正!A2:A7=E2)*(修正!B1:M1=G2)*(修正!B2:M7)))</f>
        <v>0</v>
      </c>
      <c r="D21" s="177"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6"/>
      <c r="R21" s="1056"/>
      <c r="S21" s="1056"/>
      <c r="T21" s="1053"/>
      <c r="U21" s="1053"/>
      <c r="V21" s="1053"/>
      <c r="W21" s="1052"/>
      <c r="X21" s="1052"/>
      <c r="Y21" s="1052"/>
      <c r="Z21" s="1057"/>
      <c r="AA21" s="1057"/>
      <c r="AB21" s="1057"/>
      <c r="AC21" s="1057"/>
      <c r="AD21" s="1057"/>
      <c r="AE21" s="1057"/>
      <c r="AF21" s="1057"/>
      <c r="AG21" s="2546"/>
      <c r="AH21" s="2546"/>
      <c r="AI21" s="2546"/>
      <c r="AJ21" s="2546"/>
    </row>
    <row r="22" spans="1:37" s="1853" customFormat="1" ht="15.75" thickBot="1">
      <c r="A22" s="1991" t="s">
        <v>363</v>
      </c>
      <c r="B22" s="1992" t="s">
        <v>2000</v>
      </c>
      <c r="C22" s="1993">
        <f>SUMIF(修正!C20:C51,E3,修正!E20:E51)</f>
        <v>0</v>
      </c>
      <c r="D22" s="1994"/>
      <c r="E22" s="1995"/>
      <c r="F22" s="1995"/>
      <c r="G22" s="1995"/>
      <c r="H22" s="1995"/>
      <c r="I22" s="1995"/>
      <c r="J22" s="1996"/>
      <c r="K22" s="1057"/>
      <c r="L22" s="2546"/>
      <c r="M22" s="2546"/>
      <c r="N22" s="2546"/>
      <c r="O22" s="1055"/>
      <c r="P22" s="1055"/>
      <c r="Q22" s="2546"/>
      <c r="R22" s="1056"/>
      <c r="S22" s="1056"/>
      <c r="T22" s="1053"/>
      <c r="U22" s="1053"/>
      <c r="V22" s="1053"/>
      <c r="W22" s="1052"/>
      <c r="X22" s="1052"/>
      <c r="Y22" s="1052"/>
      <c r="Z22" s="1057"/>
      <c r="AA22" s="1057"/>
      <c r="AB22" s="1057"/>
      <c r="AC22" s="1057"/>
      <c r="AD22" s="1057"/>
      <c r="AE22" s="1057"/>
      <c r="AF22" s="1057"/>
      <c r="AG22" s="2546"/>
      <c r="AH22" s="2546"/>
      <c r="AI22" s="2546"/>
      <c r="AJ22" s="2546"/>
    </row>
    <row r="23" spans="1:37" ht="26.25" thickBot="1">
      <c r="A23" s="1887" t="s">
        <v>364</v>
      </c>
      <c r="B23" s="1888" t="s">
        <v>2001</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1" t="s">
        <v>2002</v>
      </c>
      <c r="E23" s="713">
        <v>44197</v>
      </c>
      <c r="F23" s="1891" t="s">
        <v>2003</v>
      </c>
      <c r="G23" s="714">
        <f>'数据-取费表'!B2</f>
        <v>45614</v>
      </c>
      <c r="H23" s="3042" t="s">
        <v>3254</v>
      </c>
      <c r="I23" s="3043" t="str">
        <f>IF(H23="季度增幅（自定义）",SUMIF(N25:N28,E2,O25:O28),"")</f>
        <v/>
      </c>
      <c r="J23" s="3135" t="s">
        <v>3253</v>
      </c>
      <c r="K23" s="1057"/>
      <c r="L23" s="1892" t="s">
        <v>2004</v>
      </c>
      <c r="M23" s="1236">
        <f>ROUND(SUMIF(地价!B2:G2,E2,地价!B16:G16),0)</f>
        <v>0</v>
      </c>
      <c r="N23" s="1893" t="s">
        <v>2005</v>
      </c>
      <c r="O23" s="715">
        <f>ROUNDDOWN(DATEDIF(E23,G23,"M")/3,0)</f>
        <v>15</v>
      </c>
      <c r="P23" s="1053"/>
      <c r="Q23" s="2546"/>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2006</v>
      </c>
      <c r="C24" s="716" t="e">
        <f>ROUND(POWER(1+G24,J24-I24)*(POWER(1+G24,I24)-1)/(POWER(1+G24,J24)-1),4)</f>
        <v>#DIV/0!</v>
      </c>
      <c r="D24" s="1897" t="s">
        <v>2007</v>
      </c>
      <c r="E24" s="1243">
        <f>存贷款利率!E27/100</f>
        <v>4.3499999999999997E-2</v>
      </c>
      <c r="F24" s="1897" t="s">
        <v>1999</v>
      </c>
      <c r="G24" s="720">
        <f>SUMIF(M30:Q30,E2,M33:Q33)</f>
        <v>0</v>
      </c>
      <c r="H24" s="1897" t="s">
        <v>2008</v>
      </c>
      <c r="I24" s="721" t="e">
        <f>SUMIF('数据-取费表'!C6:C15,E2,'数据-取费表'!F6:F15)/COUNTIF('数据-取费表'!C6:C15,E2)</f>
        <v>#DIV/0!</v>
      </c>
      <c r="J24" s="722">
        <f>IF(E2="住宅",70,IF(E2="商业",40,50))</f>
        <v>50</v>
      </c>
      <c r="K24" s="1057"/>
      <c r="L24" s="1898" t="s">
        <v>2009</v>
      </c>
      <c r="M24" s="1237">
        <f>ROUND(SUMPRODUCT((地价!A4:A16=YEAR(G23)&amp;"-"&amp;ROUNDUP(MONTH(G23)/3,0))*(地价!B2:G2=E2)*(地价!B4:G16)),0)</f>
        <v>0</v>
      </c>
      <c r="N24" s="1899" t="s">
        <v>2010</v>
      </c>
      <c r="O24" s="1900" t="s">
        <v>2011</v>
      </c>
      <c r="P24" s="1901" t="s">
        <v>2012</v>
      </c>
      <c r="Q24" s="1839"/>
      <c r="R24" s="1056"/>
      <c r="S24" s="1056"/>
      <c r="T24" s="1053"/>
      <c r="U24" s="1053"/>
      <c r="V24" s="1053"/>
      <c r="W24" s="1052"/>
      <c r="X24" s="1052"/>
      <c r="Y24" s="1052"/>
      <c r="Z24" s="1057"/>
      <c r="AA24" s="1057"/>
      <c r="AB24" s="1057"/>
      <c r="AC24" s="1057"/>
      <c r="AD24" s="1057"/>
      <c r="AE24" s="1057"/>
      <c r="AF24" s="1057"/>
      <c r="AG24" s="2546"/>
      <c r="AH24" s="2546"/>
      <c r="AI24" s="2546"/>
      <c r="AJ24" s="2546"/>
    </row>
    <row r="25" spans="1:37" ht="15">
      <c r="A25" s="1902" t="s">
        <v>366</v>
      </c>
      <c r="B25" s="1903" t="s">
        <v>3333</v>
      </c>
      <c r="C25" s="459">
        <f>IF(B25="容积率修正",IF(G3&lt;10,D26,J26),C27)</f>
        <v>0</v>
      </c>
      <c r="D25" s="1904"/>
      <c r="E25" s="1904"/>
      <c r="F25" s="1904"/>
      <c r="G25" s="1904"/>
      <c r="H25" s="1904"/>
      <c r="I25" s="1904"/>
      <c r="J25" s="1905"/>
      <c r="K25" s="1057"/>
      <c r="L25" s="2546"/>
      <c r="M25" s="2546"/>
      <c r="N25" s="1906" t="s">
        <v>2013</v>
      </c>
      <c r="O25" s="1089"/>
      <c r="P25" s="1090">
        <f>SUMPRODUCT((地价!A3:A40=YEAR(G23)&amp;"-"&amp;ROUNDUP(MONTH(G23)/3,0))*(地价!AD2:AH2=N25)*(地价!AD3:AH40))</f>
        <v>0</v>
      </c>
      <c r="Q25" s="2546"/>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2014</v>
      </c>
      <c r="B26" s="1907" t="s">
        <v>2015</v>
      </c>
      <c r="C26" s="1907" t="s">
        <v>3255</v>
      </c>
      <c r="D26" s="1258">
        <f>IF(E26=G26,F26,IF(G3&lt;10,ROUND(F26+(H26-F26)*(G3-E26)/(G26-E26),4),"——"))</f>
        <v>0</v>
      </c>
      <c r="E26" s="704">
        <f>ROUNDDOWN(G3,1)</f>
        <v>2</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2</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3256</v>
      </c>
      <c r="J26" s="372" t="str">
        <f>IF(G3&gt;=10,D115,"——")</f>
        <v>——</v>
      </c>
      <c r="K26" s="1057"/>
      <c r="L26" s="2546"/>
      <c r="M26" s="2546"/>
      <c r="N26" s="1906" t="s">
        <v>2016</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2017</v>
      </c>
      <c r="B27" s="1908" t="s">
        <v>2018</v>
      </c>
      <c r="C27" s="787">
        <f>ROUND(IF(I3&lt;6,SUMPRODUCT((B106:B110=I3)*(C105:N105=G2)*(C106:N110)),SUMIF(C105:N105,G2,C112:N112)),4)</f>
        <v>0</v>
      </c>
      <c r="D27" s="1837"/>
      <c r="E27" s="1837"/>
      <c r="F27" s="1909"/>
      <c r="G27" s="1910"/>
      <c r="H27" s="1911"/>
      <c r="I27" s="1912"/>
      <c r="J27" s="1913"/>
      <c r="K27" s="1052"/>
      <c r="L27" s="1839"/>
      <c r="M27" s="1839"/>
      <c r="N27" s="1906" t="s">
        <v>2019</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2020</v>
      </c>
      <c r="C28" s="712">
        <f>SUMIF(A47:A101,E2,B47:B101)</f>
        <v>0</v>
      </c>
      <c r="D28" s="1889"/>
      <c r="E28" s="1914"/>
      <c r="F28" s="1914"/>
      <c r="G28" s="1914"/>
      <c r="H28" s="1914"/>
      <c r="I28" s="1914"/>
      <c r="J28" s="1915"/>
      <c r="K28" s="1057"/>
      <c r="L28" s="2546"/>
      <c r="M28" s="2546"/>
      <c r="N28" s="1916"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2022</v>
      </c>
      <c r="C29" s="717"/>
      <c r="D29" s="1863"/>
      <c r="E29" s="1863"/>
      <c r="F29" s="1918"/>
      <c r="G29" s="1863"/>
      <c r="H29" s="1863"/>
      <c r="I29" s="1863"/>
      <c r="J29" s="1864"/>
      <c r="K29" s="1052"/>
      <c r="L29" s="1839"/>
      <c r="M29" s="1839"/>
      <c r="N29" s="2543" t="s">
        <v>2023</v>
      </c>
      <c r="O29" s="2544"/>
      <c r="P29" s="2545">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2024</v>
      </c>
      <c r="C30" s="2140" t="e">
        <f>IF(B25="容积率修正",E33+SUM(E37:E42),SUM(V2:V16)+SUM(E37:E42))</f>
        <v>#DIV/0!</v>
      </c>
      <c r="D30" s="1920"/>
      <c r="E30" s="1837"/>
      <c r="F30" s="1921"/>
      <c r="G30" s="1837"/>
      <c r="H30" s="1837"/>
      <c r="I30" s="1837"/>
      <c r="J30" s="1922"/>
      <c r="K30" s="1052"/>
      <c r="L30" s="3049" t="s">
        <v>1936</v>
      </c>
      <c r="M30" s="3050" t="s">
        <v>1990</v>
      </c>
      <c r="N30" s="3050" t="s">
        <v>1991</v>
      </c>
      <c r="O30" s="3050" t="s">
        <v>1992</v>
      </c>
      <c r="P30" s="3050" t="s">
        <v>1993</v>
      </c>
      <c r="Q30" s="3053" t="s">
        <v>3260</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2025</v>
      </c>
      <c r="C31" s="718" t="e">
        <f>E34+SUM(I37:I42)</f>
        <v>#DIV/0!</v>
      </c>
      <c r="D31" s="1924"/>
      <c r="E31" s="1925"/>
      <c r="F31" s="1926"/>
      <c r="G31" s="1925"/>
      <c r="H31" s="1925"/>
      <c r="I31" s="1925"/>
      <c r="J31" s="1927"/>
      <c r="K31" s="1052"/>
      <c r="L31" s="3051" t="s">
        <v>1996</v>
      </c>
      <c r="M31" s="160">
        <v>0.25</v>
      </c>
      <c r="N31" s="160">
        <v>0.2</v>
      </c>
      <c r="O31" s="160">
        <v>0.15</v>
      </c>
      <c r="P31" s="160">
        <v>0.1</v>
      </c>
      <c r="Q31" s="3046">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2"/>
      <c r="L32" s="3052" t="s">
        <v>1999</v>
      </c>
      <c r="M32" s="2350">
        <f>ROUND($E$24*(1+M31),3)</f>
        <v>5.3999999999999999E-2</v>
      </c>
      <c r="N32" s="2350">
        <f>ROUND($E$24*(1+N31),3)</f>
        <v>5.1999999999999998E-2</v>
      </c>
      <c r="O32" s="2350">
        <f>ROUND($E$24*(1+O31),3)</f>
        <v>0.05</v>
      </c>
      <c r="P32" s="2350">
        <f>ROUND($E$24*(1+P31),3)</f>
        <v>4.8000000000000001E-2</v>
      </c>
      <c r="Q32" s="3054">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2030</v>
      </c>
      <c r="C33" s="165" t="e">
        <f>ROUND(C5*C22*C23*C24*C25*C28,0)</f>
        <v>#DIV/0!</v>
      </c>
      <c r="D33" s="1935"/>
      <c r="E33" s="723" t="e">
        <f>ROUND(C33*D33/10000,0)</f>
        <v>#DIV/0!</v>
      </c>
      <c r="F33" s="3044" t="s">
        <v>3258</v>
      </c>
      <c r="G33" s="1936"/>
      <c r="H33" s="1936"/>
      <c r="I33" s="1936"/>
      <c r="J33" s="1937"/>
      <c r="K33" s="1052"/>
      <c r="L33" s="3047" t="s">
        <v>3261</v>
      </c>
      <c r="M33" s="3048">
        <v>5.5E-2</v>
      </c>
      <c r="N33" s="3048">
        <v>5.5E-2</v>
      </c>
      <c r="O33" s="3048">
        <v>0.05</v>
      </c>
      <c r="P33" s="3048">
        <v>0.05</v>
      </c>
      <c r="Q33" s="3048">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2031</v>
      </c>
      <c r="C34" s="177" t="e">
        <f>ROUND(IF(E2="工业",C33*M42,IF(B25="楼层修正",SUM(V2:V16)*M41*10000/D34,C33*M41)),0)</f>
        <v>#DIV/0!</v>
      </c>
      <c r="D34" s="1940"/>
      <c r="E34" s="723" t="e">
        <f>ROUND(IF(B25="楼层修正",SUM(V2:V16)*M40,C34*D34/10000),0)</f>
        <v>#DIV/0!</v>
      </c>
      <c r="F34" s="1941" t="s">
        <v>2032</v>
      </c>
      <c r="G34" s="1942"/>
      <c r="H34" s="1942"/>
      <c r="I34" s="1942"/>
      <c r="J34" s="1943"/>
      <c r="K34" s="1052"/>
      <c r="L34" s="3047" t="s">
        <v>3262</v>
      </c>
      <c r="M34" s="3048">
        <v>6.5000000000000002E-2</v>
      </c>
      <c r="N34" s="3048">
        <v>6.5000000000000002E-2</v>
      </c>
      <c r="O34" s="3048">
        <v>0.06</v>
      </c>
      <c r="P34" s="3048">
        <v>0.06</v>
      </c>
      <c r="Q34" s="3048">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2033</v>
      </c>
      <c r="C35" s="3045" t="s">
        <v>3259</v>
      </c>
      <c r="D35" s="1876"/>
      <c r="E35" s="1946"/>
      <c r="F35" s="1946"/>
      <c r="G35" s="1874" t="s">
        <v>2034</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4" t="s">
        <v>2027</v>
      </c>
      <c r="D36" s="431" t="s">
        <v>2028</v>
      </c>
      <c r="E36" s="431" t="s">
        <v>2029</v>
      </c>
      <c r="F36" s="331" t="s">
        <v>2035</v>
      </c>
      <c r="G36" s="1949" t="s">
        <v>2027</v>
      </c>
      <c r="H36" s="1949" t="s">
        <v>2028</v>
      </c>
      <c r="I36" s="1949" t="s">
        <v>2029</v>
      </c>
      <c r="J36" s="233"/>
      <c r="K36" s="1959" t="s">
        <v>3263</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95"/>
      <c r="B37" s="1950" t="s">
        <v>2036</v>
      </c>
      <c r="C37" s="165" t="e">
        <f>ROUND(D5*C22*C23*C24*C28*F37,0)</f>
        <v>#DIV/0!</v>
      </c>
      <c r="D37" s="1935"/>
      <c r="E37" s="161" t="e">
        <f>ROUND(C37*D37/10000,0)</f>
        <v>#DIV/0!</v>
      </c>
      <c r="F37" s="161">
        <f>SUMIF(修正!A57:A68,G2,修正!B57:B68)</f>
        <v>0</v>
      </c>
      <c r="G37" s="161" t="e">
        <f>ROUND(IF(E2="工业",C37*$M$42,C37*$M$41),0)</f>
        <v>#DIV/0!</v>
      </c>
      <c r="H37" s="161">
        <f>D37</f>
        <v>0</v>
      </c>
      <c r="I37" s="161" t="e">
        <f>ROUND(G37*H37/10000,0)</f>
        <v>#DIV/0!</v>
      </c>
      <c r="J37" s="2748"/>
      <c r="K37" s="3055" t="s">
        <v>3264</v>
      </c>
      <c r="L37" s="1959">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96"/>
      <c r="B38" s="1879" t="s">
        <v>2037</v>
      </c>
      <c r="C38" s="165" t="e">
        <f>ROUND(D5*C22*C23*C24*C28*F38,0)</f>
        <v>#DIV/0!</v>
      </c>
      <c r="D38" s="1935"/>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7"/>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96"/>
      <c r="B39" s="1879" t="s">
        <v>3257</v>
      </c>
      <c r="C39" s="165" t="e">
        <f>ROUND(D5*C22*C23*C24*C28*F39,0)</f>
        <v>#DIV/0!</v>
      </c>
      <c r="D39" s="1935"/>
      <c r="E39" s="161" t="e">
        <f t="shared" si="4"/>
        <v>#DIV/0!</v>
      </c>
      <c r="F39" s="161">
        <f>SUMIF(修正!A57:A68,G2,修正!D57:D68)</f>
        <v>0</v>
      </c>
      <c r="G39" s="161" t="e">
        <f>ROUND(IF(E2="工业",C39*$M$42,C39*$M$41),0)</f>
        <v>#DIV/0!</v>
      </c>
      <c r="H39" s="161">
        <f t="shared" si="5"/>
        <v>0</v>
      </c>
      <c r="I39" s="161" t="e">
        <f t="shared" si="6"/>
        <v>#DIV/0!</v>
      </c>
      <c r="J39" s="2747"/>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2038</v>
      </c>
      <c r="C40" s="161" t="e">
        <f>ROUND(D5*C22*C23*C24*C28*F40,0)</f>
        <v>#DIV/0!</v>
      </c>
      <c r="D40" s="1935"/>
      <c r="E40" s="161" t="e">
        <f t="shared" si="4"/>
        <v>#DIV/0!</v>
      </c>
      <c r="F40" s="165">
        <f>SUMIF(修正!A57:A68,G2,修正!E57:E68)</f>
        <v>0</v>
      </c>
      <c r="G40" s="161" t="e">
        <f>ROUND(IF(E2="工业",C40*$M$42,C40*$M$41),0)</f>
        <v>#DIV/0!</v>
      </c>
      <c r="H40" s="161">
        <f t="shared" si="5"/>
        <v>0</v>
      </c>
      <c r="I40" s="161" t="e">
        <f t="shared" si="6"/>
        <v>#DIV/0!</v>
      </c>
      <c r="J40" s="935"/>
      <c r="L40" s="1952" t="s">
        <v>2039</v>
      </c>
      <c r="M40" s="1953"/>
      <c r="Z40" s="1053"/>
      <c r="AA40" s="1053"/>
      <c r="AB40" s="1053"/>
      <c r="AC40" s="1053"/>
      <c r="AD40" s="1053"/>
      <c r="AE40" s="1053"/>
      <c r="AF40" s="1053"/>
      <c r="AG40" s="1053"/>
      <c r="AH40" s="1053"/>
      <c r="AI40" s="1053"/>
      <c r="AJ40" s="1053"/>
    </row>
    <row r="41" spans="1:37" s="1052" customFormat="1">
      <c r="A41" s="1951"/>
      <c r="B41" s="1879" t="s">
        <v>2040</v>
      </c>
      <c r="C41" s="161" t="e">
        <f>ROUND(D5*C22*C23*C44*C28*F41,0)</f>
        <v>#DIV/0!</v>
      </c>
      <c r="D41" s="1935"/>
      <c r="E41" s="161" t="e">
        <f t="shared" si="4"/>
        <v>#DIV/0!</v>
      </c>
      <c r="F41" s="165">
        <f>SUMIF(修正!A57:A68,G2,修正!F57:F68)</f>
        <v>0</v>
      </c>
      <c r="G41" s="161" t="e">
        <f>ROUND(IF(E2="工业",C41*$M$42,C41*$M$41),0)</f>
        <v>#DIV/0!</v>
      </c>
      <c r="H41" s="161">
        <f t="shared" si="5"/>
        <v>0</v>
      </c>
      <c r="I41" s="161" t="e">
        <f t="shared" si="6"/>
        <v>#DIV/0!</v>
      </c>
      <c r="J41" s="935"/>
      <c r="L41" s="3056" t="s">
        <v>3265</v>
      </c>
      <c r="M41" s="1954">
        <v>0.25</v>
      </c>
      <c r="Z41" s="1053"/>
      <c r="AA41" s="1053"/>
      <c r="AB41" s="1053"/>
      <c r="AC41" s="1053"/>
      <c r="AD41" s="1053"/>
      <c r="AE41" s="1053"/>
      <c r="AF41" s="1053"/>
      <c r="AG41" s="1053"/>
      <c r="AH41" s="1053"/>
      <c r="AI41" s="1053"/>
      <c r="AJ41" s="1053"/>
    </row>
    <row r="42" spans="1:37" s="1052" customFormat="1" ht="13.5" thickBot="1">
      <c r="A42" s="1938"/>
      <c r="B42" s="1955" t="s">
        <v>2041</v>
      </c>
      <c r="C42" s="177" t="e">
        <f>ROUND(D5*C22*C23*C44*C28*F42,0)</f>
        <v>#DIV/0!</v>
      </c>
      <c r="D42" s="1940"/>
      <c r="E42" s="177" t="e">
        <f t="shared" si="4"/>
        <v>#DIV/0!</v>
      </c>
      <c r="F42" s="719">
        <f>SUMIF(修正!A57:A68,G2,修正!G57:G68)</f>
        <v>0</v>
      </c>
      <c r="G42" s="177" t="e">
        <f>ROUND(IF(E2="工业",C42*$M$42,C42*$M$41),0)</f>
        <v>#DIV/0!</v>
      </c>
      <c r="H42" s="177">
        <f t="shared" si="5"/>
        <v>0</v>
      </c>
      <c r="I42" s="177" t="e">
        <f t="shared" si="6"/>
        <v>#DIV/0!</v>
      </c>
      <c r="J42" s="1956"/>
      <c r="L42" s="1957" t="s">
        <v>1993</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2122</v>
      </c>
      <c r="C44" s="331" t="e">
        <f>ROUND(POWER(1+E44,H44-G44)*(POWER(1+E44,G44)-1)/(POWER(1+E44,H44)-1),4)</f>
        <v>#DIV/0!</v>
      </c>
      <c r="D44" s="161" t="s">
        <v>1999</v>
      </c>
      <c r="E44" s="1986">
        <f>G24</f>
        <v>0</v>
      </c>
      <c r="F44" s="161" t="s">
        <v>2008</v>
      </c>
      <c r="G44" s="173"/>
      <c r="H44" s="161">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2042</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2043</v>
      </c>
      <c r="B48" s="1963">
        <f>1+E50</f>
        <v>1</v>
      </c>
      <c r="C48" s="1721"/>
      <c r="D48" s="695"/>
      <c r="E48" s="696"/>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2044</v>
      </c>
      <c r="B49" s="1257" t="s">
        <v>2045</v>
      </c>
      <c r="C49" s="1257" t="s">
        <v>2046</v>
      </c>
      <c r="D49" s="1257" t="s">
        <v>2047</v>
      </c>
      <c r="E49" s="697" t="s">
        <v>2048</v>
      </c>
      <c r="F49" s="1966" t="s">
        <v>2049</v>
      </c>
      <c r="G49" s="1257" t="s">
        <v>310</v>
      </c>
      <c r="H49" s="1967" t="s">
        <v>2050</v>
      </c>
      <c r="I49" s="1257" t="s">
        <v>2051</v>
      </c>
      <c r="J49" s="528" t="s">
        <v>1721</v>
      </c>
      <c r="K49" s="528" t="s">
        <v>1722</v>
      </c>
      <c r="L49" s="528" t="s">
        <v>1723</v>
      </c>
      <c r="M49" s="528" t="s">
        <v>1724</v>
      </c>
      <c r="N49" s="528" t="s">
        <v>1725</v>
      </c>
      <c r="AA49" s="1053"/>
      <c r="AB49" s="1053"/>
      <c r="AC49" s="1053"/>
      <c r="AD49" s="1053"/>
      <c r="AE49" s="1053"/>
      <c r="AF49" s="1053"/>
      <c r="AG49" s="1053"/>
      <c r="AH49" s="1053"/>
      <c r="AI49" s="1053"/>
      <c r="AJ49" s="1053"/>
      <c r="AK49" s="1053"/>
    </row>
    <row r="50" spans="1:37" s="1052" customFormat="1" ht="38.25">
      <c r="A50" s="1965" t="s">
        <v>2052</v>
      </c>
      <c r="B50" s="1968" t="str">
        <f>估价对象房地状况!C4</f>
        <v>位于亦庄，周边商业氛围成熟度一般，人流量较大，商业繁华度一般</v>
      </c>
      <c r="C50" s="1882"/>
      <c r="D50" s="998">
        <f t="shared" ref="D50:D58" si="7">SUMIF($J$49:$N$49,C50,J50:N50)</f>
        <v>0</v>
      </c>
      <c r="E50" s="698">
        <f>ROUND(SUM(D50:D58),4)</f>
        <v>0</v>
      </c>
      <c r="F50" s="1670" t="str">
        <f>IF(E2="商业",SUMIF(L1:L12,G2,N1:N12),"——")</f>
        <v>——</v>
      </c>
      <c r="G50" s="996"/>
      <c r="H50" s="999" t="str">
        <f t="shared" ref="H50:H58" si="8">IFERROR(ROUNDDOWN($F$50*I50/2,4),"——")</f>
        <v>——</v>
      </c>
      <c r="I50" s="3062">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c r="A51" s="1965" t="s">
        <v>2053</v>
      </c>
      <c r="B51" s="1257" t="str">
        <f>估价对象房地状况!C18</f>
        <v>估价对象周边道路状况、公共交通通达情况、停车便捷程度，综合评价交通便捷度较好</v>
      </c>
      <c r="C51" s="1882"/>
      <c r="D51" s="998">
        <f t="shared" si="7"/>
        <v>0</v>
      </c>
      <c r="E51" s="699"/>
      <c r="F51" s="1670"/>
      <c r="G51" s="996"/>
      <c r="H51" s="999" t="str">
        <f t="shared" si="8"/>
        <v>——</v>
      </c>
      <c r="I51" s="3062">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4" t="s">
        <v>3267</v>
      </c>
      <c r="B52" s="1257">
        <f>估价对象房地状况!C19</f>
        <v>0</v>
      </c>
      <c r="C52" s="1882"/>
      <c r="D52" s="998">
        <f t="shared" si="7"/>
        <v>0</v>
      </c>
      <c r="E52" s="699"/>
      <c r="F52" s="1670"/>
      <c r="G52" s="996"/>
      <c r="H52" s="999" t="str">
        <f t="shared" si="8"/>
        <v>——</v>
      </c>
      <c r="I52" s="3062">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5" t="s">
        <v>2054</v>
      </c>
      <c r="B53" s="1969" t="s">
        <v>2055</v>
      </c>
      <c r="C53" s="1882"/>
      <c r="D53" s="998">
        <f t="shared" si="7"/>
        <v>0</v>
      </c>
      <c r="E53" s="699"/>
      <c r="F53" s="1670"/>
      <c r="G53" s="996"/>
      <c r="H53" s="999" t="str">
        <f t="shared" si="8"/>
        <v>——</v>
      </c>
      <c r="I53" s="3062">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5" t="s">
        <v>2056</v>
      </c>
      <c r="B54" s="1257" t="str">
        <f>估价对象房地状况!C24</f>
        <v>次干道-兴海路</v>
      </c>
      <c r="C54" s="1882"/>
      <c r="D54" s="998">
        <f t="shared" si="7"/>
        <v>0</v>
      </c>
      <c r="E54" s="699"/>
      <c r="F54" s="1670"/>
      <c r="G54" s="996"/>
      <c r="H54" s="999" t="str">
        <f t="shared" si="8"/>
        <v>——</v>
      </c>
      <c r="I54" s="3062">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5" t="s">
        <v>2057</v>
      </c>
      <c r="B55" s="1970" t="s">
        <v>2058</v>
      </c>
      <c r="C55" s="1882"/>
      <c r="D55" s="998">
        <f t="shared" si="7"/>
        <v>0</v>
      </c>
      <c r="E55" s="699"/>
      <c r="F55" s="1670"/>
      <c r="G55" s="996"/>
      <c r="H55" s="999" t="str">
        <f t="shared" si="8"/>
        <v>——</v>
      </c>
      <c r="I55" s="3062">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5.5">
      <c r="A56" s="1971" t="s">
        <v>2059</v>
      </c>
      <c r="B56" s="1235" t="str">
        <f>估价对象房地状况!C21</f>
        <v>估价对象所在区域公共配套设施齐备情况</v>
      </c>
      <c r="C56" s="1882"/>
      <c r="D56" s="998">
        <f t="shared" si="7"/>
        <v>0</v>
      </c>
      <c r="E56" s="699"/>
      <c r="F56" s="1670"/>
      <c r="G56" s="996"/>
      <c r="H56" s="999" t="str">
        <f t="shared" si="8"/>
        <v>——</v>
      </c>
      <c r="I56" s="3062">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c r="A57" s="1971" t="s">
        <v>2060</v>
      </c>
      <c r="B57" s="1257" t="str">
        <f>估价对象房地状况!C22</f>
        <v>估价对象所在区域基础设施水平</v>
      </c>
      <c r="C57" s="1882"/>
      <c r="D57" s="998">
        <f t="shared" si="7"/>
        <v>0</v>
      </c>
      <c r="E57" s="699"/>
      <c r="F57" s="1670"/>
      <c r="G57" s="996"/>
      <c r="H57" s="999" t="str">
        <f t="shared" si="8"/>
        <v>——</v>
      </c>
      <c r="I57" s="3062">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6.25" thickBot="1">
      <c r="A58" s="1972" t="s">
        <v>2061</v>
      </c>
      <c r="B58" s="1973" t="str">
        <f>估价对象房地状况!C20</f>
        <v>区域自然环境：；人文环境；综合评价环境状况一般</v>
      </c>
      <c r="C58" s="1882"/>
      <c r="D58" s="998">
        <f t="shared" si="7"/>
        <v>0</v>
      </c>
      <c r="E58" s="700"/>
      <c r="F58" s="1670"/>
      <c r="G58" s="996"/>
      <c r="H58" s="999" t="str">
        <f t="shared" si="8"/>
        <v>——</v>
      </c>
      <c r="I58" s="3063">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2" t="s">
        <v>2062</v>
      </c>
      <c r="B59" s="1963">
        <f>1+E61</f>
        <v>1</v>
      </c>
      <c r="C59" s="695"/>
      <c r="D59" s="695"/>
      <c r="E59" s="696"/>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2044</v>
      </c>
      <c r="B60" s="1257"/>
      <c r="C60" s="1257" t="s">
        <v>2046</v>
      </c>
      <c r="D60" s="1257" t="s">
        <v>2047</v>
      </c>
      <c r="E60" s="697" t="s">
        <v>2048</v>
      </c>
      <c r="F60" s="1966" t="s">
        <v>2063</v>
      </c>
      <c r="G60" s="1257" t="s">
        <v>310</v>
      </c>
      <c r="H60" s="1967" t="s">
        <v>2050</v>
      </c>
      <c r="I60" s="1257" t="s">
        <v>2051</v>
      </c>
      <c r="J60" s="528" t="s">
        <v>1721</v>
      </c>
      <c r="K60" s="528" t="s">
        <v>1722</v>
      </c>
      <c r="L60" s="528" t="s">
        <v>1723</v>
      </c>
      <c r="M60" s="528" t="s">
        <v>1724</v>
      </c>
      <c r="N60" s="528" t="s">
        <v>1725</v>
      </c>
      <c r="AA60" s="1053"/>
      <c r="AB60" s="1053"/>
      <c r="AC60" s="1053"/>
      <c r="AD60" s="1053"/>
      <c r="AE60" s="1053"/>
      <c r="AF60" s="1053"/>
      <c r="AG60" s="1053"/>
      <c r="AH60" s="1053"/>
      <c r="AI60" s="1053"/>
      <c r="AJ60" s="1053"/>
      <c r="AK60" s="1053"/>
    </row>
    <row r="61" spans="1:37" s="1052" customFormat="1" ht="24">
      <c r="A61" s="1965" t="s">
        <v>2064</v>
      </c>
      <c r="B61" s="1968">
        <f>估价对象房地状况!C17</f>
        <v>0</v>
      </c>
      <c r="C61" s="1882"/>
      <c r="D61" s="998">
        <f t="shared" ref="D61:D69" si="12">SUMIF($J$60:$N$60,C61,J61:N61)</f>
        <v>0</v>
      </c>
      <c r="E61" s="698">
        <f>ROUND(SUM(D61:D69),4)</f>
        <v>0</v>
      </c>
      <c r="F61" s="1670" t="str">
        <f>IF(E2="办公",SUMIF(L1:L12,G2,N1:N12),"——")</f>
        <v>——</v>
      </c>
      <c r="G61" s="996"/>
      <c r="H61" s="999" t="str">
        <f t="shared" ref="H61:H69" si="13">IFERROR(ROUNDDOWN($F$61*I61/2,4),"——")</f>
        <v>——</v>
      </c>
      <c r="I61" s="3062">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38.25">
      <c r="A62" s="1965" t="s">
        <v>2053</v>
      </c>
      <c r="B62" s="1257" t="str">
        <f>估价对象房地状况!C18</f>
        <v>估价对象周边道路状况、公共交通通达情况、停车便捷程度，综合评价交通便捷度较好</v>
      </c>
      <c r="C62" s="1882"/>
      <c r="D62" s="998">
        <f t="shared" si="12"/>
        <v>0</v>
      </c>
      <c r="E62" s="699"/>
      <c r="F62" s="1670"/>
      <c r="G62" s="996"/>
      <c r="H62" s="999" t="str">
        <f t="shared" si="13"/>
        <v>——</v>
      </c>
      <c r="I62" s="3062">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c r="A63" s="3064" t="s">
        <v>3267</v>
      </c>
      <c r="B63" s="1257">
        <f>估价对象房地状况!C19</f>
        <v>0</v>
      </c>
      <c r="C63" s="1882"/>
      <c r="D63" s="998">
        <f t="shared" si="12"/>
        <v>0</v>
      </c>
      <c r="E63" s="699"/>
      <c r="F63" s="1670"/>
      <c r="G63" s="996"/>
      <c r="H63" s="999" t="str">
        <f t="shared" si="13"/>
        <v>——</v>
      </c>
      <c r="I63" s="3062">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c r="A64" s="1965" t="s">
        <v>2054</v>
      </c>
      <c r="B64" s="1969" t="s">
        <v>2055</v>
      </c>
      <c r="C64" s="1882"/>
      <c r="D64" s="998">
        <f t="shared" si="12"/>
        <v>0</v>
      </c>
      <c r="E64" s="699"/>
      <c r="F64" s="1670"/>
      <c r="G64" s="996"/>
      <c r="H64" s="999" t="str">
        <f t="shared" si="13"/>
        <v>——</v>
      </c>
      <c r="I64" s="3062">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5" t="s">
        <v>2056</v>
      </c>
      <c r="B65" s="1257" t="str">
        <f>估价对象房地状况!C24</f>
        <v>次干道-兴海路</v>
      </c>
      <c r="C65" s="1882"/>
      <c r="D65" s="998">
        <f t="shared" si="12"/>
        <v>0</v>
      </c>
      <c r="E65" s="699"/>
      <c r="F65" s="1670"/>
      <c r="G65" s="996"/>
      <c r="H65" s="999" t="str">
        <f t="shared" si="13"/>
        <v>——</v>
      </c>
      <c r="I65" s="3062">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c r="A66" s="1965" t="s">
        <v>2057</v>
      </c>
      <c r="B66" s="1970" t="s">
        <v>2058</v>
      </c>
      <c r="C66" s="1882"/>
      <c r="D66" s="998">
        <f t="shared" si="12"/>
        <v>0</v>
      </c>
      <c r="E66" s="699"/>
      <c r="F66" s="1670"/>
      <c r="G66" s="996"/>
      <c r="H66" s="999" t="str">
        <f t="shared" si="13"/>
        <v>——</v>
      </c>
      <c r="I66" s="3062">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25.5">
      <c r="A67" s="1965" t="s">
        <v>2059</v>
      </c>
      <c r="B67" s="1235" t="str">
        <f>估价对象房地状况!C21</f>
        <v>估价对象所在区域公共配套设施齐备情况</v>
      </c>
      <c r="C67" s="1882"/>
      <c r="D67" s="998">
        <f t="shared" si="12"/>
        <v>0</v>
      </c>
      <c r="E67" s="699"/>
      <c r="F67" s="1670"/>
      <c r="G67" s="996"/>
      <c r="H67" s="999" t="str">
        <f t="shared" si="13"/>
        <v>——</v>
      </c>
      <c r="I67" s="3062">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5.5">
      <c r="A68" s="1965" t="s">
        <v>2060</v>
      </c>
      <c r="B68" s="1235" t="str">
        <f>估价对象房地状况!C22</f>
        <v>估价对象所在区域基础设施水平</v>
      </c>
      <c r="C68" s="1882"/>
      <c r="D68" s="998">
        <f t="shared" si="12"/>
        <v>0</v>
      </c>
      <c r="E68" s="699"/>
      <c r="F68" s="1670"/>
      <c r="G68" s="996"/>
      <c r="H68" s="999" t="str">
        <f t="shared" si="13"/>
        <v>——</v>
      </c>
      <c r="I68" s="3062">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26.25" thickBot="1">
      <c r="A69" s="1972" t="s">
        <v>2061</v>
      </c>
      <c r="B69" s="1974" t="str">
        <f>估价对象房地状况!C20</f>
        <v>区域自然环境：；人文环境；综合评价环境状况一般</v>
      </c>
      <c r="C69" s="1882"/>
      <c r="D69" s="998">
        <f t="shared" si="12"/>
        <v>0</v>
      </c>
      <c r="E69" s="700"/>
      <c r="F69" s="1670"/>
      <c r="G69" s="996"/>
      <c r="H69" s="999" t="str">
        <f t="shared" si="13"/>
        <v>——</v>
      </c>
      <c r="I69" s="3063">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c r="A70" s="1962" t="s">
        <v>2065</v>
      </c>
      <c r="B70" s="1963">
        <f>1+E72</f>
        <v>1</v>
      </c>
      <c r="C70" s="695"/>
      <c r="D70" s="695"/>
      <c r="E70" s="696"/>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2044</v>
      </c>
      <c r="B71" s="1257"/>
      <c r="C71" s="1257" t="s">
        <v>2046</v>
      </c>
      <c r="D71" s="1257" t="s">
        <v>2047</v>
      </c>
      <c r="E71" s="697" t="s">
        <v>2048</v>
      </c>
      <c r="F71" s="1966" t="s">
        <v>2063</v>
      </c>
      <c r="G71" s="1257" t="s">
        <v>310</v>
      </c>
      <c r="H71" s="1967" t="s">
        <v>2050</v>
      </c>
      <c r="I71" s="1257" t="s">
        <v>2051</v>
      </c>
      <c r="J71" s="528" t="s">
        <v>1721</v>
      </c>
      <c r="K71" s="528" t="s">
        <v>1722</v>
      </c>
      <c r="L71" s="528" t="s">
        <v>1723</v>
      </c>
      <c r="M71" s="528" t="s">
        <v>1724</v>
      </c>
      <c r="N71" s="528" t="s">
        <v>1725</v>
      </c>
      <c r="AA71" s="1053"/>
      <c r="AB71" s="1053"/>
      <c r="AC71" s="1053"/>
      <c r="AD71" s="1053"/>
      <c r="AE71" s="1053"/>
      <c r="AF71" s="1053"/>
      <c r="AG71" s="1053"/>
      <c r="AH71" s="1053"/>
      <c r="AI71" s="1053"/>
      <c r="AJ71" s="1053"/>
      <c r="AK71" s="1053"/>
    </row>
    <row r="72" spans="1:37" s="1052" customFormat="1" ht="24">
      <c r="A72" s="1965" t="s">
        <v>2066</v>
      </c>
      <c r="B72" s="1968">
        <f>估价对象房地状况!C15</f>
        <v>0</v>
      </c>
      <c r="C72" s="1882"/>
      <c r="D72" s="998">
        <f t="shared" ref="D72:D80" si="17">SUMIF($J$71:$N$71,C72,J72:N72)</f>
        <v>0</v>
      </c>
      <c r="E72" s="698">
        <f>ROUND(SUM(D72:D80),4)</f>
        <v>0</v>
      </c>
      <c r="F72" s="1670" t="str">
        <f>IF(E2="住宅",SUMIF(L1:L12,G2,N1:N12),"——")</f>
        <v>——</v>
      </c>
      <c r="G72" s="996"/>
      <c r="H72" s="999" t="str">
        <f t="shared" ref="H72:H80" si="18">IFERROR(ROUNDDOWN($F$72*I72/2,4),"——")</f>
        <v>——</v>
      </c>
      <c r="I72" s="3062">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c r="A73" s="1965" t="s">
        <v>2053</v>
      </c>
      <c r="B73" s="1257" t="str">
        <f>估价对象房地状况!C18</f>
        <v>估价对象周边道路状况、公共交通通达情况、停车便捷程度，综合评价交通便捷度较好</v>
      </c>
      <c r="C73" s="1882"/>
      <c r="D73" s="998">
        <f t="shared" si="17"/>
        <v>0</v>
      </c>
      <c r="E73" s="701"/>
      <c r="F73" s="1670"/>
      <c r="G73" s="996"/>
      <c r="H73" s="999" t="str">
        <f t="shared" si="18"/>
        <v>——</v>
      </c>
      <c r="I73" s="3062">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9" customFormat="1" ht="36">
      <c r="A74" s="3064" t="s">
        <v>3267</v>
      </c>
      <c r="B74" s="1257">
        <f>估价对象房地状况!C19</f>
        <v>0</v>
      </c>
      <c r="C74" s="1882"/>
      <c r="D74" s="998">
        <f t="shared" si="17"/>
        <v>0</v>
      </c>
      <c r="E74" s="701"/>
      <c r="F74" s="1670"/>
      <c r="G74" s="996"/>
      <c r="H74" s="999" t="str">
        <f t="shared" si="18"/>
        <v>——</v>
      </c>
      <c r="I74" s="3062">
        <v>0.1</v>
      </c>
      <c r="J74" s="997">
        <f t="shared" si="19"/>
        <v>0</v>
      </c>
      <c r="K74" s="997">
        <f t="shared" si="20"/>
        <v>0</v>
      </c>
      <c r="L74" s="997">
        <v>0</v>
      </c>
      <c r="M74" s="997">
        <f t="shared" si="21"/>
        <v>0</v>
      </c>
      <c r="N74" s="997">
        <f t="shared" si="21"/>
        <v>0</v>
      </c>
      <c r="O74" s="1052"/>
      <c r="P74" s="1052"/>
      <c r="Q74" s="1052"/>
      <c r="AA74" s="1975"/>
      <c r="AB74" s="1053"/>
      <c r="AC74" s="1053"/>
      <c r="AD74" s="1053"/>
      <c r="AE74" s="1053"/>
      <c r="AF74" s="1053"/>
      <c r="AG74" s="1053"/>
      <c r="AH74" s="1975"/>
      <c r="AI74" s="1975"/>
      <c r="AJ74" s="1975"/>
      <c r="AK74" s="1975"/>
    </row>
    <row r="75" spans="1:37" ht="14.25">
      <c r="A75" s="1965" t="s">
        <v>2067</v>
      </c>
      <c r="B75" s="1257" t="str">
        <f>估价对象房地状况!C24</f>
        <v>次干道-兴海路</v>
      </c>
      <c r="C75" s="1882"/>
      <c r="D75" s="998">
        <f t="shared" si="17"/>
        <v>0</v>
      </c>
      <c r="E75" s="701"/>
      <c r="F75" s="1670"/>
      <c r="G75" s="996"/>
      <c r="H75" s="999" t="str">
        <f t="shared" si="18"/>
        <v>——</v>
      </c>
      <c r="I75" s="3062">
        <v>0.05</v>
      </c>
      <c r="J75" s="997">
        <f t="shared" si="19"/>
        <v>0</v>
      </c>
      <c r="K75" s="997">
        <f t="shared" si="20"/>
        <v>0</v>
      </c>
      <c r="L75" s="997">
        <v>0</v>
      </c>
      <c r="M75" s="997">
        <f t="shared" si="21"/>
        <v>0</v>
      </c>
      <c r="N75" s="997">
        <f t="shared" si="21"/>
        <v>0</v>
      </c>
      <c r="O75" s="1052"/>
      <c r="P75" s="1052"/>
      <c r="Q75" s="1839"/>
      <c r="Z75" s="1840"/>
      <c r="AA75" s="1890"/>
      <c r="AG75" s="1054"/>
      <c r="AK75" s="1890"/>
    </row>
    <row r="76" spans="1:37" ht="25.5">
      <c r="A76" s="1965" t="s">
        <v>2059</v>
      </c>
      <c r="B76" s="1235" t="str">
        <f>估价对象房地状况!C21</f>
        <v>估价对象所在区域公共配套设施齐备情况</v>
      </c>
      <c r="C76" s="1882"/>
      <c r="D76" s="998">
        <f t="shared" si="17"/>
        <v>0</v>
      </c>
      <c r="E76" s="701"/>
      <c r="F76" s="1670"/>
      <c r="G76" s="996"/>
      <c r="H76" s="999" t="str">
        <f t="shared" si="18"/>
        <v>——</v>
      </c>
      <c r="I76" s="3062">
        <v>0.08</v>
      </c>
      <c r="J76" s="997">
        <f t="shared" si="19"/>
        <v>0</v>
      </c>
      <c r="K76" s="997">
        <f t="shared" si="20"/>
        <v>0</v>
      </c>
      <c r="L76" s="997">
        <v>0</v>
      </c>
      <c r="M76" s="997">
        <f t="shared" si="21"/>
        <v>0</v>
      </c>
      <c r="N76" s="997">
        <f t="shared" si="21"/>
        <v>0</v>
      </c>
      <c r="O76" s="1052"/>
      <c r="P76" s="1052"/>
      <c r="Z76" s="1840"/>
      <c r="AA76" s="1890"/>
      <c r="AG76" s="1054"/>
      <c r="AK76" s="1890"/>
    </row>
    <row r="77" spans="1:37" ht="25.5">
      <c r="A77" s="1965" t="s">
        <v>2060</v>
      </c>
      <c r="B77" s="1235" t="str">
        <f>估价对象房地状况!C22</f>
        <v>估价对象所在区域基础设施水平</v>
      </c>
      <c r="C77" s="1882"/>
      <c r="D77" s="998">
        <f t="shared" si="17"/>
        <v>0</v>
      </c>
      <c r="E77" s="701"/>
      <c r="F77" s="1670"/>
      <c r="G77" s="996"/>
      <c r="H77" s="999" t="str">
        <f t="shared" si="18"/>
        <v>——</v>
      </c>
      <c r="I77" s="3062">
        <v>0.09</v>
      </c>
      <c r="J77" s="997">
        <f t="shared" si="19"/>
        <v>0</v>
      </c>
      <c r="K77" s="997">
        <f t="shared" si="20"/>
        <v>0</v>
      </c>
      <c r="L77" s="997">
        <v>0</v>
      </c>
      <c r="M77" s="997">
        <f t="shared" si="21"/>
        <v>0</v>
      </c>
      <c r="N77" s="997">
        <f t="shared" si="21"/>
        <v>0</v>
      </c>
      <c r="O77" s="1052"/>
      <c r="P77" s="1052"/>
      <c r="Z77" s="1840"/>
      <c r="AA77" s="1890"/>
      <c r="AG77" s="1054"/>
      <c r="AK77" s="1890"/>
    </row>
    <row r="78" spans="1:37" ht="24">
      <c r="A78" s="1965" t="s">
        <v>2057</v>
      </c>
      <c r="B78" s="1970" t="s">
        <v>2058</v>
      </c>
      <c r="C78" s="1882"/>
      <c r="D78" s="998">
        <f t="shared" si="17"/>
        <v>0</v>
      </c>
      <c r="E78" s="701"/>
      <c r="F78" s="1670"/>
      <c r="G78" s="996"/>
      <c r="H78" s="999" t="str">
        <f t="shared" si="18"/>
        <v>——</v>
      </c>
      <c r="I78" s="3062">
        <v>0.05</v>
      </c>
      <c r="J78" s="997">
        <f t="shared" si="19"/>
        <v>0</v>
      </c>
      <c r="K78" s="997">
        <f t="shared" si="20"/>
        <v>0</v>
      </c>
      <c r="L78" s="997">
        <v>0</v>
      </c>
      <c r="M78" s="997">
        <f t="shared" si="21"/>
        <v>0</v>
      </c>
      <c r="N78" s="997">
        <f t="shared" si="21"/>
        <v>0</v>
      </c>
      <c r="O78" s="1839"/>
      <c r="P78" s="1839"/>
      <c r="Z78" s="1840"/>
      <c r="AA78" s="1890"/>
      <c r="AG78" s="1054"/>
      <c r="AK78" s="1890"/>
    </row>
    <row r="79" spans="1:37" ht="25.5">
      <c r="A79" s="1965" t="s">
        <v>2061</v>
      </c>
      <c r="B79" s="1968" t="str">
        <f>估价对象房地状况!C20</f>
        <v>区域自然环境：；人文环境；综合评价环境状况一般</v>
      </c>
      <c r="C79" s="1882"/>
      <c r="D79" s="998">
        <f t="shared" si="17"/>
        <v>0</v>
      </c>
      <c r="E79" s="701"/>
      <c r="F79" s="1670"/>
      <c r="G79" s="996"/>
      <c r="H79" s="999" t="str">
        <f t="shared" si="18"/>
        <v>——</v>
      </c>
      <c r="I79" s="3062">
        <v>0.12</v>
      </c>
      <c r="J79" s="997">
        <f t="shared" si="19"/>
        <v>0</v>
      </c>
      <c r="K79" s="997">
        <f t="shared" si="20"/>
        <v>0</v>
      </c>
      <c r="L79" s="997">
        <v>0</v>
      </c>
      <c r="M79" s="997">
        <f t="shared" si="21"/>
        <v>0</v>
      </c>
      <c r="N79" s="997">
        <f t="shared" si="21"/>
        <v>0</v>
      </c>
      <c r="Z79" s="1840"/>
      <c r="AA79" s="1890"/>
      <c r="AG79" s="1054"/>
      <c r="AK79" s="1890"/>
    </row>
    <row r="80" spans="1:37" ht="24.75" thickBot="1">
      <c r="A80" s="1972" t="s">
        <v>2068</v>
      </c>
      <c r="B80" s="1976"/>
      <c r="C80" s="1882"/>
      <c r="D80" s="998">
        <f t="shared" si="17"/>
        <v>0</v>
      </c>
      <c r="E80" s="702"/>
      <c r="F80" s="1670"/>
      <c r="G80" s="996"/>
      <c r="H80" s="999" t="str">
        <f t="shared" si="18"/>
        <v>——</v>
      </c>
      <c r="I80" s="3063">
        <v>0.05</v>
      </c>
      <c r="J80" s="997">
        <f t="shared" si="19"/>
        <v>0</v>
      </c>
      <c r="K80" s="997">
        <f t="shared" si="20"/>
        <v>0</v>
      </c>
      <c r="L80" s="997">
        <v>0</v>
      </c>
      <c r="M80" s="997">
        <f t="shared" si="21"/>
        <v>0</v>
      </c>
      <c r="N80" s="997">
        <f t="shared" si="21"/>
        <v>0</v>
      </c>
      <c r="Z80" s="1840"/>
      <c r="AA80" s="1890"/>
      <c r="AG80" s="1054"/>
      <c r="AK80" s="1890"/>
    </row>
    <row r="81" spans="1:37" ht="15">
      <c r="A81" s="1962" t="s">
        <v>2069</v>
      </c>
      <c r="B81" s="1963">
        <f>1+E83</f>
        <v>1</v>
      </c>
      <c r="C81" s="695"/>
      <c r="D81" s="695"/>
      <c r="E81" s="696"/>
      <c r="F81" s="1964"/>
      <c r="G81" s="3"/>
      <c r="H81" s="3"/>
      <c r="I81" s="3"/>
      <c r="J81" s="4"/>
      <c r="K81" s="4"/>
      <c r="L81" s="4"/>
      <c r="M81" s="4"/>
      <c r="N81" s="4"/>
      <c r="Z81" s="1840"/>
      <c r="AA81" s="1890"/>
      <c r="AG81" s="1054"/>
      <c r="AK81" s="1890"/>
    </row>
    <row r="82" spans="1:37" ht="24.75">
      <c r="A82" s="1965" t="s">
        <v>2044</v>
      </c>
      <c r="B82" s="1257"/>
      <c r="C82" s="1257" t="s">
        <v>2046</v>
      </c>
      <c r="D82" s="1257" t="s">
        <v>2047</v>
      </c>
      <c r="E82" s="697" t="s">
        <v>2048</v>
      </c>
      <c r="F82" s="1966" t="s">
        <v>2063</v>
      </c>
      <c r="G82" s="1257" t="s">
        <v>310</v>
      </c>
      <c r="H82" s="1967" t="s">
        <v>2050</v>
      </c>
      <c r="I82" s="1257" t="s">
        <v>2051</v>
      </c>
      <c r="J82" s="528" t="s">
        <v>1721</v>
      </c>
      <c r="K82" s="528" t="s">
        <v>1722</v>
      </c>
      <c r="L82" s="528" t="s">
        <v>1723</v>
      </c>
      <c r="M82" s="528" t="s">
        <v>1724</v>
      </c>
      <c r="N82" s="528" t="s">
        <v>1725</v>
      </c>
      <c r="Z82" s="1840"/>
      <c r="AA82" s="1890"/>
      <c r="AG82" s="1054"/>
      <c r="AK82" s="1890"/>
    </row>
    <row r="83" spans="1:37" ht="38.25">
      <c r="A83" s="1965" t="s">
        <v>2070</v>
      </c>
      <c r="B83" s="1257" t="str">
        <f>估价对象房地状况!G15</f>
        <v>估价对象位于XX开发区，园区建设成熟度XX，产业集聚程度XX</v>
      </c>
      <c r="C83" s="1882"/>
      <c r="D83" s="998">
        <f t="shared" ref="D83:D90" si="22">SUMIF($J$82:$N$82,C83,J83:N83)</f>
        <v>0</v>
      </c>
      <c r="E83" s="698">
        <f>ROUND(SUM(D83:D90),4)</f>
        <v>0</v>
      </c>
      <c r="F83" s="1670" t="str">
        <f>IF(E2="工业",SUMIF(L1:L12,G2,N1:N12),"——")</f>
        <v>——</v>
      </c>
      <c r="G83" s="996"/>
      <c r="H83" s="999" t="str">
        <f t="shared" ref="H83:H90" si="23">IFERROR(ROUNDDOWN($F$83*I83/2,4),"——")</f>
        <v>——</v>
      </c>
      <c r="I83" s="3062">
        <v>0.26</v>
      </c>
      <c r="J83" s="997">
        <f t="shared" ref="J83:J90" si="24">K83+$G83</f>
        <v>0</v>
      </c>
      <c r="K83" s="997">
        <f t="shared" ref="K83:K90" si="25">$L83+$G83</f>
        <v>0</v>
      </c>
      <c r="L83" s="997">
        <v>0</v>
      </c>
      <c r="M83" s="997">
        <f t="shared" ref="M83:N90" si="26">L83-$G83</f>
        <v>0</v>
      </c>
      <c r="N83" s="997">
        <f t="shared" si="26"/>
        <v>0</v>
      </c>
      <c r="Z83" s="1840"/>
      <c r="AA83" s="1890"/>
      <c r="AG83" s="1054"/>
      <c r="AK83" s="1890"/>
    </row>
    <row r="84" spans="1:37" ht="38.25">
      <c r="A84" s="1965" t="s">
        <v>2053</v>
      </c>
      <c r="B84" s="1257" t="str">
        <f>估价对象房地状况!G16</f>
        <v>估价对象周边道路状况、公共交通通达情况、停车便捷程度，综合评价交通便捷度较好</v>
      </c>
      <c r="C84" s="1882"/>
      <c r="D84" s="998">
        <f t="shared" si="22"/>
        <v>0</v>
      </c>
      <c r="E84" s="701"/>
      <c r="F84" s="1670"/>
      <c r="G84" s="996"/>
      <c r="H84" s="999" t="str">
        <f t="shared" si="23"/>
        <v>——</v>
      </c>
      <c r="I84" s="3062">
        <v>0.3</v>
      </c>
      <c r="J84" s="997">
        <f t="shared" si="24"/>
        <v>0</v>
      </c>
      <c r="K84" s="997">
        <f t="shared" si="25"/>
        <v>0</v>
      </c>
      <c r="L84" s="997">
        <v>0</v>
      </c>
      <c r="M84" s="997">
        <f t="shared" si="26"/>
        <v>0</v>
      </c>
      <c r="N84" s="997">
        <f t="shared" si="26"/>
        <v>0</v>
      </c>
      <c r="Z84" s="1840"/>
      <c r="AA84" s="1890"/>
      <c r="AG84" s="1054"/>
      <c r="AK84" s="1890"/>
    </row>
    <row r="85" spans="1:37" ht="36">
      <c r="A85" s="3064" t="s">
        <v>3268</v>
      </c>
      <c r="B85" s="1257">
        <f>估价对象房地状况!G17</f>
        <v>0</v>
      </c>
      <c r="C85" s="1882"/>
      <c r="D85" s="998">
        <f t="shared" si="22"/>
        <v>0</v>
      </c>
      <c r="E85" s="701"/>
      <c r="F85" s="1670"/>
      <c r="G85" s="996"/>
      <c r="H85" s="999" t="str">
        <f t="shared" si="23"/>
        <v>——</v>
      </c>
      <c r="I85" s="3062">
        <v>0.1</v>
      </c>
      <c r="J85" s="997">
        <f t="shared" si="24"/>
        <v>0</v>
      </c>
      <c r="K85" s="997">
        <f t="shared" si="25"/>
        <v>0</v>
      </c>
      <c r="L85" s="997">
        <v>0</v>
      </c>
      <c r="M85" s="997">
        <f t="shared" si="26"/>
        <v>0</v>
      </c>
      <c r="N85" s="997">
        <f t="shared" si="26"/>
        <v>0</v>
      </c>
      <c r="Z85" s="1840"/>
      <c r="AA85" s="1890"/>
      <c r="AG85" s="1054"/>
      <c r="AK85" s="1890"/>
    </row>
    <row r="86" spans="1:37" ht="14.25">
      <c r="A86" s="1965" t="s">
        <v>2067</v>
      </c>
      <c r="B86" s="1257">
        <f>估价对象房地状况!G22</f>
        <v>0</v>
      </c>
      <c r="C86" s="1882"/>
      <c r="D86" s="998">
        <f t="shared" si="22"/>
        <v>0</v>
      </c>
      <c r="E86" s="701"/>
      <c r="F86" s="1670"/>
      <c r="G86" s="996"/>
      <c r="H86" s="999" t="str">
        <f t="shared" si="23"/>
        <v>——</v>
      </c>
      <c r="I86" s="3062">
        <v>0.05</v>
      </c>
      <c r="J86" s="997">
        <f t="shared" si="24"/>
        <v>0</v>
      </c>
      <c r="K86" s="997">
        <f t="shared" si="25"/>
        <v>0</v>
      </c>
      <c r="L86" s="997">
        <v>0</v>
      </c>
      <c r="M86" s="997">
        <f t="shared" si="26"/>
        <v>0</v>
      </c>
      <c r="N86" s="997">
        <f t="shared" si="26"/>
        <v>0</v>
      </c>
      <c r="Z86" s="1840"/>
      <c r="AA86" s="1890"/>
      <c r="AG86" s="1054"/>
      <c r="AK86" s="1890"/>
    </row>
    <row r="87" spans="1:37" ht="25.5">
      <c r="A87" s="1965" t="s">
        <v>2059</v>
      </c>
      <c r="B87" s="1235" t="str">
        <f>估价对象房地状况!G19</f>
        <v>估价对象所在区域公共配套设施齐备情况</v>
      </c>
      <c r="C87" s="1882"/>
      <c r="D87" s="998">
        <f t="shared" si="22"/>
        <v>0</v>
      </c>
      <c r="E87" s="701"/>
      <c r="F87" s="1670"/>
      <c r="G87" s="996"/>
      <c r="H87" s="999" t="str">
        <f t="shared" si="23"/>
        <v>——</v>
      </c>
      <c r="I87" s="3062">
        <v>0.06</v>
      </c>
      <c r="J87" s="997">
        <f t="shared" si="24"/>
        <v>0</v>
      </c>
      <c r="K87" s="997">
        <f t="shared" si="25"/>
        <v>0</v>
      </c>
      <c r="L87" s="997">
        <v>0</v>
      </c>
      <c r="M87" s="997">
        <f t="shared" si="26"/>
        <v>0</v>
      </c>
      <c r="N87" s="997">
        <f t="shared" si="26"/>
        <v>0</v>
      </c>
    </row>
    <row r="88" spans="1:37" ht="25.5">
      <c r="A88" s="1965" t="s">
        <v>2060</v>
      </c>
      <c r="B88" s="1235" t="str">
        <f>估价对象房地状况!G20</f>
        <v>估价对象所在区域基础设施水平</v>
      </c>
      <c r="C88" s="1882"/>
      <c r="D88" s="998">
        <f t="shared" si="22"/>
        <v>0</v>
      </c>
      <c r="E88" s="701"/>
      <c r="F88" s="1670"/>
      <c r="G88" s="996"/>
      <c r="H88" s="999" t="str">
        <f t="shared" si="23"/>
        <v>——</v>
      </c>
      <c r="I88" s="3062">
        <v>0.12</v>
      </c>
      <c r="J88" s="997">
        <f t="shared" si="24"/>
        <v>0</v>
      </c>
      <c r="K88" s="997">
        <f t="shared" si="25"/>
        <v>0</v>
      </c>
      <c r="L88" s="997">
        <v>0</v>
      </c>
      <c r="M88" s="997">
        <f t="shared" si="26"/>
        <v>0</v>
      </c>
      <c r="N88" s="997">
        <f t="shared" si="26"/>
        <v>0</v>
      </c>
    </row>
    <row r="89" spans="1:37" ht="24">
      <c r="A89" s="1965" t="s">
        <v>2057</v>
      </c>
      <c r="B89" s="1970" t="s">
        <v>2071</v>
      </c>
      <c r="C89" s="1882"/>
      <c r="D89" s="998">
        <f t="shared" si="22"/>
        <v>0</v>
      </c>
      <c r="E89" s="701"/>
      <c r="F89" s="1670"/>
      <c r="G89" s="996"/>
      <c r="H89" s="999" t="str">
        <f t="shared" si="23"/>
        <v>——</v>
      </c>
      <c r="I89" s="3062">
        <v>0.06</v>
      </c>
      <c r="J89" s="997">
        <f t="shared" si="24"/>
        <v>0</v>
      </c>
      <c r="K89" s="997">
        <f t="shared" si="25"/>
        <v>0</v>
      </c>
      <c r="L89" s="997">
        <v>0</v>
      </c>
      <c r="M89" s="997">
        <f t="shared" si="26"/>
        <v>0</v>
      </c>
      <c r="N89" s="997">
        <f t="shared" si="26"/>
        <v>0</v>
      </c>
    </row>
    <row r="90" spans="1:37" ht="39" thickBot="1">
      <c r="A90" s="1972" t="s">
        <v>2072</v>
      </c>
      <c r="B90" s="1977" t="str">
        <f>估价对象房地状况!G18</f>
        <v>该园区内是否有污染型企业，绿化情况，卫生条件，整体环境状况判断</v>
      </c>
      <c r="C90" s="1882"/>
      <c r="D90" s="998">
        <f t="shared" si="22"/>
        <v>0</v>
      </c>
      <c r="E90" s="702"/>
      <c r="F90" s="1670"/>
      <c r="G90" s="996"/>
      <c r="H90" s="999" t="str">
        <f t="shared" si="23"/>
        <v>——</v>
      </c>
      <c r="I90" s="3063">
        <v>0.05</v>
      </c>
      <c r="J90" s="997">
        <f t="shared" si="24"/>
        <v>0</v>
      </c>
      <c r="K90" s="997">
        <f t="shared" si="25"/>
        <v>0</v>
      </c>
      <c r="L90" s="997">
        <v>0</v>
      </c>
      <c r="M90" s="997">
        <f t="shared" si="26"/>
        <v>0</v>
      </c>
      <c r="N90" s="997">
        <f t="shared" si="26"/>
        <v>0</v>
      </c>
    </row>
    <row r="91" spans="1:37" ht="15">
      <c r="A91" s="3072" t="s">
        <v>2610</v>
      </c>
      <c r="B91" s="3073">
        <f>1+E93</f>
        <v>1</v>
      </c>
      <c r="C91" s="3066"/>
      <c r="D91" s="3067"/>
      <c r="E91" s="1670"/>
      <c r="F91" s="1670"/>
      <c r="G91" s="3068"/>
      <c r="H91" s="3069"/>
      <c r="I91" s="3070"/>
      <c r="J91" s="3071"/>
      <c r="K91" s="3071"/>
      <c r="L91" s="3071"/>
      <c r="M91" s="3071"/>
      <c r="N91" s="3071"/>
    </row>
    <row r="92" spans="1:37" ht="24.75">
      <c r="A92" s="3074" t="s">
        <v>3269</v>
      </c>
      <c r="B92" s="2304"/>
      <c r="C92" s="2304" t="s">
        <v>3278</v>
      </c>
      <c r="D92" s="2304" t="s">
        <v>3279</v>
      </c>
      <c r="E92" s="3046" t="s">
        <v>3280</v>
      </c>
      <c r="F92" s="3076" t="s">
        <v>3281</v>
      </c>
      <c r="G92" s="2304" t="s">
        <v>3282</v>
      </c>
      <c r="H92" s="3083" t="s">
        <v>3285</v>
      </c>
      <c r="I92" s="2304" t="s">
        <v>3286</v>
      </c>
      <c r="J92" s="2145" t="s">
        <v>3287</v>
      </c>
      <c r="K92" s="2145" t="s">
        <v>3288</v>
      </c>
      <c r="L92" s="2145" t="s">
        <v>3289</v>
      </c>
      <c r="M92" s="2145" t="s">
        <v>3290</v>
      </c>
      <c r="N92" s="2145" t="s">
        <v>3291</v>
      </c>
    </row>
    <row r="93" spans="1:37" ht="24">
      <c r="A93" s="3064" t="s">
        <v>3270</v>
      </c>
      <c r="B93" s="1216"/>
      <c r="C93" s="1882"/>
      <c r="D93" s="2304">
        <f>SUMIF($J$92:$N$92,C93,J93:N93)</f>
        <v>0</v>
      </c>
      <c r="E93" s="3077">
        <f>ROUND(SUM(D93:D101),4)</f>
        <v>0</v>
      </c>
      <c r="F93" s="1670" t="str">
        <f>IF(E2="公共服务",SUMIF(L1:L12,G2,N1:N12),"——")</f>
        <v>——</v>
      </c>
      <c r="G93" s="3068"/>
      <c r="H93" s="3113" t="str">
        <f>IFERROR(ROUNDDOWN($F$93*I93/2,4),"——")</f>
        <v>——</v>
      </c>
      <c r="I93" s="3062">
        <v>0.25</v>
      </c>
      <c r="J93" s="1907">
        <f t="shared" ref="J93:J101" si="27">K93+$G93</f>
        <v>0</v>
      </c>
      <c r="K93" s="1907">
        <f t="shared" ref="K93:K101" si="28">$L93+$G93</f>
        <v>0</v>
      </c>
      <c r="L93" s="1907">
        <v>0</v>
      </c>
      <c r="M93" s="1907">
        <f t="shared" ref="M93:N101" si="29">L93-$G93</f>
        <v>0</v>
      </c>
      <c r="N93" s="1907">
        <f t="shared" si="29"/>
        <v>0</v>
      </c>
    </row>
    <row r="94" spans="1:37" ht="38.25">
      <c r="A94" s="3074" t="s">
        <v>3271</v>
      </c>
      <c r="B94" s="3065" t="str">
        <f>估价对象房地状况!C18</f>
        <v>估价对象周边道路状况、公共交通通达情况、停车便捷程度，综合评价交通便捷度较好</v>
      </c>
      <c r="C94" s="1882"/>
      <c r="D94" s="2304">
        <f t="shared" ref="D94:D101" si="30">SUMIF($J$60:$N$60,C94,J94:N94)</f>
        <v>0</v>
      </c>
      <c r="E94" s="3078"/>
      <c r="F94" s="1670"/>
      <c r="G94" s="3068"/>
      <c r="H94" s="3113" t="str">
        <f>IFERROR(ROUNDDOWN($F$93*I94/2,4),"——")</f>
        <v>——</v>
      </c>
      <c r="I94" s="3062">
        <v>0.26</v>
      </c>
      <c r="J94" s="1907">
        <f t="shared" si="27"/>
        <v>0</v>
      </c>
      <c r="K94" s="1907">
        <f t="shared" si="28"/>
        <v>0</v>
      </c>
      <c r="L94" s="1907">
        <v>0</v>
      </c>
      <c r="M94" s="1907">
        <f t="shared" si="29"/>
        <v>0</v>
      </c>
      <c r="N94" s="1907">
        <f t="shared" si="29"/>
        <v>0</v>
      </c>
    </row>
    <row r="95" spans="1:37" ht="36">
      <c r="A95" s="3064" t="s">
        <v>3267</v>
      </c>
      <c r="B95" s="3065">
        <f>估价对象房地状况!C19</f>
        <v>0</v>
      </c>
      <c r="C95" s="1882"/>
      <c r="D95" s="2304">
        <f t="shared" si="30"/>
        <v>0</v>
      </c>
      <c r="E95" s="3078"/>
      <c r="F95" s="1670"/>
      <c r="G95" s="3068"/>
      <c r="H95" s="3113" t="str">
        <f t="shared" ref="H95:H101" si="31">IFERROR(ROUNDDOWN($F$93*I95/2,4),"——")</f>
        <v>——</v>
      </c>
      <c r="I95" s="3062">
        <v>0.11</v>
      </c>
      <c r="J95" s="1907">
        <f t="shared" si="27"/>
        <v>0</v>
      </c>
      <c r="K95" s="1907">
        <f t="shared" si="28"/>
        <v>0</v>
      </c>
      <c r="L95" s="1907">
        <v>0</v>
      </c>
      <c r="M95" s="1907">
        <f t="shared" si="29"/>
        <v>0</v>
      </c>
      <c r="N95" s="1907">
        <f t="shared" si="29"/>
        <v>0</v>
      </c>
    </row>
    <row r="96" spans="1:37" ht="36.75">
      <c r="A96" s="3074" t="s">
        <v>3272</v>
      </c>
      <c r="B96" s="3080" t="s">
        <v>3283</v>
      </c>
      <c r="C96" s="1882"/>
      <c r="D96" s="2304">
        <f t="shared" si="30"/>
        <v>0</v>
      </c>
      <c r="E96" s="3078"/>
      <c r="F96" s="1670"/>
      <c r="G96" s="3068"/>
      <c r="H96" s="3113" t="str">
        <f t="shared" si="31"/>
        <v>——</v>
      </c>
      <c r="I96" s="3062">
        <v>0.05</v>
      </c>
      <c r="J96" s="1907">
        <f t="shared" si="27"/>
        <v>0</v>
      </c>
      <c r="K96" s="1907">
        <f t="shared" si="28"/>
        <v>0</v>
      </c>
      <c r="L96" s="1907">
        <v>0</v>
      </c>
      <c r="M96" s="1907">
        <f t="shared" si="29"/>
        <v>0</v>
      </c>
      <c r="N96" s="1907">
        <f t="shared" si="29"/>
        <v>0</v>
      </c>
    </row>
    <row r="97" spans="1:14" ht="24">
      <c r="A97" s="3074" t="s">
        <v>3273</v>
      </c>
      <c r="B97" s="3065" t="str">
        <f>估价对象房地状况!C24</f>
        <v>次干道-兴海路</v>
      </c>
      <c r="C97" s="1882"/>
      <c r="D97" s="2304">
        <f t="shared" si="30"/>
        <v>0</v>
      </c>
      <c r="E97" s="3078"/>
      <c r="F97" s="1670"/>
      <c r="G97" s="3068"/>
      <c r="H97" s="3113" t="str">
        <f t="shared" si="31"/>
        <v>——</v>
      </c>
      <c r="I97" s="3062">
        <v>0.05</v>
      </c>
      <c r="J97" s="1907">
        <f t="shared" si="27"/>
        <v>0</v>
      </c>
      <c r="K97" s="1907">
        <f t="shared" si="28"/>
        <v>0</v>
      </c>
      <c r="L97" s="1907">
        <v>0</v>
      </c>
      <c r="M97" s="1907">
        <f t="shared" si="29"/>
        <v>0</v>
      </c>
      <c r="N97" s="1907">
        <f t="shared" si="29"/>
        <v>0</v>
      </c>
    </row>
    <row r="98" spans="1:14" ht="24">
      <c r="A98" s="3074" t="s">
        <v>3274</v>
      </c>
      <c r="B98" s="3081" t="s">
        <v>3284</v>
      </c>
      <c r="C98" s="1882"/>
      <c r="D98" s="2304">
        <f t="shared" si="30"/>
        <v>0</v>
      </c>
      <c r="E98" s="3078"/>
      <c r="F98" s="1670"/>
      <c r="G98" s="3068"/>
      <c r="H98" s="3113" t="str">
        <f t="shared" si="31"/>
        <v>——</v>
      </c>
      <c r="I98" s="3062">
        <v>0.06</v>
      </c>
      <c r="J98" s="1907">
        <f t="shared" si="27"/>
        <v>0</v>
      </c>
      <c r="K98" s="1907">
        <f t="shared" si="28"/>
        <v>0</v>
      </c>
      <c r="L98" s="1907">
        <v>0</v>
      </c>
      <c r="M98" s="1907">
        <f t="shared" si="29"/>
        <v>0</v>
      </c>
      <c r="N98" s="1907">
        <f t="shared" si="29"/>
        <v>0</v>
      </c>
    </row>
    <row r="99" spans="1:14" ht="25.5">
      <c r="A99" s="3074" t="s">
        <v>3275</v>
      </c>
      <c r="B99" s="3065" t="str">
        <f>估价对象房地状况!C21</f>
        <v>估价对象所在区域公共配套设施齐备情况</v>
      </c>
      <c r="C99" s="1882"/>
      <c r="D99" s="2304">
        <f t="shared" si="30"/>
        <v>0</v>
      </c>
      <c r="E99" s="3078"/>
      <c r="F99" s="1670"/>
      <c r="G99" s="3068"/>
      <c r="H99" s="3113" t="str">
        <f t="shared" si="31"/>
        <v>——</v>
      </c>
      <c r="I99" s="3062">
        <v>0.06</v>
      </c>
      <c r="J99" s="1907">
        <f t="shared" si="27"/>
        <v>0</v>
      </c>
      <c r="K99" s="1907">
        <f t="shared" si="28"/>
        <v>0</v>
      </c>
      <c r="L99" s="1907">
        <v>0</v>
      </c>
      <c r="M99" s="1907">
        <f t="shared" si="29"/>
        <v>0</v>
      </c>
      <c r="N99" s="1907">
        <f t="shared" si="29"/>
        <v>0</v>
      </c>
    </row>
    <row r="100" spans="1:14" ht="25.5">
      <c r="A100" s="3074" t="s">
        <v>3276</v>
      </c>
      <c r="B100" s="3065" t="str">
        <f>估价对象房地状况!C22</f>
        <v>估价对象所在区域基础设施水平</v>
      </c>
      <c r="C100" s="1882"/>
      <c r="D100" s="2304">
        <f t="shared" si="30"/>
        <v>0</v>
      </c>
      <c r="E100" s="3078"/>
      <c r="F100" s="1670"/>
      <c r="G100" s="3068"/>
      <c r="H100" s="3113" t="str">
        <f t="shared" si="31"/>
        <v>——</v>
      </c>
      <c r="I100" s="3062">
        <v>0.09</v>
      </c>
      <c r="J100" s="1907">
        <f t="shared" si="27"/>
        <v>0</v>
      </c>
      <c r="K100" s="1907">
        <f t="shared" si="28"/>
        <v>0</v>
      </c>
      <c r="L100" s="1907">
        <v>0</v>
      </c>
      <c r="M100" s="1907">
        <f t="shared" si="29"/>
        <v>0</v>
      </c>
      <c r="N100" s="1907">
        <f t="shared" si="29"/>
        <v>0</v>
      </c>
    </row>
    <row r="101" spans="1:14" ht="26.25" thickBot="1">
      <c r="A101" s="3075" t="s">
        <v>3277</v>
      </c>
      <c r="B101" s="3082" t="str">
        <f>估价对象房地状况!C20</f>
        <v>区域自然环境：；人文环境；综合评价环境状况一般</v>
      </c>
      <c r="C101" s="1882"/>
      <c r="D101" s="2304">
        <f t="shared" si="30"/>
        <v>0</v>
      </c>
      <c r="E101" s="3079"/>
      <c r="F101" s="1670"/>
      <c r="G101" s="3068"/>
      <c r="H101" s="3113" t="str">
        <f t="shared" si="31"/>
        <v>——</v>
      </c>
      <c r="I101" s="3063">
        <v>7.0000000000000007E-2</v>
      </c>
      <c r="J101" s="1907">
        <f t="shared" si="27"/>
        <v>0</v>
      </c>
      <c r="K101" s="1907">
        <f t="shared" si="28"/>
        <v>0</v>
      </c>
      <c r="L101" s="1907">
        <v>0</v>
      </c>
      <c r="M101" s="1907">
        <f t="shared" si="29"/>
        <v>0</v>
      </c>
      <c r="N101" s="1907">
        <f t="shared" si="29"/>
        <v>0</v>
      </c>
    </row>
    <row r="103" spans="1:14">
      <c r="A103" s="3493" t="s">
        <v>3292</v>
      </c>
      <c r="B103" s="3493"/>
      <c r="C103" s="3493"/>
      <c r="D103" s="3493"/>
      <c r="E103" s="3493"/>
      <c r="F103" s="3493"/>
      <c r="G103" s="3493"/>
      <c r="H103" s="3493"/>
      <c r="I103" s="3493"/>
      <c r="J103" s="3493"/>
      <c r="K103" s="1662"/>
      <c r="L103" s="1662"/>
      <c r="M103" s="1662"/>
      <c r="N103" s="1662"/>
    </row>
    <row r="104" spans="1:14">
      <c r="A104" s="3494" t="s">
        <v>3293</v>
      </c>
      <c r="B104" s="3494" t="s">
        <v>3294</v>
      </c>
      <c r="C104" s="3084" t="s">
        <v>3295</v>
      </c>
      <c r="D104" s="3085"/>
      <c r="E104" s="3085"/>
      <c r="F104" s="3085"/>
      <c r="G104" s="3085"/>
      <c r="H104" s="3085"/>
      <c r="I104" s="3085"/>
      <c r="J104" s="3086"/>
      <c r="K104" s="3087"/>
      <c r="L104" s="3087"/>
      <c r="M104" s="3087"/>
      <c r="N104" s="3087"/>
    </row>
    <row r="105" spans="1:14">
      <c r="A105" s="3494"/>
      <c r="B105" s="3494"/>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480"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1"/>
      <c r="B111" s="3088" t="s">
        <v>3266</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82"/>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83" t="s">
        <v>3309</v>
      </c>
      <c r="B113" s="3483"/>
      <c r="C113" s="3483"/>
      <c r="D113" s="3483"/>
      <c r="E113" s="3483"/>
      <c r="F113" s="3483"/>
      <c r="G113" s="3483"/>
      <c r="H113" s="3483"/>
      <c r="I113" s="3483"/>
      <c r="J113" s="3483"/>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3310</v>
      </c>
      <c r="B116" s="3108">
        <f>G3</f>
        <v>2</v>
      </c>
      <c r="C116" s="3093" t="s">
        <v>3311</v>
      </c>
      <c r="D116" s="3094">
        <f>SUMPRODUCT((A118:A122=F116)*(B117:M117=H116)*B118:M122)</f>
        <v>0</v>
      </c>
      <c r="E116" s="160" t="s">
        <v>3312</v>
      </c>
      <c r="F116" s="3095">
        <f>E2</f>
        <v>0</v>
      </c>
      <c r="G116" s="160" t="s">
        <v>3313</v>
      </c>
      <c r="H116" s="3095">
        <f>G2</f>
        <v>0</v>
      </c>
      <c r="I116" s="160"/>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3327</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3328</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5" thickBot="1">
      <c r="A121" s="3104" t="s">
        <v>3329</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2610</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8" t="s">
        <v>2605</v>
      </c>
      <c r="B20" s="3503" t="s">
        <v>2626</v>
      </c>
      <c r="C20" s="2836" t="s">
        <v>2437</v>
      </c>
      <c r="D20" s="2837"/>
      <c r="E20" s="2838">
        <v>1</v>
      </c>
      <c r="F20" s="2839" t="s">
        <v>2438</v>
      </c>
      <c r="G20" s="2839"/>
    </row>
    <row r="21" spans="1:13" ht="19.5" customHeight="1">
      <c r="A21" s="3509"/>
      <c r="B21" s="3502"/>
      <c r="C21" s="2840" t="s">
        <v>2439</v>
      </c>
      <c r="D21" s="2841"/>
      <c r="E21" s="2842">
        <v>1</v>
      </c>
      <c r="F21" s="2839" t="s">
        <v>2440</v>
      </c>
      <c r="G21" s="2839"/>
    </row>
    <row r="22" spans="1:13" ht="19.5" customHeight="1">
      <c r="A22" s="3509"/>
      <c r="B22" s="3502"/>
      <c r="C22" s="2840" t="s">
        <v>2441</v>
      </c>
      <c r="D22" s="2841"/>
      <c r="E22" s="2842">
        <v>0.9</v>
      </c>
      <c r="F22" s="2839" t="s">
        <v>2442</v>
      </c>
      <c r="G22" s="2839"/>
    </row>
    <row r="23" spans="1:13" ht="19.5" customHeight="1">
      <c r="A23" s="3509"/>
      <c r="B23" s="3502"/>
      <c r="C23" s="2840" t="s">
        <v>2443</v>
      </c>
      <c r="D23" s="2841"/>
      <c r="E23" s="2842">
        <v>0.9</v>
      </c>
      <c r="F23" s="2839" t="s">
        <v>2444</v>
      </c>
      <c r="G23" s="2839"/>
    </row>
    <row r="24" spans="1:13" ht="19.5" customHeight="1">
      <c r="A24" s="3509"/>
      <c r="B24" s="3502"/>
      <c r="C24" s="2840" t="s">
        <v>2445</v>
      </c>
      <c r="D24" s="2841"/>
      <c r="E24" s="2842">
        <v>0.8</v>
      </c>
      <c r="F24" s="2839" t="s">
        <v>2446</v>
      </c>
      <c r="G24" s="2839"/>
    </row>
    <row r="25" spans="1:13" ht="19.5" customHeight="1" thickBot="1">
      <c r="A25" s="3510"/>
      <c r="B25" s="3504"/>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5" t="s">
        <v>2629</v>
      </c>
      <c r="B27" s="3503" t="s">
        <v>2610</v>
      </c>
      <c r="C27" s="2836" t="s">
        <v>2450</v>
      </c>
      <c r="D27" s="2837"/>
      <c r="E27" s="2838">
        <v>1</v>
      </c>
      <c r="F27" s="2839" t="s">
        <v>2451</v>
      </c>
      <c r="G27" s="2839"/>
    </row>
    <row r="28" spans="1:13" ht="19.5" customHeight="1">
      <c r="A28" s="3506"/>
      <c r="B28" s="3502"/>
      <c r="C28" s="2840" t="s">
        <v>2452</v>
      </c>
      <c r="D28" s="2841"/>
      <c r="E28" s="2842">
        <v>1</v>
      </c>
      <c r="F28" s="2839" t="s">
        <v>2453</v>
      </c>
      <c r="G28" s="2839"/>
    </row>
    <row r="29" spans="1:13" ht="19.5" customHeight="1">
      <c r="A29" s="3506"/>
      <c r="B29" s="3502"/>
      <c r="C29" s="2840" t="s">
        <v>2454</v>
      </c>
      <c r="D29" s="2841"/>
      <c r="E29" s="2842">
        <v>0.8</v>
      </c>
      <c r="F29" s="2839" t="s">
        <v>2455</v>
      </c>
      <c r="G29" s="2839"/>
    </row>
    <row r="30" spans="1:13" ht="19.5" customHeight="1">
      <c r="A30" s="3506"/>
      <c r="B30" s="3502"/>
      <c r="C30" s="2840" t="s">
        <v>2456</v>
      </c>
      <c r="D30" s="2841"/>
      <c r="E30" s="2842">
        <v>0.8</v>
      </c>
      <c r="F30" s="2839" t="s">
        <v>2457</v>
      </c>
      <c r="G30" s="2839"/>
    </row>
    <row r="31" spans="1:13" ht="19.5" customHeight="1">
      <c r="A31" s="3506"/>
      <c r="B31" s="3502"/>
      <c r="C31" s="2840" t="s">
        <v>2458</v>
      </c>
      <c r="D31" s="2841"/>
      <c r="E31" s="2842">
        <v>0.8</v>
      </c>
      <c r="F31" s="2839" t="s">
        <v>2459</v>
      </c>
      <c r="G31" s="2839"/>
    </row>
    <row r="32" spans="1:13" ht="19.5" customHeight="1">
      <c r="A32" s="3506"/>
      <c r="B32" s="3502"/>
      <c r="C32" s="2840" t="s">
        <v>2460</v>
      </c>
      <c r="D32" s="2841"/>
      <c r="E32" s="2842">
        <v>0.7</v>
      </c>
      <c r="F32" s="2839" t="s">
        <v>2461</v>
      </c>
      <c r="G32" s="2839"/>
    </row>
    <row r="33" spans="1:7" ht="19.5" customHeight="1">
      <c r="A33" s="3506"/>
      <c r="B33" s="3502"/>
      <c r="C33" s="2840" t="s">
        <v>2462</v>
      </c>
      <c r="D33" s="2841"/>
      <c r="E33" s="2842">
        <v>0.8</v>
      </c>
      <c r="F33" s="2839" t="s">
        <v>2463</v>
      </c>
      <c r="G33" s="2839"/>
    </row>
    <row r="34" spans="1:7" ht="19.5" customHeight="1">
      <c r="A34" s="3506"/>
      <c r="B34" s="3502"/>
      <c r="C34" s="2840" t="s">
        <v>2464</v>
      </c>
      <c r="D34" s="2841"/>
      <c r="E34" s="2842">
        <v>0.6</v>
      </c>
      <c r="F34" s="2839" t="s">
        <v>2465</v>
      </c>
      <c r="G34" s="2839"/>
    </row>
    <row r="35" spans="1:7" ht="19.5" customHeight="1">
      <c r="A35" s="3506"/>
      <c r="B35" s="3502"/>
      <c r="C35" s="2840" t="s">
        <v>2466</v>
      </c>
      <c r="D35" s="2841"/>
      <c r="E35" s="2842">
        <v>0.2</v>
      </c>
      <c r="F35" s="2839" t="s">
        <v>2467</v>
      </c>
      <c r="G35" s="2839"/>
    </row>
    <row r="36" spans="1:7" ht="19.5" customHeight="1">
      <c r="A36" s="3506"/>
      <c r="B36" s="3502"/>
      <c r="C36" s="2840" t="s">
        <v>2468</v>
      </c>
      <c r="D36" s="2841"/>
      <c r="E36" s="2842">
        <v>0.2</v>
      </c>
      <c r="F36" s="2839" t="s">
        <v>2469</v>
      </c>
      <c r="G36" s="2839"/>
    </row>
    <row r="37" spans="1:7" ht="19.5" customHeight="1">
      <c r="A37" s="3506"/>
      <c r="B37" s="3500" t="s">
        <v>2630</v>
      </c>
      <c r="C37" s="2840" t="s">
        <v>2470</v>
      </c>
      <c r="D37" s="2841"/>
      <c r="E37" s="2842">
        <v>0.6</v>
      </c>
      <c r="F37" s="2839" t="s">
        <v>2471</v>
      </c>
      <c r="G37" s="2839"/>
    </row>
    <row r="38" spans="1:7" ht="19.5" customHeight="1">
      <c r="A38" s="3506"/>
      <c r="B38" s="3502"/>
      <c r="C38" s="2840" t="s">
        <v>2472</v>
      </c>
      <c r="D38" s="2841"/>
      <c r="E38" s="2842">
        <v>0.6</v>
      </c>
      <c r="F38" s="2839" t="s">
        <v>2473</v>
      </c>
      <c r="G38" s="2839"/>
    </row>
    <row r="39" spans="1:7" ht="19.5" customHeight="1" thickBot="1">
      <c r="A39" s="3507"/>
      <c r="B39" s="3504"/>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8" t="s">
        <v>2608</v>
      </c>
      <c r="B41" s="3503" t="s">
        <v>2632</v>
      </c>
      <c r="C41" s="2836" t="s">
        <v>2477</v>
      </c>
      <c r="D41" s="2837"/>
      <c r="E41" s="2838">
        <v>1</v>
      </c>
      <c r="F41" s="2839" t="s">
        <v>2478</v>
      </c>
      <c r="G41" s="2839"/>
    </row>
    <row r="42" spans="1:7" ht="19.5" customHeight="1">
      <c r="A42" s="3509"/>
      <c r="B42" s="3502"/>
      <c r="C42" s="2840" t="s">
        <v>2479</v>
      </c>
      <c r="D42" s="2841"/>
      <c r="E42" s="2842">
        <v>1</v>
      </c>
      <c r="F42" s="2839" t="s">
        <v>2480</v>
      </c>
      <c r="G42" s="2839"/>
    </row>
    <row r="43" spans="1:7" ht="19.5" customHeight="1">
      <c r="A43" s="3509"/>
      <c r="B43" s="3501"/>
      <c r="C43" s="2840" t="s">
        <v>2481</v>
      </c>
      <c r="D43" s="2841"/>
      <c r="E43" s="2842">
        <v>1.5</v>
      </c>
      <c r="F43" s="2839" t="s">
        <v>2482</v>
      </c>
      <c r="G43" s="2839"/>
    </row>
    <row r="44" spans="1:7" ht="19.5" customHeight="1">
      <c r="A44" s="3509"/>
      <c r="B44" s="2851" t="s">
        <v>2633</v>
      </c>
      <c r="C44" s="2840" t="s">
        <v>2634</v>
      </c>
      <c r="D44" s="2841"/>
      <c r="E44" s="2842">
        <v>2</v>
      </c>
      <c r="F44" s="2839" t="s">
        <v>2483</v>
      </c>
      <c r="G44" s="2839"/>
    </row>
    <row r="45" spans="1:7" ht="19.5" customHeight="1">
      <c r="A45" s="3509"/>
      <c r="B45" s="3500" t="s">
        <v>2635</v>
      </c>
      <c r="C45" s="2840" t="s">
        <v>2484</v>
      </c>
      <c r="D45" s="2841"/>
      <c r="E45" s="2842">
        <v>1</v>
      </c>
      <c r="F45" s="2839" t="s">
        <v>2485</v>
      </c>
      <c r="G45" s="2839"/>
    </row>
    <row r="46" spans="1:7" ht="19.5" customHeight="1">
      <c r="A46" s="3509"/>
      <c r="B46" s="3502"/>
      <c r="C46" s="2840" t="s">
        <v>2486</v>
      </c>
      <c r="D46" s="2841"/>
      <c r="E46" s="2842">
        <v>1</v>
      </c>
      <c r="F46" s="2839" t="s">
        <v>2487</v>
      </c>
      <c r="G46" s="2839"/>
    </row>
    <row r="47" spans="1:7" ht="19.5" customHeight="1">
      <c r="A47" s="3509"/>
      <c r="B47" s="3502"/>
      <c r="C47" s="2840" t="s">
        <v>2488</v>
      </c>
      <c r="D47" s="2841"/>
      <c r="E47" s="2842">
        <v>1</v>
      </c>
      <c r="F47" s="2839" t="s">
        <v>2489</v>
      </c>
      <c r="G47" s="2839"/>
    </row>
    <row r="48" spans="1:7" ht="19.5" customHeight="1">
      <c r="A48" s="3509"/>
      <c r="B48" s="3502"/>
      <c r="C48" s="2840" t="s">
        <v>2490</v>
      </c>
      <c r="D48" s="2841"/>
      <c r="E48" s="2842">
        <v>1</v>
      </c>
      <c r="F48" s="2839" t="s">
        <v>2491</v>
      </c>
      <c r="G48" s="2839"/>
    </row>
    <row r="49" spans="1:7" ht="19.5" customHeight="1">
      <c r="A49" s="3509"/>
      <c r="B49" s="3502"/>
      <c r="C49" s="2840" t="s">
        <v>2492</v>
      </c>
      <c r="D49" s="2841"/>
      <c r="E49" s="2842">
        <v>1</v>
      </c>
      <c r="F49" s="2839" t="s">
        <v>2493</v>
      </c>
      <c r="G49" s="2839"/>
    </row>
    <row r="50" spans="1:7" ht="19.5" customHeight="1">
      <c r="A50" s="3509"/>
      <c r="B50" s="3502"/>
      <c r="C50" s="2840" t="s">
        <v>2494</v>
      </c>
      <c r="D50" s="2841"/>
      <c r="E50" s="2842">
        <v>1</v>
      </c>
      <c r="F50" s="2839" t="s">
        <v>2495</v>
      </c>
      <c r="G50" s="2839"/>
    </row>
    <row r="51" spans="1:7" ht="19.5" customHeight="1" thickBot="1">
      <c r="A51" s="3510"/>
      <c r="B51" s="3504"/>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0" t="s">
        <v>2649</v>
      </c>
      <c r="C73" s="2825" t="s">
        <v>2650</v>
      </c>
      <c r="D73" s="2825" t="s">
        <v>2651</v>
      </c>
      <c r="E73" s="2851">
        <v>0.2</v>
      </c>
      <c r="F73" s="2851">
        <v>25</v>
      </c>
    </row>
    <row r="74" spans="1:7" ht="24">
      <c r="A74" s="2851">
        <v>2</v>
      </c>
      <c r="B74" s="3502"/>
      <c r="C74" s="2825" t="s">
        <v>2652</v>
      </c>
      <c r="D74" s="2825" t="s">
        <v>2653</v>
      </c>
      <c r="E74" s="2851">
        <v>0.2</v>
      </c>
      <c r="F74" s="2851">
        <v>25</v>
      </c>
    </row>
    <row r="75" spans="1:7" ht="24">
      <c r="A75" s="2851">
        <v>3</v>
      </c>
      <c r="B75" s="3502"/>
      <c r="C75" s="2825" t="s">
        <v>2654</v>
      </c>
      <c r="D75" s="2825" t="s">
        <v>2655</v>
      </c>
      <c r="E75" s="2851">
        <v>0.2</v>
      </c>
      <c r="F75" s="2851">
        <v>25</v>
      </c>
    </row>
    <row r="76" spans="1:7" ht="13.5">
      <c r="A76" s="2851">
        <v>4</v>
      </c>
      <c r="B76" s="3502"/>
      <c r="C76" s="2825" t="s">
        <v>2656</v>
      </c>
      <c r="D76" s="2825" t="s">
        <v>2657</v>
      </c>
      <c r="E76" s="2851">
        <v>0.15</v>
      </c>
      <c r="F76" s="2851">
        <v>20</v>
      </c>
    </row>
    <row r="77" spans="1:7" ht="24">
      <c r="A77" s="2851">
        <v>5</v>
      </c>
      <c r="B77" s="3502"/>
      <c r="C77" s="2825" t="s">
        <v>2658</v>
      </c>
      <c r="D77" s="2825" t="s">
        <v>2659</v>
      </c>
      <c r="E77" s="2851">
        <v>0.15</v>
      </c>
      <c r="F77" s="2851">
        <v>20</v>
      </c>
    </row>
    <row r="78" spans="1:7" ht="24">
      <c r="A78" s="2851">
        <v>6</v>
      </c>
      <c r="B78" s="3502"/>
      <c r="C78" s="2825" t="s">
        <v>2660</v>
      </c>
      <c r="D78" s="2825" t="s">
        <v>2661</v>
      </c>
      <c r="E78" s="2851">
        <v>0.15</v>
      </c>
      <c r="F78" s="2851">
        <v>20</v>
      </c>
    </row>
    <row r="79" spans="1:7" ht="24">
      <c r="A79" s="2851">
        <v>7</v>
      </c>
      <c r="B79" s="3502"/>
      <c r="C79" s="2825" t="s">
        <v>2662</v>
      </c>
      <c r="D79" s="2825" t="s">
        <v>2663</v>
      </c>
      <c r="E79" s="2851">
        <v>0.15</v>
      </c>
      <c r="F79" s="2851">
        <v>20</v>
      </c>
    </row>
    <row r="80" spans="1:7" ht="24">
      <c r="A80" s="2851">
        <v>8</v>
      </c>
      <c r="B80" s="3502"/>
      <c r="C80" s="2825" t="s">
        <v>2664</v>
      </c>
      <c r="D80" s="2825" t="s">
        <v>2665</v>
      </c>
      <c r="E80" s="2851">
        <v>0.1</v>
      </c>
      <c r="F80" s="2851">
        <v>15</v>
      </c>
    </row>
    <row r="81" spans="1:6" ht="24">
      <c r="A81" s="2851">
        <v>9</v>
      </c>
      <c r="B81" s="3502"/>
      <c r="C81" s="2825" t="s">
        <v>2666</v>
      </c>
      <c r="D81" s="2825" t="s">
        <v>2667</v>
      </c>
      <c r="E81" s="2851">
        <v>0.1</v>
      </c>
      <c r="F81" s="2851">
        <v>15</v>
      </c>
    </row>
    <row r="82" spans="1:6" ht="24">
      <c r="A82" s="2851">
        <v>10</v>
      </c>
      <c r="B82" s="3502"/>
      <c r="C82" s="2825" t="s">
        <v>2668</v>
      </c>
      <c r="D82" s="2825" t="s">
        <v>2669</v>
      </c>
      <c r="E82" s="2851">
        <v>0.1</v>
      </c>
      <c r="F82" s="2851">
        <v>15</v>
      </c>
    </row>
    <row r="83" spans="1:6" ht="24">
      <c r="A83" s="2851">
        <v>11</v>
      </c>
      <c r="B83" s="3502"/>
      <c r="C83" s="2825" t="s">
        <v>2670</v>
      </c>
      <c r="D83" s="2825" t="s">
        <v>2671</v>
      </c>
      <c r="E83" s="2851">
        <v>0.1</v>
      </c>
      <c r="F83" s="2851">
        <v>15</v>
      </c>
    </row>
    <row r="84" spans="1:6" ht="24">
      <c r="A84" s="2851">
        <v>12</v>
      </c>
      <c r="B84" s="3502"/>
      <c r="C84" s="2825" t="s">
        <v>2672</v>
      </c>
      <c r="D84" s="2825" t="s">
        <v>2673</v>
      </c>
      <c r="E84" s="2851">
        <v>0.1</v>
      </c>
      <c r="F84" s="2851">
        <v>15</v>
      </c>
    </row>
    <row r="85" spans="1:6" ht="13.5">
      <c r="A85" s="2851">
        <v>13</v>
      </c>
      <c r="B85" s="3502"/>
      <c r="C85" s="2825" t="s">
        <v>2674</v>
      </c>
      <c r="D85" s="2825" t="s">
        <v>2675</v>
      </c>
      <c r="E85" s="2851">
        <v>0.1</v>
      </c>
      <c r="F85" s="2851">
        <v>15</v>
      </c>
    </row>
    <row r="86" spans="1:6" ht="13.5">
      <c r="A86" s="2851">
        <v>14</v>
      </c>
      <c r="B86" s="3502"/>
      <c r="C86" s="2825" t="s">
        <v>2676</v>
      </c>
      <c r="D86" s="2825" t="s">
        <v>2677</v>
      </c>
      <c r="E86" s="2851">
        <v>0.1</v>
      </c>
      <c r="F86" s="2851">
        <v>15</v>
      </c>
    </row>
    <row r="87" spans="1:6" ht="13.5">
      <c r="A87" s="2851">
        <v>15</v>
      </c>
      <c r="B87" s="3502"/>
      <c r="C87" s="2825" t="s">
        <v>2678</v>
      </c>
      <c r="D87" s="2825" t="s">
        <v>2679</v>
      </c>
      <c r="E87" s="2851">
        <v>0.1</v>
      </c>
      <c r="F87" s="2851">
        <v>15</v>
      </c>
    </row>
    <row r="88" spans="1:6" ht="24">
      <c r="A88" s="2851">
        <v>16</v>
      </c>
      <c r="B88" s="3502"/>
      <c r="C88" s="2825" t="s">
        <v>2680</v>
      </c>
      <c r="D88" s="2825" t="s">
        <v>2681</v>
      </c>
      <c r="E88" s="2851">
        <v>0.1</v>
      </c>
      <c r="F88" s="2851">
        <v>15</v>
      </c>
    </row>
    <row r="89" spans="1:6" ht="24">
      <c r="A89" s="2851">
        <v>17</v>
      </c>
      <c r="B89" s="3501"/>
      <c r="C89" s="2825" t="s">
        <v>2682</v>
      </c>
      <c r="D89" s="2825" t="s">
        <v>2683</v>
      </c>
      <c r="E89" s="2851">
        <v>0.1</v>
      </c>
      <c r="F89" s="2851">
        <v>15</v>
      </c>
    </row>
    <row r="90" spans="1:6" ht="13.5">
      <c r="A90" s="2851">
        <v>18</v>
      </c>
      <c r="B90" s="3500" t="s">
        <v>2684</v>
      </c>
      <c r="C90" s="2825" t="s">
        <v>2685</v>
      </c>
      <c r="D90" s="2825" t="s">
        <v>2686</v>
      </c>
      <c r="E90" s="2851">
        <v>0.2</v>
      </c>
      <c r="F90" s="2851">
        <v>25</v>
      </c>
    </row>
    <row r="91" spans="1:6" ht="24">
      <c r="A91" s="2851">
        <v>19</v>
      </c>
      <c r="B91" s="3502"/>
      <c r="C91" s="2825" t="s">
        <v>2687</v>
      </c>
      <c r="D91" s="2825" t="s">
        <v>2688</v>
      </c>
      <c r="E91" s="2851">
        <v>0.2</v>
      </c>
      <c r="F91" s="2851">
        <v>25</v>
      </c>
    </row>
    <row r="92" spans="1:6" ht="13.5">
      <c r="A92" s="2851">
        <v>20</v>
      </c>
      <c r="B92" s="3502"/>
      <c r="C92" s="2825" t="s">
        <v>2689</v>
      </c>
      <c r="D92" s="2825" t="s">
        <v>2690</v>
      </c>
      <c r="E92" s="2851">
        <v>0.15</v>
      </c>
      <c r="F92" s="2851">
        <v>20</v>
      </c>
    </row>
    <row r="93" spans="1:6" ht="13.5">
      <c r="A93" s="2851">
        <v>21</v>
      </c>
      <c r="B93" s="3502"/>
      <c r="C93" s="2825" t="s">
        <v>2691</v>
      </c>
      <c r="D93" s="2825" t="s">
        <v>2692</v>
      </c>
      <c r="E93" s="2851">
        <v>0.15</v>
      </c>
      <c r="F93" s="2851">
        <v>20</v>
      </c>
    </row>
    <row r="94" spans="1:6" ht="13.5">
      <c r="A94" s="2851">
        <v>22</v>
      </c>
      <c r="B94" s="3502"/>
      <c r="C94" s="2825" t="s">
        <v>2693</v>
      </c>
      <c r="D94" s="2825" t="s">
        <v>2694</v>
      </c>
      <c r="E94" s="2851">
        <v>0.15</v>
      </c>
      <c r="F94" s="2851">
        <v>20</v>
      </c>
    </row>
    <row r="95" spans="1:6" ht="36">
      <c r="A95" s="2851">
        <v>23</v>
      </c>
      <c r="B95" s="3502"/>
      <c r="C95" s="2825" t="s">
        <v>2695</v>
      </c>
      <c r="D95" s="2825" t="s">
        <v>2696</v>
      </c>
      <c r="E95" s="2851">
        <v>0.15</v>
      </c>
      <c r="F95" s="2851">
        <v>20</v>
      </c>
    </row>
    <row r="96" spans="1:6" ht="13.5">
      <c r="A96" s="2851">
        <v>24</v>
      </c>
      <c r="B96" s="3502"/>
      <c r="C96" s="2825" t="s">
        <v>2697</v>
      </c>
      <c r="D96" s="2825" t="s">
        <v>2698</v>
      </c>
      <c r="E96" s="2851">
        <v>0.1</v>
      </c>
      <c r="F96" s="2851">
        <v>15</v>
      </c>
    </row>
    <row r="97" spans="1:6" ht="13.5">
      <c r="A97" s="2851">
        <v>25</v>
      </c>
      <c r="B97" s="3502"/>
      <c r="C97" s="2825" t="s">
        <v>2699</v>
      </c>
      <c r="D97" s="2825" t="s">
        <v>2700</v>
      </c>
      <c r="E97" s="2851">
        <v>0.1</v>
      </c>
      <c r="F97" s="2851">
        <v>15</v>
      </c>
    </row>
    <row r="98" spans="1:6" ht="24">
      <c r="A98" s="2851">
        <v>26</v>
      </c>
      <c r="B98" s="3502"/>
      <c r="C98" s="2825" t="s">
        <v>2701</v>
      </c>
      <c r="D98" s="2825" t="s">
        <v>2702</v>
      </c>
      <c r="E98" s="2851">
        <v>0.1</v>
      </c>
      <c r="F98" s="2851">
        <v>15</v>
      </c>
    </row>
    <row r="99" spans="1:6" ht="24">
      <c r="A99" s="2851">
        <v>27</v>
      </c>
      <c r="B99" s="3502"/>
      <c r="C99" s="2825" t="s">
        <v>2703</v>
      </c>
      <c r="D99" s="2825" t="s">
        <v>2704</v>
      </c>
      <c r="E99" s="2851">
        <v>0.1</v>
      </c>
      <c r="F99" s="2851">
        <v>15</v>
      </c>
    </row>
    <row r="100" spans="1:6" ht="13.5">
      <c r="A100" s="2851">
        <v>28</v>
      </c>
      <c r="B100" s="3502"/>
      <c r="C100" s="2825" t="s">
        <v>2705</v>
      </c>
      <c r="D100" s="2825" t="s">
        <v>2706</v>
      </c>
      <c r="E100" s="2851">
        <v>0.1</v>
      </c>
      <c r="F100" s="2851">
        <v>15</v>
      </c>
    </row>
    <row r="101" spans="1:6" ht="13.5">
      <c r="A101" s="2851">
        <v>29</v>
      </c>
      <c r="B101" s="3502"/>
      <c r="C101" s="2825" t="s">
        <v>2707</v>
      </c>
      <c r="D101" s="2825" t="s">
        <v>2708</v>
      </c>
      <c r="E101" s="2851">
        <v>0.1</v>
      </c>
      <c r="F101" s="2851">
        <v>15</v>
      </c>
    </row>
    <row r="102" spans="1:6" ht="13.5">
      <c r="A102" s="2851">
        <v>30</v>
      </c>
      <c r="B102" s="3502"/>
      <c r="C102" s="2825" t="s">
        <v>2709</v>
      </c>
      <c r="D102" s="2825" t="s">
        <v>2710</v>
      </c>
      <c r="E102" s="2851">
        <v>0.1</v>
      </c>
      <c r="F102" s="2851">
        <v>15</v>
      </c>
    </row>
    <row r="103" spans="1:6" ht="24">
      <c r="A103" s="2851">
        <v>31</v>
      </c>
      <c r="B103" s="3502"/>
      <c r="C103" s="2825" t="s">
        <v>2711</v>
      </c>
      <c r="D103" s="2825" t="s">
        <v>2712</v>
      </c>
      <c r="E103" s="2851">
        <v>0.1</v>
      </c>
      <c r="F103" s="2851">
        <v>15</v>
      </c>
    </row>
    <row r="104" spans="1:6" ht="24">
      <c r="A104" s="2851">
        <v>32</v>
      </c>
      <c r="B104" s="3502"/>
      <c r="C104" s="2825" t="s">
        <v>2713</v>
      </c>
      <c r="D104" s="2825" t="s">
        <v>2714</v>
      </c>
      <c r="E104" s="2851">
        <v>0.1</v>
      </c>
      <c r="F104" s="2851">
        <v>15</v>
      </c>
    </row>
    <row r="105" spans="1:6" ht="24">
      <c r="A105" s="2851">
        <v>33</v>
      </c>
      <c r="B105" s="3502"/>
      <c r="C105" s="2825" t="s">
        <v>2715</v>
      </c>
      <c r="D105" s="2825" t="s">
        <v>2716</v>
      </c>
      <c r="E105" s="2851">
        <v>0.1</v>
      </c>
      <c r="F105" s="2851">
        <v>15</v>
      </c>
    </row>
    <row r="106" spans="1:6" ht="24">
      <c r="A106" s="2851">
        <v>34</v>
      </c>
      <c r="B106" s="3501"/>
      <c r="C106" s="2825" t="s">
        <v>2717</v>
      </c>
      <c r="D106" s="2825" t="s">
        <v>2718</v>
      </c>
      <c r="E106" s="2851">
        <v>0.1</v>
      </c>
      <c r="F106" s="2851">
        <v>15</v>
      </c>
    </row>
    <row r="107" spans="1:6" ht="24">
      <c r="A107" s="2851">
        <v>35</v>
      </c>
      <c r="B107" s="3500" t="s">
        <v>2719</v>
      </c>
      <c r="C107" s="2851" t="s">
        <v>2720</v>
      </c>
      <c r="D107" s="2825" t="s">
        <v>2721</v>
      </c>
      <c r="E107" s="2851">
        <v>0.15</v>
      </c>
      <c r="F107" s="2851">
        <v>20</v>
      </c>
    </row>
    <row r="108" spans="1:6" ht="13.5">
      <c r="A108" s="2851">
        <v>36</v>
      </c>
      <c r="B108" s="3502"/>
      <c r="C108" s="2851" t="s">
        <v>2722</v>
      </c>
      <c r="D108" s="2825" t="s">
        <v>2723</v>
      </c>
      <c r="E108" s="2851">
        <v>0.15</v>
      </c>
      <c r="F108" s="2851">
        <v>20</v>
      </c>
    </row>
    <row r="109" spans="1:6" ht="13.5">
      <c r="A109" s="2851">
        <v>37</v>
      </c>
      <c r="B109" s="3502"/>
      <c r="C109" s="2851" t="s">
        <v>2724</v>
      </c>
      <c r="D109" s="2825" t="s">
        <v>2725</v>
      </c>
      <c r="E109" s="2851">
        <v>0.15</v>
      </c>
      <c r="F109" s="2851">
        <v>20</v>
      </c>
    </row>
    <row r="110" spans="1:6" ht="13.5">
      <c r="A110" s="2851">
        <v>38</v>
      </c>
      <c r="B110" s="3502"/>
      <c r="C110" s="2851" t="s">
        <v>2726</v>
      </c>
      <c r="D110" s="2825" t="s">
        <v>2727</v>
      </c>
      <c r="E110" s="2851">
        <v>0.1</v>
      </c>
      <c r="F110" s="2851">
        <v>15</v>
      </c>
    </row>
    <row r="111" spans="1:6" ht="24">
      <c r="A111" s="2851">
        <v>39</v>
      </c>
      <c r="B111" s="3502"/>
      <c r="C111" s="2851" t="s">
        <v>2728</v>
      </c>
      <c r="D111" s="2825" t="s">
        <v>2729</v>
      </c>
      <c r="E111" s="2851">
        <v>0.1</v>
      </c>
      <c r="F111" s="2851">
        <v>15</v>
      </c>
    </row>
    <row r="112" spans="1:6" ht="24">
      <c r="A112" s="2851">
        <v>40</v>
      </c>
      <c r="B112" s="3501"/>
      <c r="C112" s="2851" t="s">
        <v>2730</v>
      </c>
      <c r="D112" s="2825" t="s">
        <v>2731</v>
      </c>
      <c r="E112" s="2851">
        <v>0.1</v>
      </c>
      <c r="F112" s="2851">
        <v>15</v>
      </c>
    </row>
    <row r="113" spans="1:6" ht="13.5">
      <c r="A113" s="2851">
        <v>41</v>
      </c>
      <c r="B113" s="3499" t="s">
        <v>2732</v>
      </c>
      <c r="C113" s="2851" t="s">
        <v>2733</v>
      </c>
      <c r="D113" s="2825" t="s">
        <v>2734</v>
      </c>
      <c r="E113" s="2851">
        <v>0.1</v>
      </c>
      <c r="F113" s="2851">
        <v>15</v>
      </c>
    </row>
    <row r="114" spans="1:6" ht="13.5">
      <c r="A114" s="2851">
        <v>42</v>
      </c>
      <c r="B114" s="3499"/>
      <c r="C114" s="2851" t="s">
        <v>2735</v>
      </c>
      <c r="D114" s="2825" t="s">
        <v>2736</v>
      </c>
      <c r="E114" s="2851">
        <v>0.1</v>
      </c>
      <c r="F114" s="2851">
        <v>15</v>
      </c>
    </row>
    <row r="115" spans="1:6" ht="24">
      <c r="A115" s="2851">
        <v>43</v>
      </c>
      <c r="B115" s="3499"/>
      <c r="C115" s="2851" t="s">
        <v>2737</v>
      </c>
      <c r="D115" s="2825" t="s">
        <v>2738</v>
      </c>
      <c r="E115" s="2851">
        <v>0.1</v>
      </c>
      <c r="F115" s="2851">
        <v>15</v>
      </c>
    </row>
    <row r="116" spans="1:6" ht="13.5">
      <c r="A116" s="2851">
        <v>44</v>
      </c>
      <c r="B116" s="3500" t="s">
        <v>2739</v>
      </c>
      <c r="C116" s="2851" t="s">
        <v>2740</v>
      </c>
      <c r="D116" s="2825" t="s">
        <v>2741</v>
      </c>
      <c r="E116" s="2851">
        <v>0.1</v>
      </c>
      <c r="F116" s="2851">
        <v>15</v>
      </c>
    </row>
    <row r="117" spans="1:6" ht="24">
      <c r="A117" s="2851">
        <v>45</v>
      </c>
      <c r="B117" s="3501"/>
      <c r="C117" s="2825" t="s">
        <v>2742</v>
      </c>
      <c r="D117" s="2825" t="s">
        <v>2743</v>
      </c>
      <c r="E117" s="2851">
        <v>0.1</v>
      </c>
      <c r="F117" s="2851">
        <v>15</v>
      </c>
    </row>
    <row r="118" spans="1:6" ht="24">
      <c r="A118" s="2851">
        <v>46</v>
      </c>
      <c r="B118" s="3500" t="s">
        <v>2744</v>
      </c>
      <c r="C118" s="2851" t="s">
        <v>2745</v>
      </c>
      <c r="D118" s="2825" t="s">
        <v>2746</v>
      </c>
      <c r="E118" s="2851">
        <v>0.1</v>
      </c>
      <c r="F118" s="2851">
        <v>15</v>
      </c>
    </row>
    <row r="119" spans="1:6" ht="24">
      <c r="A119" s="2851">
        <v>47</v>
      </c>
      <c r="B119" s="3501"/>
      <c r="C119" s="2851" t="s">
        <v>2747</v>
      </c>
      <c r="D119" s="2825" t="s">
        <v>2748</v>
      </c>
      <c r="E119" s="2851">
        <v>0.1</v>
      </c>
      <c r="F119" s="2851">
        <v>15</v>
      </c>
    </row>
    <row r="120" spans="1:6" ht="13.5">
      <c r="A120" s="2851">
        <v>48</v>
      </c>
      <c r="B120" s="3500" t="s">
        <v>2749</v>
      </c>
      <c r="C120" s="2851" t="s">
        <v>2750</v>
      </c>
      <c r="D120" s="2825" t="s">
        <v>2751</v>
      </c>
      <c r="E120" s="2851">
        <v>0.1</v>
      </c>
      <c r="F120" s="2851">
        <v>15</v>
      </c>
    </row>
    <row r="121" spans="1:6" ht="13.5">
      <c r="A121" s="2851">
        <v>49</v>
      </c>
      <c r="B121" s="3501"/>
      <c r="C121" s="2851" t="s">
        <v>2752</v>
      </c>
      <c r="D121" s="2825" t="s">
        <v>2753</v>
      </c>
      <c r="E121" s="2851">
        <v>0.1</v>
      </c>
      <c r="F121" s="2851">
        <v>15</v>
      </c>
    </row>
    <row r="122" spans="1:6" ht="24">
      <c r="A122" s="2851">
        <v>50</v>
      </c>
      <c r="B122" s="3499" t="s">
        <v>2754</v>
      </c>
      <c r="C122" s="2851" t="s">
        <v>2755</v>
      </c>
      <c r="D122" s="2825" t="s">
        <v>2756</v>
      </c>
      <c r="E122" s="2851">
        <v>0.1</v>
      </c>
      <c r="F122" s="2851">
        <v>15</v>
      </c>
    </row>
    <row r="123" spans="1:6" ht="24">
      <c r="A123" s="2851">
        <v>51</v>
      </c>
      <c r="B123" s="3499"/>
      <c r="C123" s="2851" t="s">
        <v>2757</v>
      </c>
      <c r="D123" s="2825" t="s">
        <v>2758</v>
      </c>
      <c r="E123" s="2851">
        <v>0.1</v>
      </c>
      <c r="F123" s="2851">
        <v>15</v>
      </c>
    </row>
    <row r="124" spans="1:6" ht="24">
      <c r="A124" s="2851">
        <v>52</v>
      </c>
      <c r="B124" s="3499" t="s">
        <v>2759</v>
      </c>
      <c r="C124" s="2851" t="s">
        <v>2760</v>
      </c>
      <c r="D124" s="2825" t="s">
        <v>2761</v>
      </c>
      <c r="E124" s="2851">
        <v>0.1</v>
      </c>
      <c r="F124" s="2851">
        <v>15</v>
      </c>
    </row>
    <row r="125" spans="1:6" ht="24">
      <c r="A125" s="2851">
        <v>53</v>
      </c>
      <c r="B125" s="349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9" t="s">
        <v>2767</v>
      </c>
      <c r="C127" s="2851" t="s">
        <v>2768</v>
      </c>
      <c r="D127" s="2825" t="s">
        <v>2769</v>
      </c>
      <c r="E127" s="2851">
        <v>0.1</v>
      </c>
      <c r="F127" s="2851">
        <v>15</v>
      </c>
    </row>
    <row r="128" spans="1:6" ht="13.5">
      <c r="A128" s="2851">
        <v>56</v>
      </c>
      <c r="B128" s="3499"/>
      <c r="C128" s="2851" t="s">
        <v>2770</v>
      </c>
      <c r="D128" s="2825" t="s">
        <v>2771</v>
      </c>
      <c r="E128" s="2851">
        <v>0.1</v>
      </c>
      <c r="F128" s="2851">
        <v>15</v>
      </c>
    </row>
    <row r="129" spans="1:6" ht="24">
      <c r="A129" s="2851">
        <v>57</v>
      </c>
      <c r="B129" s="3499"/>
      <c r="C129" s="2851" t="s">
        <v>2772</v>
      </c>
      <c r="D129" s="2825" t="s">
        <v>2773</v>
      </c>
      <c r="E129" s="2851">
        <v>0.1</v>
      </c>
      <c r="F129" s="2851">
        <v>15</v>
      </c>
    </row>
    <row r="130" spans="1:6" ht="24">
      <c r="A130" s="2851">
        <v>58</v>
      </c>
      <c r="B130" s="3499" t="s">
        <v>2774</v>
      </c>
      <c r="C130" s="2851" t="s">
        <v>2775</v>
      </c>
      <c r="D130" s="2825" t="s">
        <v>2776</v>
      </c>
      <c r="E130" s="2851">
        <v>0.1</v>
      </c>
      <c r="F130" s="2851">
        <v>15</v>
      </c>
    </row>
    <row r="131" spans="1:6" ht="13.5">
      <c r="A131" s="2851">
        <v>59</v>
      </c>
      <c r="B131" s="3499"/>
      <c r="C131" s="2851" t="s">
        <v>2777</v>
      </c>
      <c r="D131" s="2825" t="s">
        <v>2778</v>
      </c>
      <c r="E131" s="2851">
        <v>0.1</v>
      </c>
      <c r="F131" s="2851">
        <v>15</v>
      </c>
    </row>
    <row r="132" spans="1:6" ht="13.5">
      <c r="A132" s="2851">
        <v>60</v>
      </c>
      <c r="B132" s="3500" t="s">
        <v>2779</v>
      </c>
      <c r="C132" s="2851" t="s">
        <v>2780</v>
      </c>
      <c r="D132" s="2825" t="s">
        <v>2781</v>
      </c>
      <c r="E132" s="2851">
        <v>0.1</v>
      </c>
      <c r="F132" s="2851">
        <v>15</v>
      </c>
    </row>
    <row r="133" spans="1:6" ht="13.5">
      <c r="A133" s="2851">
        <v>61</v>
      </c>
      <c r="B133" s="3501"/>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9" t="s">
        <v>2787</v>
      </c>
      <c r="C135" s="2851" t="s">
        <v>2788</v>
      </c>
      <c r="D135" s="2825" t="s">
        <v>2789</v>
      </c>
      <c r="E135" s="2851">
        <v>0.1</v>
      </c>
      <c r="F135" s="2851">
        <v>15</v>
      </c>
    </row>
    <row r="136" spans="1:6" ht="13.5">
      <c r="A136" s="2851">
        <v>64</v>
      </c>
      <c r="B136" s="349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86"/>
      <c r="B4" s="3198" t="s">
        <v>917</v>
      </c>
      <c r="C4" s="3198"/>
      <c r="D4" s="3198"/>
      <c r="E4" s="1386"/>
    </row>
    <row r="5" spans="1:5" ht="16.5" thickTop="1">
      <c r="B5" s="3196" t="s">
        <v>909</v>
      </c>
      <c r="C5" s="1387" t="s">
        <v>910</v>
      </c>
      <c r="D5" s="793">
        <f ca="1">结果表!H101</f>
        <v>318326</v>
      </c>
    </row>
    <row r="6" spans="1:5" ht="15.75">
      <c r="B6" s="3196"/>
      <c r="C6" s="1387" t="s">
        <v>911</v>
      </c>
      <c r="D6" s="793" t="str">
        <f ca="1">NUMBERSTRING(INT(D5*10000),2)&amp;"元整"</f>
        <v>叁拾壹亿捌仟叁佰贰拾陆万元整</v>
      </c>
    </row>
    <row r="7" spans="1:5" ht="15.75">
      <c r="B7" s="3201"/>
      <c r="C7" s="1388" t="s">
        <v>912</v>
      </c>
      <c r="D7" s="794">
        <f ca="1">结果表!H102</f>
        <v>20698</v>
      </c>
    </row>
    <row r="8" spans="1:5" ht="15.75">
      <c r="B8" s="3202" t="str">
        <f>结果表!E103</f>
        <v>2.估价师知悉的法定优先受偿款</v>
      </c>
      <c r="C8" s="1389" t="s">
        <v>913</v>
      </c>
      <c r="D8" s="794">
        <f>结果表!H103</f>
        <v>0</v>
      </c>
    </row>
    <row r="9" spans="1:5" ht="15.75">
      <c r="B9" s="3204"/>
      <c r="C9" s="1387" t="s">
        <v>911</v>
      </c>
      <c r="D9" s="793" t="str">
        <f>NUMBERSTRING(INT(D8*10000),2)&amp;"元整"</f>
        <v>零元整</v>
      </c>
    </row>
    <row r="10" spans="1:5" ht="15">
      <c r="B10" s="1390" t="s">
        <v>916</v>
      </c>
      <c r="C10" s="1391" t="s">
        <v>914</v>
      </c>
      <c r="D10" s="795">
        <f>结果表!H104</f>
        <v>0</v>
      </c>
    </row>
    <row r="11" spans="1:5" ht="15">
      <c r="B11" s="1390" t="s">
        <v>918</v>
      </c>
      <c r="C11" s="1391" t="s">
        <v>919</v>
      </c>
      <c r="D11" s="795">
        <f>结果表!H105</f>
        <v>0</v>
      </c>
    </row>
    <row r="12" spans="1:5" ht="15">
      <c r="B12" s="1390" t="s">
        <v>920</v>
      </c>
      <c r="C12" s="1391" t="s">
        <v>919</v>
      </c>
      <c r="D12" s="795">
        <f>结果表!H106</f>
        <v>0</v>
      </c>
    </row>
    <row r="13" spans="1:5" ht="15.75">
      <c r="B13" s="3195" t="str">
        <f>结果表!E107</f>
        <v>3.房地产抵押价值</v>
      </c>
      <c r="C13" s="1392" t="s">
        <v>910</v>
      </c>
      <c r="D13" s="796">
        <f ca="1">结果表!H107</f>
        <v>318326</v>
      </c>
    </row>
    <row r="14" spans="1:5" ht="15.75">
      <c r="B14" s="3196"/>
      <c r="C14" s="1387" t="s">
        <v>911</v>
      </c>
      <c r="D14" s="793" t="str">
        <f ca="1">NUMBERSTRING(INT(D13*10000),2)&amp;"元整"</f>
        <v>叁拾壹亿捌仟叁佰贰拾陆万元整</v>
      </c>
    </row>
    <row r="15" spans="1:5" ht="15">
      <c r="B15" s="3201"/>
      <c r="C15" s="1388" t="s">
        <v>921</v>
      </c>
      <c r="D15" s="802">
        <f ca="1">结果表!H108</f>
        <v>20698</v>
      </c>
    </row>
    <row r="16" spans="1:5" ht="15">
      <c r="B16" s="3202" t="str">
        <f>结果表!E109</f>
        <v>——</v>
      </c>
      <c r="C16" s="1392" t="s">
        <v>922</v>
      </c>
      <c r="D16" s="1393" t="str">
        <f>结果表!H109</f>
        <v>——</v>
      </c>
    </row>
    <row r="17" spans="1:5" ht="15.75">
      <c r="B17" s="3203"/>
      <c r="C17" s="1387" t="s">
        <v>923</v>
      </c>
      <c r="D17" s="793" t="e">
        <f>NUMBERSTRING(INT(D16*10000),2)&amp;"元整"</f>
        <v>#VALUE!</v>
      </c>
    </row>
    <row r="18" spans="1:5" ht="15">
      <c r="B18" s="3204"/>
      <c r="C18" s="1388" t="s">
        <v>912</v>
      </c>
      <c r="D18" s="802" t="str">
        <f>结果表!H110</f>
        <v>——</v>
      </c>
    </row>
    <row r="19" spans="1:5" ht="15.75">
      <c r="B19" s="3195" t="str">
        <f>结果表!E111</f>
        <v>——</v>
      </c>
      <c r="C19" s="1392" t="s">
        <v>910</v>
      </c>
      <c r="D19" s="794" t="str">
        <f>结果表!H111</f>
        <v>——</v>
      </c>
    </row>
    <row r="20" spans="1:5" ht="15.75">
      <c r="B20" s="3196"/>
      <c r="C20" s="1387" t="s">
        <v>923</v>
      </c>
      <c r="D20" s="793" t="e">
        <f>NUMBERSTRING(INT(D19*10000),2)&amp;"元整"</f>
        <v>#VALUE!</v>
      </c>
    </row>
    <row r="21" spans="1:5" ht="15.75" thickBot="1">
      <c r="B21" s="3197"/>
      <c r="C21" s="1394" t="s">
        <v>921</v>
      </c>
      <c r="D21" s="803"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3"/>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3"/>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3"/>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190800</v>
      </c>
      <c r="C2" s="2" t="s">
        <v>106</v>
      </c>
      <c r="D2" s="189"/>
      <c r="E2" s="189"/>
      <c r="F2" s="189"/>
      <c r="G2" s="189"/>
    </row>
    <row r="3" spans="1:7" s="190" customFormat="1" ht="18" customHeight="1" thickBot="1">
      <c r="A3" s="193" t="s">
        <v>58</v>
      </c>
      <c r="B3" s="194">
        <f ca="1">ROUND(B2*10000/'数据-汇总表'!E3,0)</f>
        <v>12365</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8" t="s">
        <v>346</v>
      </c>
      <c r="B6" s="205" t="s">
        <v>64</v>
      </c>
      <c r="C6" s="206">
        <v>20000</v>
      </c>
      <c r="D6" s="207"/>
      <c r="E6" s="208"/>
      <c r="F6" s="208"/>
      <c r="G6" s="209"/>
    </row>
    <row r="7" spans="1:7" s="204" customFormat="1" ht="13.5" customHeight="1">
      <c r="A7" s="728" t="s">
        <v>347</v>
      </c>
      <c r="B7" s="205" t="s">
        <v>30</v>
      </c>
      <c r="C7" s="210">
        <f>ROUND(C6*F7,0)</f>
        <v>610</v>
      </c>
      <c r="D7" s="210"/>
      <c r="E7" s="208"/>
      <c r="F7" s="211">
        <f>'数据-取费表'!B48+'数据-取费表'!B49</f>
        <v>3.0499999999999999E-2</v>
      </c>
      <c r="G7" s="209"/>
    </row>
    <row r="8" spans="1:7" s="213" customFormat="1">
      <c r="A8" s="728" t="s">
        <v>348</v>
      </c>
      <c r="B8" s="205" t="s">
        <v>65</v>
      </c>
      <c r="C8" s="210" t="str">
        <f>IF(G8="已包含在土地购买价格中","0",'数据-取费表'!B29)</f>
        <v>0</v>
      </c>
      <c r="D8" s="212"/>
      <c r="E8" s="210"/>
      <c r="F8" s="211"/>
      <c r="G8" s="1" t="s">
        <v>451</v>
      </c>
    </row>
    <row r="9" spans="1:7" s="204" customFormat="1" ht="13.5" customHeight="1">
      <c r="A9" s="729" t="s">
        <v>355</v>
      </c>
      <c r="B9" s="214" t="s">
        <v>66</v>
      </c>
      <c r="C9" s="215">
        <f>ROUND(D9*E9/10000,0)</f>
        <v>0</v>
      </c>
      <c r="D9" s="791">
        <f>'数据-汇总表'!E5</f>
        <v>0</v>
      </c>
      <c r="E9" s="215">
        <f>'数据-取费表'!B27</f>
        <v>150</v>
      </c>
      <c r="F9" s="211"/>
      <c r="G9" s="216"/>
    </row>
    <row r="10" spans="1:7" s="204" customFormat="1" ht="13.5" customHeight="1">
      <c r="A10" s="729" t="s">
        <v>356</v>
      </c>
      <c r="B10" s="214" t="s">
        <v>67</v>
      </c>
      <c r="C10" s="215">
        <f>ROUND(D10*E10/10000,0)</f>
        <v>2932</v>
      </c>
      <c r="D10" s="791">
        <f>'数据-汇总表'!E6</f>
        <v>154306.03</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7" t="s">
        <v>417</v>
      </c>
      <c r="B19" s="200" t="s">
        <v>84</v>
      </c>
      <c r="C19" s="201">
        <f>IF(G19="已包含在土地取得成本中","0",ROUND(D19*E19/10000,0))</f>
        <v>3086</v>
      </c>
      <c r="D19" s="202">
        <f>'数据-汇总表'!E3</f>
        <v>154306.03</v>
      </c>
      <c r="E19" s="201">
        <f>'数据-取费表'!B31</f>
        <v>200</v>
      </c>
      <c r="F19" s="221"/>
      <c r="G19" s="1" t="s">
        <v>436</v>
      </c>
    </row>
    <row r="20" spans="1:7" s="204" customFormat="1" ht="13.5" customHeight="1">
      <c r="A20" s="727" t="s">
        <v>419</v>
      </c>
      <c r="B20" s="200" t="s">
        <v>77</v>
      </c>
      <c r="C20" s="222">
        <f>ROUND((C5+C19)*F20,0)</f>
        <v>711</v>
      </c>
      <c r="D20" s="222"/>
      <c r="E20" s="222"/>
      <c r="F20" s="223">
        <f>'数据-取费表'!B37</f>
        <v>0.03</v>
      </c>
      <c r="G20" s="1000" t="s">
        <v>430</v>
      </c>
    </row>
    <row r="21" spans="1:7" s="204" customFormat="1" ht="13.5" customHeight="1">
      <c r="A21" s="727" t="s">
        <v>421</v>
      </c>
      <c r="B21" s="200" t="s">
        <v>78</v>
      </c>
      <c r="C21" s="225">
        <f>F21</f>
        <v>0.02</v>
      </c>
      <c r="D21" s="226" t="s">
        <v>99</v>
      </c>
      <c r="E21" s="222"/>
      <c r="F21" s="223">
        <f>'数据-取费表'!B38</f>
        <v>0.02</v>
      </c>
      <c r="G21" s="224" t="s">
        <v>79</v>
      </c>
    </row>
    <row r="22" spans="1:7" s="204" customFormat="1" ht="13.5" customHeight="1">
      <c r="A22" s="727" t="s">
        <v>341</v>
      </c>
      <c r="B22" s="200" t="s">
        <v>80</v>
      </c>
      <c r="C22" s="1037">
        <f ca="1">ROUND(SUM(C23:C25),0)</f>
        <v>1908</v>
      </c>
      <c r="D22" s="225">
        <f ca="1">C26</f>
        <v>8.0000000000000004E-4</v>
      </c>
      <c r="E22" s="226" t="s">
        <v>99</v>
      </c>
      <c r="F22" s="227">
        <f ca="1">'数据-取费表'!B40</f>
        <v>3.1E-2</v>
      </c>
      <c r="G22" s="1000" t="str">
        <f>IF('数据-取费表'!B22&lt;=1,"单利计息","复利计息")</f>
        <v>复利计息</v>
      </c>
    </row>
    <row r="23" spans="1:7" s="204" customFormat="1" ht="13.5" customHeight="1">
      <c r="A23" s="730" t="s">
        <v>349</v>
      </c>
      <c r="B23" s="205" t="s">
        <v>423</v>
      </c>
      <c r="C23" s="1038">
        <f ca="1">ROUND(IF('数据-取费表'!B22&lt;=1,C5*F22*'数据-取费表'!B23,C5*(POWER((1+F22),'数据-取费表'!B23)-1)),0)</f>
        <v>1635</v>
      </c>
      <c r="D23" s="228"/>
      <c r="E23" s="228"/>
      <c r="F23" s="229"/>
      <c r="G23" s="230" t="s">
        <v>81</v>
      </c>
    </row>
    <row r="24" spans="1:7" s="204" customFormat="1" ht="13.5" customHeight="1">
      <c r="A24" s="730" t="s">
        <v>347</v>
      </c>
      <c r="B24" s="205" t="s">
        <v>418</v>
      </c>
      <c r="C24" s="1038">
        <f ca="1">ROUND(IF('数据-取费表'!B22&lt;=1,C19*F22*('数据-取费表'!B19/2+'数据-取费表'!B21),C19*(POWER((1+F22),('数据-取费表'!B19/2+'数据-取费表'!B21))-1)),0)</f>
        <v>245</v>
      </c>
      <c r="D24" s="228"/>
      <c r="E24" s="228"/>
      <c r="F24" s="229"/>
      <c r="G24" s="230" t="s">
        <v>82</v>
      </c>
    </row>
    <row r="25" spans="1:7" s="204" customFormat="1" ht="24">
      <c r="A25" s="730" t="s">
        <v>348</v>
      </c>
      <c r="B25" s="205" t="s">
        <v>420</v>
      </c>
      <c r="C25" s="1038">
        <f ca="1">ROUND(IF('数据-取费表'!B22&lt;=1,C20*F22*'数据-取费表'!B23/2,C20*(POWER((1+F22),'数据-取费表'!B23/2)-1)),0)</f>
        <v>28</v>
      </c>
      <c r="D25" s="228"/>
      <c r="E25" s="231"/>
      <c r="F25" s="229"/>
      <c r="G25" s="232" t="s">
        <v>83</v>
      </c>
    </row>
    <row r="26" spans="1:7" s="204" customFormat="1">
      <c r="A26" s="730" t="s">
        <v>350</v>
      </c>
      <c r="B26" s="205" t="s">
        <v>422</v>
      </c>
      <c r="C26" s="228">
        <f ca="1">ROUND(IF('数据-取费表'!B22&lt;=1,F21*F22*'数据-取费表'!B23/2,F21*(POWER((1+F22),'数据-取费表'!B23/2)-1)),4)</f>
        <v>8.0000000000000004E-4</v>
      </c>
      <c r="D26" s="228"/>
      <c r="E26" s="231"/>
      <c r="F26" s="229"/>
      <c r="G26" s="233"/>
    </row>
    <row r="27" spans="1:7" s="204" customFormat="1" ht="24.75">
      <c r="A27" s="727" t="s">
        <v>342</v>
      </c>
      <c r="B27" s="234" t="s">
        <v>85</v>
      </c>
      <c r="C27" s="235">
        <f>C28</f>
        <v>6102</v>
      </c>
      <c r="D27" s="225">
        <f>C29</f>
        <v>5.0000000000000001E-3</v>
      </c>
      <c r="E27" s="226" t="s">
        <v>99</v>
      </c>
      <c r="F27" s="236">
        <f>'数据-取费表'!Q16</f>
        <v>0.25</v>
      </c>
      <c r="G27" s="237" t="s">
        <v>431</v>
      </c>
    </row>
    <row r="28" spans="1:7" s="204" customFormat="1" ht="13.5" customHeight="1">
      <c r="A28" s="730" t="s">
        <v>349</v>
      </c>
      <c r="B28" s="238" t="s">
        <v>424</v>
      </c>
      <c r="C28" s="239">
        <f>ROUND((C5+C19+C20)*F27*'数据-取费表'!B21/'数据-取费表'!B20,0)</f>
        <v>6102</v>
      </c>
      <c r="D28" s="225"/>
      <c r="E28" s="226"/>
      <c r="F28" s="236"/>
      <c r="G28" s="237"/>
    </row>
    <row r="29" spans="1:7" s="204" customFormat="1" ht="13.5" customHeight="1">
      <c r="A29" s="730" t="s">
        <v>347</v>
      </c>
      <c r="B29" s="238" t="s">
        <v>425</v>
      </c>
      <c r="C29" s="228">
        <f>ROUND(C21*F27*'数据-取费表'!B21/'数据-取费表'!B20,4)</f>
        <v>5.0000000000000001E-3</v>
      </c>
      <c r="D29" s="225"/>
      <c r="E29" s="226"/>
      <c r="F29" s="236"/>
      <c r="G29" s="237"/>
    </row>
    <row r="30" spans="1:7" s="204" customFormat="1" ht="13.5" customHeight="1">
      <c r="A30" s="727"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35166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111409</v>
      </c>
      <c r="D33" s="222"/>
      <c r="E33" s="202"/>
      <c r="F33" s="231"/>
      <c r="G33" s="224"/>
    </row>
    <row r="34" spans="1:7" s="248" customFormat="1" ht="13.5" customHeight="1">
      <c r="A34" s="730" t="s">
        <v>349</v>
      </c>
      <c r="B34" s="205" t="s">
        <v>32</v>
      </c>
      <c r="C34" s="210">
        <f>IF(F34=100%,'数据-取费表'!M16-SUMIF('数据-取费表'!C:C,"公共配套",'数据-取费表'!M:M),'数据-取费表'!O16-SUMIF('数据-取费表'!C:C,"公共配套",'数据-取费表'!O:O))</f>
        <v>100299</v>
      </c>
      <c r="D34" s="207"/>
      <c r="E34" s="210"/>
      <c r="F34" s="247">
        <f>IF('数据-取费表'!B24=0,1,'数据-取费表'!N16)</f>
        <v>1</v>
      </c>
      <c r="G34" s="209" t="s">
        <v>89</v>
      </c>
    </row>
    <row r="35" spans="1:7" ht="13.5" customHeight="1">
      <c r="A35" s="730" t="s">
        <v>351</v>
      </c>
      <c r="B35" s="205" t="s">
        <v>33</v>
      </c>
      <c r="C35" s="210">
        <f>ROUND(C34*F35,0)</f>
        <v>6018</v>
      </c>
      <c r="D35" s="210"/>
      <c r="E35" s="210"/>
      <c r="F35" s="249">
        <f>'数据-取费表'!B33</f>
        <v>0.06</v>
      </c>
      <c r="G35" s="209" t="s">
        <v>90</v>
      </c>
    </row>
    <row r="36" spans="1:7" ht="24">
      <c r="A36" s="730"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0" t="s">
        <v>353</v>
      </c>
      <c r="B37" s="205" t="s">
        <v>91</v>
      </c>
      <c r="C37" s="239">
        <f>ROUND(E37*D37*F34/10000,0)</f>
        <v>3086</v>
      </c>
      <c r="D37" s="207">
        <f>'数据-汇总表'!E3</f>
        <v>154306.03</v>
      </c>
      <c r="E37" s="239">
        <f>'数据-取费表'!B35</f>
        <v>200</v>
      </c>
      <c r="F37" s="249"/>
      <c r="G37" s="251" t="s">
        <v>92</v>
      </c>
    </row>
    <row r="38" spans="1:7" ht="13.5" customHeight="1">
      <c r="A38" s="730" t="s">
        <v>354</v>
      </c>
      <c r="B38" s="205" t="s">
        <v>36</v>
      </c>
      <c r="C38" s="210">
        <f>ROUND(C34*F38,0)</f>
        <v>2006</v>
      </c>
      <c r="D38" s="210"/>
      <c r="E38" s="210"/>
      <c r="F38" s="249">
        <f>'数据-取费表'!B36</f>
        <v>0.02</v>
      </c>
      <c r="G38" s="209" t="s">
        <v>90</v>
      </c>
    </row>
    <row r="39" spans="1:7" s="204" customFormat="1" ht="13.5" customHeight="1">
      <c r="A39" s="727" t="s">
        <v>338</v>
      </c>
      <c r="B39" s="200" t="s">
        <v>77</v>
      </c>
      <c r="C39" s="222">
        <f>ROUND(C33*F20,0)</f>
        <v>3342</v>
      </c>
      <c r="D39" s="222"/>
      <c r="E39" s="222"/>
      <c r="F39" s="223"/>
      <c r="G39" s="1000" t="s">
        <v>433</v>
      </c>
    </row>
    <row r="40" spans="1:7" s="204" customFormat="1" ht="13.5" customHeight="1">
      <c r="A40" s="727" t="s">
        <v>339</v>
      </c>
      <c r="B40" s="200" t="s">
        <v>78</v>
      </c>
      <c r="C40" s="252">
        <f>F21</f>
        <v>0.02</v>
      </c>
      <c r="D40" s="226" t="s">
        <v>102</v>
      </c>
      <c r="E40" s="222"/>
      <c r="F40" s="223"/>
      <c r="G40" s="224" t="s">
        <v>93</v>
      </c>
    </row>
    <row r="41" spans="1:7" s="204" customFormat="1" ht="13.5" customHeight="1">
      <c r="A41" s="727" t="s">
        <v>340</v>
      </c>
      <c r="B41" s="200" t="s">
        <v>80</v>
      </c>
      <c r="C41" s="222">
        <f ca="1">ROUND(SUM(C42:C43),0)</f>
        <v>4464</v>
      </c>
      <c r="D41" s="225">
        <f ca="1">C44</f>
        <v>8.0000000000000004E-4</v>
      </c>
      <c r="E41" s="226" t="s">
        <v>102</v>
      </c>
      <c r="F41" s="227"/>
      <c r="G41" s="1000" t="str">
        <f>IF('数据-取费表'!B22&lt;=1,"单利计息","复利计息")</f>
        <v>复利计息</v>
      </c>
    </row>
    <row r="42" spans="1:7" ht="13.5" customHeight="1">
      <c r="A42" s="730" t="s">
        <v>349</v>
      </c>
      <c r="B42" s="205" t="s">
        <v>423</v>
      </c>
      <c r="C42" s="228">
        <f ca="1">ROUND(IF('数据-取费表'!B22&lt;=1,C33*F22*'数据-取费表'!B21/2,C33*(POWER((1+F22),'数据-取费表'!B21/2)-1)),0)</f>
        <v>4334</v>
      </c>
      <c r="D42" s="228"/>
      <c r="E42" s="228"/>
      <c r="F42" s="229"/>
      <c r="G42" s="3418" t="s">
        <v>94</v>
      </c>
    </row>
    <row r="43" spans="1:7" ht="13.5" customHeight="1">
      <c r="A43" s="730" t="s">
        <v>347</v>
      </c>
      <c r="B43" s="205" t="s">
        <v>426</v>
      </c>
      <c r="C43" s="228">
        <f ca="1">ROUND(IF('数据-取费表'!B22&lt;=1,C39*F22*'数据-取费表'!B21/2,C39*(POWER((1+F22),'数据-取费表'!B21/2)-1)),0)</f>
        <v>130</v>
      </c>
      <c r="D43" s="228"/>
      <c r="E43" s="228"/>
      <c r="F43" s="229"/>
      <c r="G43" s="3419"/>
    </row>
    <row r="44" spans="1:7" ht="13.5" customHeight="1">
      <c r="A44" s="730" t="s">
        <v>348</v>
      </c>
      <c r="B44" s="205" t="s">
        <v>428</v>
      </c>
      <c r="C44" s="228">
        <f ca="1">ROUND(IF('数据-取费表'!B22&lt;=1,C40*F22*'数据-取费表'!B21/2,C40*(POWER((1+F22),'数据-取费表'!B21/2)-1)),4)</f>
        <v>8.0000000000000004E-4</v>
      </c>
      <c r="D44" s="228"/>
      <c r="E44" s="228"/>
      <c r="F44" s="229"/>
      <c r="G44" s="3420"/>
    </row>
    <row r="45" spans="1:7" s="204" customFormat="1" ht="13.5" customHeight="1">
      <c r="A45" s="727" t="s">
        <v>341</v>
      </c>
      <c r="B45" s="234" t="s">
        <v>85</v>
      </c>
      <c r="C45" s="235">
        <f>C46</f>
        <v>28688</v>
      </c>
      <c r="D45" s="225">
        <f>C47</f>
        <v>5.0000000000000001E-3</v>
      </c>
      <c r="E45" s="226" t="s">
        <v>102</v>
      </c>
      <c r="F45" s="236"/>
      <c r="G45" s="237" t="s">
        <v>434</v>
      </c>
    </row>
    <row r="46" spans="1:7" s="204" customFormat="1" ht="13.5" customHeight="1">
      <c r="A46" s="730" t="s">
        <v>349</v>
      </c>
      <c r="B46" s="238" t="s">
        <v>427</v>
      </c>
      <c r="C46" s="239">
        <f>ROUND((C33+C39)*F27,0)</f>
        <v>28688</v>
      </c>
      <c r="D46" s="253"/>
      <c r="E46" s="226"/>
      <c r="F46" s="236"/>
      <c r="G46" s="237"/>
    </row>
    <row r="47" spans="1:7" s="204" customFormat="1" ht="13.5" customHeight="1">
      <c r="A47" s="730" t="s">
        <v>347</v>
      </c>
      <c r="B47" s="238" t="s">
        <v>429</v>
      </c>
      <c r="C47" s="228">
        <f>ROUND(C40*F27,4)</f>
        <v>5.0000000000000001E-3</v>
      </c>
      <c r="D47" s="253"/>
      <c r="E47" s="226"/>
      <c r="F47" s="236"/>
      <c r="G47" s="237"/>
    </row>
    <row r="48" spans="1:7" s="204" customFormat="1" ht="13.5" customHeight="1">
      <c r="A48" s="727" t="s">
        <v>342</v>
      </c>
      <c r="B48" s="200" t="s">
        <v>95</v>
      </c>
      <c r="C48" s="252">
        <f>F30</f>
        <v>5.5000000000000007E-2</v>
      </c>
      <c r="D48" s="226" t="s">
        <v>103</v>
      </c>
      <c r="E48" s="222"/>
      <c r="F48" s="227"/>
      <c r="G48" s="224" t="s">
        <v>96</v>
      </c>
    </row>
    <row r="49" spans="1:7" ht="16.5" customHeight="1">
      <c r="A49" s="727" t="s">
        <v>343</v>
      </c>
      <c r="B49" s="200" t="s">
        <v>104</v>
      </c>
      <c r="C49" s="222">
        <f ca="1">ROUND((C33+C39+C41+C45)/(1-C40-D41-D45-C48/(1+'数据-取费表'!B42)),0)</f>
        <v>160447</v>
      </c>
      <c r="D49" s="222"/>
      <c r="E49" s="222"/>
      <c r="F49" s="254"/>
      <c r="G49" s="224" t="s">
        <v>435</v>
      </c>
    </row>
    <row r="50" spans="1:7" s="248" customFormat="1" ht="24">
      <c r="A50" s="727" t="s">
        <v>344</v>
      </c>
      <c r="B50" s="200" t="s">
        <v>97</v>
      </c>
      <c r="C50" s="222"/>
      <c r="D50" s="222"/>
      <c r="E50" s="222"/>
      <c r="F50" s="254">
        <f>IF('数据-取费表'!B24=0,'数据-取费表'!N16,1)</f>
        <v>0.97</v>
      </c>
      <c r="G50" s="237" t="s">
        <v>98</v>
      </c>
    </row>
    <row r="51" spans="1:7" ht="16.5" customHeight="1">
      <c r="A51" s="727" t="s">
        <v>345</v>
      </c>
      <c r="B51" s="200" t="s">
        <v>105</v>
      </c>
      <c r="C51" s="222">
        <f ca="1">ROUND(C49*F50,0)</f>
        <v>155634</v>
      </c>
      <c r="D51" s="222"/>
      <c r="E51" s="222"/>
      <c r="F51" s="254"/>
      <c r="G51" s="224" t="s">
        <v>37</v>
      </c>
    </row>
    <row r="52" spans="1:7" s="198" customFormat="1" ht="16.5" thickBot="1">
      <c r="A52" s="255" t="s">
        <v>38</v>
      </c>
      <c r="B52" s="256"/>
      <c r="C52" s="257">
        <f ca="1">C31+C51</f>
        <v>190800</v>
      </c>
      <c r="D52" s="256"/>
      <c r="E52" s="256"/>
      <c r="F52" s="256"/>
      <c r="G52" s="258"/>
    </row>
    <row r="55" spans="1:7" ht="15">
      <c r="B55" s="260" t="s">
        <v>39</v>
      </c>
      <c r="C55" s="261"/>
    </row>
    <row r="56" spans="1:7">
      <c r="B56" s="263" t="s">
        <v>40</v>
      </c>
      <c r="C56" s="264">
        <f ca="1">ROUND(C51/C52,3)</f>
        <v>0.81599999999999995</v>
      </c>
    </row>
    <row r="57" spans="1:7">
      <c r="B57" s="263" t="s">
        <v>41</v>
      </c>
      <c r="C57" s="265">
        <f ca="1">1-C56</f>
        <v>0.18400000000000005</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3" t="s">
        <v>2837</v>
      </c>
      <c r="B1" s="3513"/>
      <c r="C1" s="3513"/>
      <c r="D1" s="3513"/>
      <c r="E1" s="3513"/>
      <c r="F1" s="3513"/>
      <c r="G1" s="3514"/>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11" t="s">
        <v>2864</v>
      </c>
      <c r="B3" s="2938"/>
      <c r="C3" s="2939" t="s">
        <v>2809</v>
      </c>
      <c r="D3" s="2939" t="s">
        <v>2865</v>
      </c>
      <c r="E3" s="2939" t="s">
        <v>2811</v>
      </c>
      <c r="F3" s="2939" t="s">
        <v>2866</v>
      </c>
      <c r="G3" s="2939" t="s">
        <v>2629</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2" thickBot="1">
      <c r="A4" s="3512"/>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2"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2"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2"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2"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5" t="s">
        <v>3179</v>
      </c>
      <c r="B1" s="3515"/>
    </row>
    <row r="2" spans="1:7" ht="14.25" thickBot="1">
      <c r="A2" s="2962"/>
      <c r="B2" s="2962"/>
    </row>
    <row r="3" spans="1:7" ht="14.25" thickBot="1">
      <c r="A3" s="2962"/>
      <c r="B3" s="2962"/>
      <c r="C3" s="2963" t="s">
        <v>2809</v>
      </c>
      <c r="D3" s="2963" t="s">
        <v>2865</v>
      </c>
      <c r="E3" s="2963" t="s">
        <v>2811</v>
      </c>
      <c r="F3" s="2963" t="s">
        <v>2866</v>
      </c>
      <c r="G3" s="2963" t="s">
        <v>2629</v>
      </c>
    </row>
    <row r="4" spans="1:7" ht="14.2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4.2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4.2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4.2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4.2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4.2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4.2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4.2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4.2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4.2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4.2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c r="A1" s="3516" t="s">
        <v>3230</v>
      </c>
      <c r="B1" s="3516"/>
      <c r="C1" s="3516"/>
      <c r="D1" s="3516"/>
      <c r="E1" s="3516"/>
      <c r="F1" s="3517"/>
    </row>
    <row r="2" spans="1:6">
      <c r="A2" s="2996" t="s">
        <v>3231</v>
      </c>
    </row>
    <row r="3" spans="1:6">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45614</v>
      </c>
      <c r="B1" s="2923" t="s">
        <v>3380</v>
      </c>
      <c r="C1" s="2924"/>
      <c r="D1" s="2924"/>
      <c r="E1" s="2924"/>
      <c r="F1" s="2924"/>
      <c r="G1" s="2924"/>
      <c r="H1" s="2924"/>
      <c r="I1" s="2924"/>
      <c r="J1" s="2890"/>
      <c r="K1" s="2924" t="s">
        <v>454</v>
      </c>
      <c r="L1" s="2924"/>
      <c r="M1" s="2924"/>
      <c r="N1" s="2924"/>
      <c r="O1" s="2924"/>
      <c r="P1" s="2924"/>
      <c r="Q1" s="2890"/>
      <c r="R1" s="3518" t="s">
        <v>456</v>
      </c>
      <c r="S1" s="3519"/>
      <c r="T1" s="3519"/>
      <c r="U1" s="3519"/>
      <c r="V1" s="3519"/>
      <c r="W1" s="3519"/>
      <c r="X1" s="2890"/>
      <c r="Y1" s="3518" t="s">
        <v>457</v>
      </c>
      <c r="Z1" s="3519"/>
      <c r="AA1" s="3519"/>
      <c r="AB1" s="3519"/>
      <c r="AC1" s="3519"/>
      <c r="AD1" s="3519"/>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035" t="s">
        <v>3376</v>
      </c>
      <c r="B5" s="2026">
        <v>2025</v>
      </c>
      <c r="C5" s="2037">
        <v>1</v>
      </c>
      <c r="D5" s="2002">
        <v>0</v>
      </c>
      <c r="E5" s="2002">
        <v>0</v>
      </c>
      <c r="F5" s="2002">
        <v>0</v>
      </c>
      <c r="G5" s="2002">
        <v>0</v>
      </c>
      <c r="H5" s="2002">
        <v>0</v>
      </c>
      <c r="I5" s="2003">
        <f t="shared" ref="I5" si="4">F5</f>
        <v>0</v>
      </c>
      <c r="J5" s="2900"/>
      <c r="K5" s="2038">
        <f t="shared" ref="K5" si="5">D5/100</f>
        <v>0</v>
      </c>
      <c r="L5" s="2023">
        <f t="shared" ref="L5" si="6">E5/100</f>
        <v>0</v>
      </c>
      <c r="M5" s="2023">
        <f t="shared" ref="M5" si="7">F5/100</f>
        <v>0</v>
      </c>
      <c r="N5" s="2023">
        <f t="shared" ref="N5" si="8">G5/100</f>
        <v>0</v>
      </c>
      <c r="O5" s="2023">
        <f t="shared" ref="O5" si="9">H5/100</f>
        <v>0</v>
      </c>
      <c r="P5" s="2023">
        <f>M5</f>
        <v>0</v>
      </c>
      <c r="Q5" s="2900"/>
      <c r="R5" s="2022">
        <f>ROUND(IF(项目基本情况!$B$8="出让",SUMPRODUCT(PRODUCT(1+K5:$K$21)),SUMPRODUCT(PRODUCT(1+K5:$K$20))),4)</f>
        <v>1.0620000000000001</v>
      </c>
      <c r="S5" s="2022">
        <f>ROUND(IF(项目基本情况!$B$8="出让",SUMPRODUCT(PRODUCT(1+L5:$L$21)),SUMPRODUCT(PRODUCT(1+L5:$L$20))),4)</f>
        <v>1.0448</v>
      </c>
      <c r="T5" s="2022">
        <f>ROUND(IF(项目基本情况!$B$8="出让",SUMPRODUCT(PRODUCT(1+M5:$M$21)),SUMPRODUCT(PRODUCT(1+M5:$M$20))),4)</f>
        <v>1.0079</v>
      </c>
      <c r="U5" s="2022">
        <f>ROUND(IF(项目基本情况!$B$8="出让",SUMPRODUCT(PRODUCT(1+N5:$N$21)),SUMPRODUCT(PRODUCT(1+N5:$N$20))),4)</f>
        <v>1.0672999999999999</v>
      </c>
      <c r="V5" s="2022">
        <f>ROUND(IF(项目基本情况!$B$8="出让",SUMPRODUCT(PRODUCT(1+O5:$O$21)),SUMPRODUCT(PRODUCT(1+O5:$O$20))),4)</f>
        <v>1.0818000000000001</v>
      </c>
      <c r="W5" s="2022">
        <f>T5</f>
        <v>1.0079</v>
      </c>
      <c r="X5" s="2900"/>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910" customFormat="1" ht="12.75">
      <c r="A6" s="2901" t="s">
        <v>3385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0" customFormat="1" ht="12.75">
      <c r="A7" s="2035" t="s">
        <v>3384</v>
      </c>
      <c r="B7" s="2026">
        <v>2024</v>
      </c>
      <c r="C7" s="2037">
        <v>3</v>
      </c>
      <c r="D7" s="2002">
        <v>-1.19</v>
      </c>
      <c r="E7" s="2002">
        <v>-0.47</v>
      </c>
      <c r="F7" s="2002">
        <v>-0.28999999999999998</v>
      </c>
      <c r="G7" s="2002">
        <v>-0.74</v>
      </c>
      <c r="H7" s="2002">
        <v>-0.21</v>
      </c>
      <c r="I7" s="2003">
        <f t="shared" ref="I7" si="26">F7</f>
        <v>-0.28999999999999998</v>
      </c>
      <c r="J7" s="2900"/>
      <c r="K7" s="2038">
        <f t="shared" ref="K7" si="27">D7/100</f>
        <v>-1.1899999999999999E-2</v>
      </c>
      <c r="L7" s="2023">
        <f t="shared" ref="L7" si="28">E7/100</f>
        <v>-4.6999999999999993E-3</v>
      </c>
      <c r="M7" s="2023">
        <f t="shared" ref="M7" si="29">F7/100</f>
        <v>-2.8999999999999998E-3</v>
      </c>
      <c r="N7" s="2023">
        <f t="shared" ref="N7" si="30">G7/100</f>
        <v>-7.4000000000000003E-3</v>
      </c>
      <c r="O7" s="2023">
        <f t="shared" ref="O7" si="31">H7/100</f>
        <v>-2.0999999999999999E-3</v>
      </c>
      <c r="P7" s="2023">
        <f>M7</f>
        <v>-2.8999999999999998E-3</v>
      </c>
      <c r="Q7" s="2900"/>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T7</f>
        <v>1.0079</v>
      </c>
      <c r="X7" s="2900"/>
      <c r="Y7" s="2023">
        <f>IF(D7=0,0,ROUND(AVERAGE(D7:D20)/100,4))</f>
        <v>4.3E-3</v>
      </c>
      <c r="Z7" s="2023">
        <f t="shared" ref="Z7" si="32">IF(E7=0,0,ROUND(AVERAGE(E7:E20)/100,4))</f>
        <v>3.0999999999999999E-3</v>
      </c>
      <c r="AA7" s="2023">
        <f t="shared" ref="AA7" si="33">IF(F7=0,0,ROUND(AVERAGE(F7:F20)/100,4))</f>
        <v>5.9999999999999995E-4</v>
      </c>
      <c r="AB7" s="2023">
        <f t="shared" ref="AB7" si="34">IF(G7=0,0,ROUND(AVERAGE(G7:G20)/100,4))</f>
        <v>4.7000000000000002E-3</v>
      </c>
      <c r="AC7" s="2023">
        <f t="shared" ref="AC7" si="35">IF(H7=0,0,ROUND(AVERAGE(H7:H20)/100,4))</f>
        <v>5.5999999999999999E-3</v>
      </c>
      <c r="AD7" s="2023">
        <f t="shared" ref="AD7" si="36">AA7</f>
        <v>5.9999999999999995E-4</v>
      </c>
    </row>
    <row r="8" spans="1:30" s="2040" customFormat="1" ht="12.75">
      <c r="A8" s="2899" t="s">
        <v>3377</v>
      </c>
      <c r="B8" s="2026">
        <v>2024</v>
      </c>
      <c r="C8" s="2037">
        <v>2</v>
      </c>
      <c r="D8" s="2002">
        <v>-0.59</v>
      </c>
      <c r="E8" s="2002">
        <v>-0.21</v>
      </c>
      <c r="F8" s="2002">
        <v>-1.38</v>
      </c>
      <c r="G8" s="2002">
        <v>-1.24</v>
      </c>
      <c r="H8" s="2911">
        <v>0.34</v>
      </c>
      <c r="I8" s="2003">
        <f t="shared" ref="I8:I21" si="37">F8</f>
        <v>-1.38</v>
      </c>
      <c r="J8" s="2900"/>
      <c r="K8" s="2038">
        <f t="shared" ref="K8:O21" si="38">D8/100</f>
        <v>-5.8999999999999999E-3</v>
      </c>
      <c r="L8" s="2023">
        <f t="shared" si="38"/>
        <v>-2.0999999999999999E-3</v>
      </c>
      <c r="M8" s="2023">
        <f t="shared" si="38"/>
        <v>-1.38E-2</v>
      </c>
      <c r="N8" s="2023">
        <f t="shared" si="38"/>
        <v>-1.24E-2</v>
      </c>
      <c r="O8" s="2023">
        <f t="shared" si="38"/>
        <v>3.4000000000000002E-3</v>
      </c>
      <c r="P8" s="2023">
        <f>M8</f>
        <v>-1.38E-2</v>
      </c>
      <c r="Q8" s="2900"/>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T8</f>
        <v>1.0107999999999999</v>
      </c>
      <c r="X8" s="2900"/>
      <c r="Y8" s="2023">
        <f>IF(D8=0,0,ROUND(AVERAGE(D8:D21)/100,4))</f>
        <v>5.8999999999999999E-3</v>
      </c>
      <c r="Z8" s="2023">
        <f t="shared" ref="Z8:AC8" si="39">IF(E8=0,0,ROUND(AVERAGE(E8:E21)/100,4))</f>
        <v>3.5999999999999999E-3</v>
      </c>
      <c r="AA8" s="2023">
        <f t="shared" si="39"/>
        <v>5.9999999999999995E-4</v>
      </c>
      <c r="AB8" s="2023">
        <f t="shared" si="39"/>
        <v>6.0000000000000001E-3</v>
      </c>
      <c r="AC8" s="2023">
        <f t="shared" si="39"/>
        <v>6.0000000000000001E-3</v>
      </c>
      <c r="AD8" s="2023">
        <f t="shared" ref="AD8:AD20" si="40">AA8</f>
        <v>5.9999999999999995E-4</v>
      </c>
    </row>
    <row r="9" spans="1:30" s="2040" customFormat="1" ht="12.75">
      <c r="A9" s="2899" t="s">
        <v>3373</v>
      </c>
      <c r="B9" s="2026">
        <v>2024</v>
      </c>
      <c r="C9" s="2037">
        <v>1</v>
      </c>
      <c r="D9" s="2002">
        <v>0.08</v>
      </c>
      <c r="E9" s="2002">
        <v>0.46</v>
      </c>
      <c r="F9" s="2002">
        <v>-0.16</v>
      </c>
      <c r="G9" s="2002">
        <v>0.26</v>
      </c>
      <c r="H9" s="2911">
        <v>0.59</v>
      </c>
      <c r="I9" s="2003">
        <v>0</v>
      </c>
      <c r="J9" s="2900"/>
      <c r="K9" s="2038">
        <f t="shared" ref="K9" si="41">D9/100</f>
        <v>8.0000000000000004E-4</v>
      </c>
      <c r="L9" s="2023">
        <f t="shared" ref="L9" si="42">E9/100</f>
        <v>4.5999999999999999E-3</v>
      </c>
      <c r="M9" s="2023">
        <f t="shared" ref="M9" si="43">F9/100</f>
        <v>-1.6000000000000001E-3</v>
      </c>
      <c r="N9" s="2023">
        <f t="shared" ref="N9" si="44">G9/100</f>
        <v>2.5999999999999999E-3</v>
      </c>
      <c r="O9" s="2023">
        <f t="shared" ref="O9" si="45">H9/100</f>
        <v>5.8999999999999999E-3</v>
      </c>
      <c r="P9" s="2023">
        <f t="shared" ref="P9" si="46">M9</f>
        <v>-1.6000000000000001E-3</v>
      </c>
      <c r="Q9" s="2900"/>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ref="W9" si="47">T9</f>
        <v>1.0249999999999999</v>
      </c>
      <c r="X9" s="2900"/>
      <c r="Y9" s="2023"/>
      <c r="Z9" s="2023"/>
      <c r="AA9" s="2023"/>
      <c r="AB9" s="2023"/>
      <c r="AC9" s="2023"/>
      <c r="AD9" s="2023"/>
    </row>
    <row r="10" spans="1:30" s="2040" customFormat="1" ht="12.75">
      <c r="A10" s="2899" t="s">
        <v>3369</v>
      </c>
      <c r="B10" s="2026">
        <v>2023</v>
      </c>
      <c r="C10" s="2037">
        <v>4</v>
      </c>
      <c r="D10" s="2002">
        <v>0.19</v>
      </c>
      <c r="E10" s="2002">
        <v>0.24</v>
      </c>
      <c r="F10" s="2002">
        <v>-0.16</v>
      </c>
      <c r="G10" s="2002">
        <v>0.17</v>
      </c>
      <c r="H10" s="2911">
        <v>0.61</v>
      </c>
      <c r="I10" s="2003">
        <f>F10</f>
        <v>-0.16</v>
      </c>
      <c r="J10" s="2900"/>
      <c r="K10" s="2038">
        <f t="shared" si="38"/>
        <v>1.9E-3</v>
      </c>
      <c r="L10" s="2023">
        <f t="shared" si="38"/>
        <v>2.3999999999999998E-3</v>
      </c>
      <c r="M10" s="2023">
        <f t="shared" si="38"/>
        <v>-1.6000000000000001E-3</v>
      </c>
      <c r="N10" s="2023">
        <f t="shared" si="38"/>
        <v>1.7000000000000001E-3</v>
      </c>
      <c r="O10" s="2023">
        <f t="shared" si="38"/>
        <v>6.0999999999999995E-3</v>
      </c>
      <c r="P10" s="2023">
        <f t="shared" ref="P10" si="48">M10</f>
        <v>-1.6000000000000001E-3</v>
      </c>
      <c r="Q10" s="2900"/>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ref="W10" si="49">T10</f>
        <v>1.0266</v>
      </c>
      <c r="X10" s="2900"/>
      <c r="Y10" s="2023"/>
      <c r="Z10" s="2023"/>
      <c r="AA10" s="2023"/>
      <c r="AB10" s="2023"/>
      <c r="AC10" s="2023"/>
      <c r="AD10" s="2023"/>
    </row>
    <row r="11" spans="1:30" s="2040" customFormat="1" ht="12.75">
      <c r="A11" s="2899" t="s">
        <v>3368</v>
      </c>
      <c r="B11" s="2026">
        <v>2023</v>
      </c>
      <c r="C11" s="2037">
        <v>3</v>
      </c>
      <c r="D11" s="2002">
        <v>0.25</v>
      </c>
      <c r="E11" s="2002">
        <v>0.5</v>
      </c>
      <c r="F11" s="2002">
        <v>0.31</v>
      </c>
      <c r="G11" s="2002">
        <v>0.21</v>
      </c>
      <c r="H11" s="2911">
        <v>0.43</v>
      </c>
      <c r="I11" s="2003">
        <f t="shared" si="37"/>
        <v>0.31</v>
      </c>
      <c r="J11" s="2900"/>
      <c r="K11" s="2038">
        <f t="shared" ref="K11:K13" si="50">D11/100</f>
        <v>2.5000000000000001E-3</v>
      </c>
      <c r="L11" s="2023">
        <f t="shared" ref="L11:L13" si="51">E11/100</f>
        <v>5.0000000000000001E-3</v>
      </c>
      <c r="M11" s="2023">
        <f t="shared" ref="M11:M13" si="52">F11/100</f>
        <v>3.0999999999999999E-3</v>
      </c>
      <c r="N11" s="2023">
        <f t="shared" ref="N11:N13" si="53">G11/100</f>
        <v>2.0999999999999999E-3</v>
      </c>
      <c r="O11" s="2023">
        <f t="shared" ref="O11:O13" si="54">H11/100</f>
        <v>4.3E-3</v>
      </c>
      <c r="P11" s="2023">
        <f t="shared" ref="P11:P13" si="55">M11</f>
        <v>3.0999999999999999E-3</v>
      </c>
      <c r="Q11" s="2900"/>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ref="W11:W12" si="56">T11</f>
        <v>1.0282</v>
      </c>
      <c r="X11" s="2900"/>
      <c r="Y11" s="2023"/>
      <c r="Z11" s="2023"/>
      <c r="AA11" s="2023"/>
      <c r="AB11" s="2023"/>
      <c r="AC11" s="2023"/>
      <c r="AD11" s="2023"/>
    </row>
    <row r="12" spans="1:30" s="2040" customFormat="1" ht="12.75">
      <c r="A12" s="2899" t="s">
        <v>3366</v>
      </c>
      <c r="B12" s="2026">
        <v>2023</v>
      </c>
      <c r="C12" s="2037">
        <v>2</v>
      </c>
      <c r="D12" s="2002">
        <v>0.91</v>
      </c>
      <c r="E12" s="2002">
        <v>0.66</v>
      </c>
      <c r="F12" s="2002">
        <v>0.47</v>
      </c>
      <c r="G12" s="2002">
        <v>0.96</v>
      </c>
      <c r="H12" s="2911">
        <v>0.71</v>
      </c>
      <c r="I12" s="2003">
        <f t="shared" si="37"/>
        <v>0.47</v>
      </c>
      <c r="J12" s="2900"/>
      <c r="K12" s="2038">
        <f t="shared" si="50"/>
        <v>9.1000000000000004E-3</v>
      </c>
      <c r="L12" s="2023">
        <f t="shared" si="51"/>
        <v>6.6E-3</v>
      </c>
      <c r="M12" s="2023">
        <f t="shared" si="52"/>
        <v>4.6999999999999993E-3</v>
      </c>
      <c r="N12" s="2023">
        <f t="shared" si="53"/>
        <v>9.5999999999999992E-3</v>
      </c>
      <c r="O12" s="2023">
        <f t="shared" si="54"/>
        <v>7.0999999999999995E-3</v>
      </c>
      <c r="P12" s="2023">
        <f t="shared" si="55"/>
        <v>4.6999999999999993E-3</v>
      </c>
      <c r="Q12" s="2900"/>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56"/>
        <v>1.0250999999999999</v>
      </c>
      <c r="X12" s="2900"/>
      <c r="Y12" s="2023"/>
      <c r="Z12" s="2023"/>
      <c r="AA12" s="2023"/>
      <c r="AB12" s="2023"/>
      <c r="AC12" s="2023"/>
      <c r="AD12" s="2023"/>
    </row>
    <row r="13" spans="1:30" s="2040" customFormat="1" ht="12.75">
      <c r="A13" s="2899" t="s">
        <v>3365</v>
      </c>
      <c r="B13" s="2026">
        <v>2023</v>
      </c>
      <c r="C13" s="2037">
        <v>1</v>
      </c>
      <c r="D13" s="2002">
        <v>0.89</v>
      </c>
      <c r="E13" s="2002">
        <v>0.74</v>
      </c>
      <c r="F13" s="2002">
        <v>0.56999999999999995</v>
      </c>
      <c r="G13" s="2002">
        <v>0.92</v>
      </c>
      <c r="H13" s="2911">
        <v>0.5</v>
      </c>
      <c r="I13" s="2003">
        <f t="shared" si="37"/>
        <v>0.56999999999999995</v>
      </c>
      <c r="J13" s="2900"/>
      <c r="K13" s="2038">
        <f t="shared" si="50"/>
        <v>8.8999999999999999E-3</v>
      </c>
      <c r="L13" s="2023">
        <f t="shared" si="51"/>
        <v>7.4000000000000003E-3</v>
      </c>
      <c r="M13" s="2023">
        <f t="shared" si="52"/>
        <v>5.6999999999999993E-3</v>
      </c>
      <c r="N13" s="2023">
        <f t="shared" si="53"/>
        <v>9.1999999999999998E-3</v>
      </c>
      <c r="O13" s="2023">
        <f t="shared" si="54"/>
        <v>5.0000000000000001E-3</v>
      </c>
      <c r="P13" s="2023">
        <f t="shared" si="55"/>
        <v>5.6999999999999993E-3</v>
      </c>
      <c r="Q13" s="2900"/>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57">T13</f>
        <v>1.0203</v>
      </c>
      <c r="X13" s="2900"/>
      <c r="Y13" s="2023"/>
      <c r="Z13" s="2023"/>
      <c r="AA13" s="2023"/>
      <c r="AB13" s="2023"/>
      <c r="AC13" s="2023"/>
      <c r="AD13" s="2023"/>
    </row>
    <row r="14" spans="1:30" s="2040" customFormat="1" ht="12.75">
      <c r="A14" s="2899" t="s">
        <v>3364</v>
      </c>
      <c r="B14" s="2026">
        <v>2022</v>
      </c>
      <c r="C14" s="2037">
        <v>4</v>
      </c>
      <c r="D14" s="2002">
        <v>0.62</v>
      </c>
      <c r="E14" s="2002">
        <v>0.2</v>
      </c>
      <c r="F14" s="2002">
        <v>0.11</v>
      </c>
      <c r="G14" s="2002">
        <v>0.69</v>
      </c>
      <c r="H14" s="2911">
        <v>0.53</v>
      </c>
      <c r="I14" s="2003">
        <f t="shared" si="37"/>
        <v>0.11</v>
      </c>
      <c r="J14" s="2900"/>
      <c r="K14" s="2038">
        <f t="shared" si="38"/>
        <v>6.1999999999999998E-3</v>
      </c>
      <c r="L14" s="2023">
        <f t="shared" si="38"/>
        <v>2E-3</v>
      </c>
      <c r="M14" s="2023">
        <f t="shared" si="38"/>
        <v>1.1000000000000001E-3</v>
      </c>
      <c r="N14" s="2023">
        <f t="shared" si="38"/>
        <v>6.8999999999999999E-3</v>
      </c>
      <c r="O14" s="2023">
        <f t="shared" si="38"/>
        <v>5.3E-3</v>
      </c>
      <c r="P14" s="2023">
        <f t="shared" ref="P14:P21" si="58">M14</f>
        <v>1.1000000000000001E-3</v>
      </c>
      <c r="Q14" s="2900"/>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57"/>
        <v>1.0145</v>
      </c>
      <c r="X14" s="2900"/>
      <c r="Y14" s="2023">
        <f>IF(D14=0,0,ROUND(AVERAGE(D14:D22)/100,4))</f>
        <v>8.0999999999999996E-3</v>
      </c>
      <c r="Z14" s="2023">
        <f t="shared" ref="Z14:AC14" si="59">IF(E14=0,0,ROUND(AVERAGE(E14:E21)/100,4))</f>
        <v>3.3E-3</v>
      </c>
      <c r="AA14" s="2023">
        <f t="shared" si="59"/>
        <v>1.5E-3</v>
      </c>
      <c r="AB14" s="2023">
        <f t="shared" si="59"/>
        <v>8.8999999999999999E-3</v>
      </c>
      <c r="AC14" s="2023">
        <f t="shared" si="59"/>
        <v>6.6E-3</v>
      </c>
      <c r="AD14" s="2023">
        <f t="shared" si="40"/>
        <v>1.5E-3</v>
      </c>
    </row>
    <row r="15" spans="1:30" s="2040" customFormat="1" ht="12.75">
      <c r="A15" s="2899" t="s">
        <v>3362</v>
      </c>
      <c r="B15" s="2026">
        <v>2022</v>
      </c>
      <c r="C15" s="2037">
        <v>3</v>
      </c>
      <c r="D15" s="2002">
        <v>0.66</v>
      </c>
      <c r="E15" s="2002">
        <v>0.32</v>
      </c>
      <c r="F15" s="2002">
        <v>0.23</v>
      </c>
      <c r="G15" s="2002">
        <v>0.72</v>
      </c>
      <c r="H15" s="2911">
        <v>0.63</v>
      </c>
      <c r="I15" s="2003">
        <f t="shared" si="37"/>
        <v>0.23</v>
      </c>
      <c r="J15" s="2900"/>
      <c r="K15" s="2038">
        <f t="shared" si="38"/>
        <v>6.6E-3</v>
      </c>
      <c r="L15" s="2023">
        <f t="shared" si="38"/>
        <v>3.2000000000000002E-3</v>
      </c>
      <c r="M15" s="2023">
        <f t="shared" si="38"/>
        <v>2.3E-3</v>
      </c>
      <c r="N15" s="2023">
        <f t="shared" si="38"/>
        <v>7.1999999999999998E-3</v>
      </c>
      <c r="O15" s="2023">
        <f t="shared" si="38"/>
        <v>6.3E-3</v>
      </c>
      <c r="P15" s="2023">
        <f t="shared" si="58"/>
        <v>2.3E-3</v>
      </c>
      <c r="Q15" s="2900"/>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57"/>
        <v>1.0134000000000001</v>
      </c>
      <c r="X15" s="2900"/>
      <c r="Y15" s="2023">
        <f>IF(D15=0,0,ROUND(AVERAGE(D15:D21)/100,4))</f>
        <v>8.3999999999999995E-3</v>
      </c>
      <c r="Z15" s="2023">
        <f t="shared" ref="Z15:AC15" si="60">IF(E15=0,0,ROUND(AVERAGE(E15:E21)/100,4))</f>
        <v>3.5000000000000001E-3</v>
      </c>
      <c r="AA15" s="2023">
        <f t="shared" si="60"/>
        <v>1.5E-3</v>
      </c>
      <c r="AB15" s="2023">
        <f t="shared" si="60"/>
        <v>9.1999999999999998E-3</v>
      </c>
      <c r="AC15" s="2023">
        <f t="shared" si="60"/>
        <v>6.7999999999999996E-3</v>
      </c>
      <c r="AD15" s="2023">
        <f t="shared" si="40"/>
        <v>1.5E-3</v>
      </c>
    </row>
    <row r="16" spans="1:30" s="2040" customFormat="1" ht="12.75">
      <c r="A16" s="2899" t="s">
        <v>3353</v>
      </c>
      <c r="B16" s="2026">
        <v>2022</v>
      </c>
      <c r="C16" s="2037">
        <v>2</v>
      </c>
      <c r="D16" s="2002">
        <v>0.93</v>
      </c>
      <c r="E16" s="2002">
        <v>0.15</v>
      </c>
      <c r="F16" s="2002">
        <v>0.01</v>
      </c>
      <c r="G16" s="2002">
        <v>1.05</v>
      </c>
      <c r="H16" s="2911">
        <v>1.08</v>
      </c>
      <c r="I16" s="2003">
        <f t="shared" si="37"/>
        <v>0.01</v>
      </c>
      <c r="J16" s="2900"/>
      <c r="K16" s="2038">
        <f t="shared" si="38"/>
        <v>9.300000000000001E-3</v>
      </c>
      <c r="L16" s="2023">
        <f t="shared" si="38"/>
        <v>1.5E-3</v>
      </c>
      <c r="M16" s="2023">
        <f t="shared" si="38"/>
        <v>1E-4</v>
      </c>
      <c r="N16" s="2023">
        <f t="shared" si="38"/>
        <v>1.0500000000000001E-2</v>
      </c>
      <c r="O16" s="2023">
        <f t="shared" si="38"/>
        <v>1.0800000000000001E-2</v>
      </c>
      <c r="P16" s="2023">
        <f t="shared" si="58"/>
        <v>1E-4</v>
      </c>
      <c r="Q16" s="2900"/>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57"/>
        <v>1.0109999999999999</v>
      </c>
      <c r="X16" s="2900"/>
      <c r="Y16" s="2023">
        <f>IF(D16=0,0,ROUND(AVERAGE(D16:D21)/100,4))</f>
        <v>8.6999999999999994E-3</v>
      </c>
      <c r="Z16" s="2023">
        <f t="shared" ref="Z16:AC16" si="61">IF(E16=0,0,ROUND(AVERAGE(E16:E21)/100,4))</f>
        <v>3.5000000000000001E-3</v>
      </c>
      <c r="AA16" s="2023">
        <f t="shared" si="61"/>
        <v>1.4E-3</v>
      </c>
      <c r="AB16" s="2023">
        <f t="shared" si="61"/>
        <v>9.4999999999999998E-3</v>
      </c>
      <c r="AC16" s="2023">
        <f t="shared" si="61"/>
        <v>6.8999999999999999E-3</v>
      </c>
      <c r="AD16" s="2023">
        <f t="shared" si="40"/>
        <v>1.4E-3</v>
      </c>
    </row>
    <row r="17" spans="1:30" s="2040" customFormat="1" ht="12.75">
      <c r="A17" s="2899" t="s">
        <v>2818</v>
      </c>
      <c r="B17" s="2026">
        <v>2022</v>
      </c>
      <c r="C17" s="2037">
        <v>1</v>
      </c>
      <c r="D17" s="2002">
        <v>0.89</v>
      </c>
      <c r="E17" s="2002">
        <v>0.44</v>
      </c>
      <c r="F17" s="2002">
        <v>0.37</v>
      </c>
      <c r="G17" s="2002">
        <v>0.96</v>
      </c>
      <c r="H17" s="2911">
        <v>0.64</v>
      </c>
      <c r="I17" s="2003">
        <f t="shared" si="37"/>
        <v>0.37</v>
      </c>
      <c r="J17" s="2900"/>
      <c r="K17" s="2038">
        <f t="shared" si="38"/>
        <v>8.8999999999999999E-3</v>
      </c>
      <c r="L17" s="2023">
        <f t="shared" si="38"/>
        <v>4.4000000000000003E-3</v>
      </c>
      <c r="M17" s="2023">
        <f t="shared" si="38"/>
        <v>3.7000000000000002E-3</v>
      </c>
      <c r="N17" s="2023">
        <f t="shared" si="38"/>
        <v>9.5999999999999992E-3</v>
      </c>
      <c r="O17" s="2023">
        <f t="shared" si="38"/>
        <v>6.4000000000000003E-3</v>
      </c>
      <c r="P17" s="2023">
        <f t="shared" si="58"/>
        <v>3.7000000000000002E-3</v>
      </c>
      <c r="Q17" s="2900"/>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57"/>
        <v>1.0108999999999999</v>
      </c>
      <c r="X17" s="2900"/>
      <c r="Y17" s="2023">
        <f>IF(D17=0,0,ROUND(AVERAGE(D17:D21)/100,4))</f>
        <v>8.6E-3</v>
      </c>
      <c r="Z17" s="2023">
        <f t="shared" ref="Z17:AC17" si="62">IF(E17=0,0,ROUND(AVERAGE(E17:E21)/100,4))</f>
        <v>3.8999999999999998E-3</v>
      </c>
      <c r="AA17" s="2023">
        <f t="shared" si="62"/>
        <v>1.6999999999999999E-3</v>
      </c>
      <c r="AB17" s="2023">
        <f t="shared" si="62"/>
        <v>9.2999999999999992E-3</v>
      </c>
      <c r="AC17" s="2023">
        <f t="shared" si="62"/>
        <v>6.1000000000000004E-3</v>
      </c>
      <c r="AD17" s="2023">
        <f t="shared" si="40"/>
        <v>1.6999999999999999E-3</v>
      </c>
    </row>
    <row r="18" spans="1:30" s="2040" customFormat="1" ht="12.75">
      <c r="A18" s="2899" t="s">
        <v>2819</v>
      </c>
      <c r="B18" s="2026">
        <v>2021</v>
      </c>
      <c r="C18" s="2037">
        <v>4</v>
      </c>
      <c r="D18" s="2002">
        <v>1.03</v>
      </c>
      <c r="E18" s="2002">
        <v>0.24</v>
      </c>
      <c r="F18" s="2002">
        <v>7.0000000000000007E-2</v>
      </c>
      <c r="G18" s="2002">
        <v>1.17</v>
      </c>
      <c r="H18" s="2911">
        <v>0.55000000000000004</v>
      </c>
      <c r="I18" s="2003">
        <f t="shared" si="37"/>
        <v>7.0000000000000007E-2</v>
      </c>
      <c r="J18" s="2900"/>
      <c r="K18" s="2038">
        <f t="shared" si="38"/>
        <v>1.03E-2</v>
      </c>
      <c r="L18" s="2023">
        <f t="shared" si="38"/>
        <v>2.3999999999999998E-3</v>
      </c>
      <c r="M18" s="2023">
        <f t="shared" si="38"/>
        <v>7.000000000000001E-4</v>
      </c>
      <c r="N18" s="2023">
        <f t="shared" si="38"/>
        <v>1.1699999999999999E-2</v>
      </c>
      <c r="O18" s="2023">
        <f t="shared" si="38"/>
        <v>5.5000000000000005E-3</v>
      </c>
      <c r="P18" s="2023">
        <f t="shared" si="58"/>
        <v>7.000000000000001E-4</v>
      </c>
      <c r="Q18" s="2900"/>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57"/>
        <v>1.0072000000000001</v>
      </c>
      <c r="X18" s="2900"/>
      <c r="Y18" s="2023">
        <f>IF(D18=0,0,ROUND(AVERAGE(D18:D21)/100,4))</f>
        <v>8.5000000000000006E-3</v>
      </c>
      <c r="Z18" s="2023">
        <f t="shared" ref="Z18:AC18" si="63">IF(E18=0,0,ROUND(AVERAGE(E18:E21)/100,4))</f>
        <v>3.8E-3</v>
      </c>
      <c r="AA18" s="2023">
        <f t="shared" si="63"/>
        <v>1.1999999999999999E-3</v>
      </c>
      <c r="AB18" s="2023">
        <f t="shared" si="63"/>
        <v>9.2999999999999992E-3</v>
      </c>
      <c r="AC18" s="2023">
        <f t="shared" si="63"/>
        <v>6.0000000000000001E-3</v>
      </c>
      <c r="AD18" s="2023">
        <f t="shared" si="40"/>
        <v>1.1999999999999999E-3</v>
      </c>
    </row>
    <row r="19" spans="1:30" s="2040" customFormat="1" ht="12.75">
      <c r="A19" s="2899" t="s">
        <v>2820</v>
      </c>
      <c r="B19" s="2026">
        <v>2021</v>
      </c>
      <c r="C19" s="2037">
        <v>3</v>
      </c>
      <c r="D19" s="2002">
        <v>0.47</v>
      </c>
      <c r="E19" s="2002">
        <v>0.41</v>
      </c>
      <c r="F19" s="2002">
        <v>0.24</v>
      </c>
      <c r="G19" s="2002">
        <v>0.48</v>
      </c>
      <c r="H19" s="2911">
        <v>0.48</v>
      </c>
      <c r="I19" s="2003">
        <f t="shared" si="37"/>
        <v>0.24</v>
      </c>
      <c r="J19" s="2900"/>
      <c r="K19" s="2038">
        <f t="shared" si="38"/>
        <v>4.6999999999999993E-3</v>
      </c>
      <c r="L19" s="2023">
        <f t="shared" si="38"/>
        <v>4.0999999999999995E-3</v>
      </c>
      <c r="M19" s="2023">
        <f t="shared" si="38"/>
        <v>2.3999999999999998E-3</v>
      </c>
      <c r="N19" s="2023">
        <f t="shared" si="38"/>
        <v>4.7999999999999996E-3</v>
      </c>
      <c r="O19" s="2023">
        <f t="shared" si="38"/>
        <v>4.7999999999999996E-3</v>
      </c>
      <c r="P19" s="2023">
        <f t="shared" si="58"/>
        <v>2.3999999999999998E-3</v>
      </c>
      <c r="Q19" s="2900"/>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57"/>
        <v>1.0065</v>
      </c>
      <c r="X19" s="2900"/>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40"/>
        <v>1.2999999999999999E-3</v>
      </c>
    </row>
    <row r="20" spans="1:30" s="2040" customFormat="1" ht="12.75">
      <c r="A20" s="2899" t="s">
        <v>2821</v>
      </c>
      <c r="B20" s="2026">
        <v>2021</v>
      </c>
      <c r="C20" s="2037">
        <v>2</v>
      </c>
      <c r="D20" s="2002">
        <v>0.92</v>
      </c>
      <c r="E20" s="2002">
        <v>0.72</v>
      </c>
      <c r="F20" s="2002">
        <v>0.41</v>
      </c>
      <c r="G20" s="2002">
        <v>0.95</v>
      </c>
      <c r="H20" s="2911">
        <v>1.01</v>
      </c>
      <c r="I20" s="2003">
        <f t="shared" si="37"/>
        <v>0.41</v>
      </c>
      <c r="J20" s="2900"/>
      <c r="K20" s="2038">
        <f t="shared" si="38"/>
        <v>9.1999999999999998E-3</v>
      </c>
      <c r="L20" s="2023">
        <f t="shared" si="38"/>
        <v>7.1999999999999998E-3</v>
      </c>
      <c r="M20" s="2023">
        <f t="shared" si="38"/>
        <v>4.0999999999999995E-3</v>
      </c>
      <c r="N20" s="2023">
        <f t="shared" si="38"/>
        <v>9.4999999999999998E-3</v>
      </c>
      <c r="O20" s="2023">
        <f t="shared" si="38"/>
        <v>1.01E-2</v>
      </c>
      <c r="P20" s="2023">
        <f t="shared" si="58"/>
        <v>4.0999999999999995E-3</v>
      </c>
      <c r="Q20" s="2900"/>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57"/>
        <v>1.0041</v>
      </c>
      <c r="X20" s="2900"/>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40"/>
        <v>8.0000000000000004E-4</v>
      </c>
    </row>
    <row r="21" spans="1:30" s="2922" customFormat="1" thickBot="1">
      <c r="A21" s="2912" t="s">
        <v>2822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3383</v>
      </c>
    </row>
    <row r="24" spans="1:30">
      <c r="I24" s="1400" t="s">
        <v>2823</v>
      </c>
    </row>
    <row r="26" spans="1:30" s="2004" customFormat="1" ht="12.75">
      <c r="B26" s="2923" t="s">
        <v>3381</v>
      </c>
      <c r="C26" s="2924"/>
      <c r="D26" s="2924"/>
      <c r="E26" s="2924"/>
      <c r="F26" s="2924"/>
      <c r="G26" s="2924"/>
      <c r="H26" s="2924"/>
      <c r="I26" s="2924"/>
      <c r="J26" s="2890"/>
      <c r="K26" s="2924" t="s">
        <v>2824</v>
      </c>
      <c r="L26" s="2924"/>
      <c r="M26" s="2924"/>
      <c r="N26" s="2924"/>
      <c r="O26" s="2924"/>
      <c r="P26" s="2924"/>
      <c r="Q26" s="2890"/>
      <c r="R26" s="3518" t="s">
        <v>2825</v>
      </c>
      <c r="S26" s="3519"/>
      <c r="T26" s="3519"/>
      <c r="U26" s="3519"/>
      <c r="V26" s="3519"/>
      <c r="W26" s="3519"/>
      <c r="X26" s="2890"/>
      <c r="Y26" s="3518" t="s">
        <v>2826</v>
      </c>
      <c r="Z26" s="3519"/>
      <c r="AA26" s="3519"/>
      <c r="AB26" s="3519"/>
      <c r="AC26" s="3519"/>
      <c r="AD26" s="3519"/>
    </row>
    <row r="27" spans="1:30" s="2005" customFormat="1" ht="14.25" thickBot="1">
      <c r="B27" s="2875"/>
      <c r="C27" s="2876"/>
      <c r="D27" s="2006" t="s">
        <v>2827</v>
      </c>
      <c r="E27" s="2007" t="s">
        <v>2828</v>
      </c>
      <c r="F27" s="2007" t="s">
        <v>2829</v>
      </c>
      <c r="G27" s="2007" t="s">
        <v>2830</v>
      </c>
      <c r="H27" s="2007"/>
      <c r="I27" s="2007" t="s">
        <v>2831</v>
      </c>
      <c r="J27" s="2877"/>
      <c r="K27" s="2006" t="s">
        <v>2827</v>
      </c>
      <c r="L27" s="2007" t="s">
        <v>2828</v>
      </c>
      <c r="M27" s="2007" t="s">
        <v>2829</v>
      </c>
      <c r="N27" s="2007" t="s">
        <v>2830</v>
      </c>
      <c r="O27" s="2007"/>
      <c r="P27" s="2007" t="s">
        <v>2831</v>
      </c>
      <c r="Q27" s="2877"/>
      <c r="R27" s="2006" t="s">
        <v>2827</v>
      </c>
      <c r="S27" s="2007" t="s">
        <v>2828</v>
      </c>
      <c r="T27" s="2007" t="s">
        <v>2829</v>
      </c>
      <c r="U27" s="2007" t="s">
        <v>2830</v>
      </c>
      <c r="V27" s="2007"/>
      <c r="W27" s="2007" t="s">
        <v>2831</v>
      </c>
      <c r="X27" s="2877"/>
      <c r="Y27" s="2006" t="s">
        <v>2827</v>
      </c>
      <c r="Z27" s="2007" t="s">
        <v>2828</v>
      </c>
      <c r="AA27" s="2007" t="s">
        <v>2829</v>
      </c>
      <c r="AB27" s="2007" t="s">
        <v>2830</v>
      </c>
      <c r="AC27" s="2007"/>
      <c r="AD27" s="2007" t="s">
        <v>2831</v>
      </c>
    </row>
    <row r="28" spans="1:30" s="2880" customFormat="1" ht="12.75">
      <c r="A28" s="2878" t="s">
        <v>2832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4" customFormat="1" ht="12.75">
      <c r="B29" s="2020"/>
      <c r="J29" s="2890"/>
      <c r="K29" s="2891"/>
      <c r="L29" s="2892"/>
      <c r="M29" s="2892"/>
      <c r="N29" s="2892"/>
      <c r="O29" s="2892"/>
      <c r="P29" s="2892"/>
      <c r="Q29" s="2890"/>
      <c r="R29" s="2022"/>
      <c r="S29" s="2893"/>
      <c r="T29" s="2894"/>
      <c r="U29" s="2022"/>
      <c r="V29" s="2895"/>
      <c r="W29" s="2022"/>
      <c r="X29" s="2890"/>
      <c r="Y29" s="2023"/>
      <c r="Z29" s="2896"/>
      <c r="AA29" s="2897"/>
      <c r="AB29" s="2023"/>
      <c r="AC29" s="2898"/>
      <c r="AD29" s="2023"/>
    </row>
    <row r="30" spans="1:30" s="2040" customFormat="1" ht="12.75">
      <c r="A30" s="2035" t="s">
        <v>3376</v>
      </c>
      <c r="B30" s="2026">
        <v>2025</v>
      </c>
      <c r="C30" s="2037">
        <v>1</v>
      </c>
      <c r="D30" s="2002"/>
      <c r="E30" s="2002">
        <v>0</v>
      </c>
      <c r="F30" s="2002">
        <v>0</v>
      </c>
      <c r="G30" s="2002">
        <v>0</v>
      </c>
      <c r="H30" s="2002"/>
      <c r="I30" s="2003">
        <f t="shared" ref="I30" si="69">F30</f>
        <v>0</v>
      </c>
      <c r="J30" s="2900"/>
      <c r="K30" s="2038"/>
      <c r="L30" s="2023">
        <f t="shared" ref="L30" si="70">E30/100</f>
        <v>0</v>
      </c>
      <c r="M30" s="2023">
        <f t="shared" ref="M30" si="71">F30/100</f>
        <v>0</v>
      </c>
      <c r="N30" s="2023">
        <f t="shared" ref="N30" si="72">G30/100</f>
        <v>0</v>
      </c>
      <c r="O30" s="2023"/>
      <c r="P30" s="2023">
        <f>M30</f>
        <v>0</v>
      </c>
      <c r="Q30" s="2900"/>
      <c r="R30" s="2022"/>
      <c r="S30" s="2022">
        <f>ROUND(IF(项目基本情况!$B$8="出让",SUMPRODUCT(PRODUCT(1+L30:L$46)),SUMPRODUCT(PRODUCT(1+L30:L$45))),4)</f>
        <v>1.0364</v>
      </c>
      <c r="T30" s="2022">
        <f>ROUND(IF(项目基本情况!$B$8="出让",SUMPRODUCT(PRODUCT(1+M30:M$46)),SUMPRODUCT(PRODUCT(1+M30:M$45))),4)</f>
        <v>1.0244</v>
      </c>
      <c r="U30" s="2022">
        <f>ROUND(IF(项目基本情况!$B$8="出让",SUMPRODUCT(PRODUCT(1+N30:N$46)),SUMPRODUCT(PRODUCT(1+N30:N$45))),4)</f>
        <v>1.048</v>
      </c>
      <c r="V30" s="2022"/>
      <c r="W30" s="2022">
        <f>T30</f>
        <v>1.0244</v>
      </c>
      <c r="X30" s="2900"/>
      <c r="Y30" s="2023"/>
      <c r="Z30" s="2896">
        <f t="shared" ref="Z30" si="73">IF(E30=0,0,ROUND(AVERAGE(E30:E43)/100,4))</f>
        <v>0</v>
      </c>
      <c r="AA30" s="2896">
        <f t="shared" ref="AA30" si="74">IF(F30=0,0,ROUND(AVERAGE(F30:F43)/100,4))</f>
        <v>0</v>
      </c>
      <c r="AB30" s="2896">
        <f t="shared" ref="AB30" si="75">IF(G30=0,0,ROUND(AVERAGE(G30:G43)/100,4))</f>
        <v>0</v>
      </c>
      <c r="AC30" s="2898"/>
      <c r="AD30" s="2023">
        <f>IF(I30=0,0,ROUND(AVERAGE(I30:I43)/100,4))</f>
        <v>0</v>
      </c>
    </row>
    <row r="31" spans="1:30" s="2910" customFormat="1" ht="12.75">
      <c r="A31" s="2901" t="s">
        <v>3378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0" customFormat="1" ht="12.75">
      <c r="A32" s="2035" t="s">
        <v>3371</v>
      </c>
      <c r="B32" s="2026">
        <v>2024</v>
      </c>
      <c r="C32" s="2037">
        <v>3</v>
      </c>
      <c r="D32" s="2002"/>
      <c r="E32" s="2002">
        <v>-0.66</v>
      </c>
      <c r="F32" s="2002">
        <v>-0.52</v>
      </c>
      <c r="G32" s="2002">
        <v>-2.87</v>
      </c>
      <c r="H32" s="2002"/>
      <c r="I32" s="2003">
        <f t="shared" ref="I32" si="83">F32</f>
        <v>-0.52</v>
      </c>
      <c r="J32" s="2900"/>
      <c r="K32" s="2038"/>
      <c r="L32" s="2023">
        <f t="shared" ref="L32" si="84">E32/100</f>
        <v>-6.6E-3</v>
      </c>
      <c r="M32" s="2023">
        <f t="shared" ref="M32" si="85">F32/100</f>
        <v>-5.1999999999999998E-3</v>
      </c>
      <c r="N32" s="2023">
        <f t="shared" ref="N32" si="86">G32/100</f>
        <v>-2.87E-2</v>
      </c>
      <c r="O32" s="2023"/>
      <c r="P32" s="2023">
        <f>M32</f>
        <v>-5.1999999999999998E-3</v>
      </c>
      <c r="Q32" s="2900"/>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T32</f>
        <v>1.0244</v>
      </c>
      <c r="X32" s="2900"/>
      <c r="Y32" s="2023"/>
      <c r="Z32" s="2896">
        <f t="shared" ref="Z32:AB33" si="87">IF(E32=0,0,ROUND(AVERAGE(E32:E45)/100,4))</f>
        <v>2.5999999999999999E-3</v>
      </c>
      <c r="AA32" s="2896">
        <f t="shared" si="87"/>
        <v>1.6999999999999999E-3</v>
      </c>
      <c r="AB32" s="2896">
        <f t="shared" si="87"/>
        <v>3.3999999999999998E-3</v>
      </c>
      <c r="AC32" s="2898"/>
      <c r="AD32" s="2023">
        <f>IF(I32=0,0,ROUND(AVERAGE(I32:I45)/100,4))</f>
        <v>1.6999999999999999E-3</v>
      </c>
    </row>
    <row r="33" spans="1:30" s="2040" customFormat="1" ht="12.75">
      <c r="A33" s="2899" t="s">
        <v>3379</v>
      </c>
      <c r="B33" s="2026">
        <v>2024</v>
      </c>
      <c r="C33" s="2037">
        <v>2</v>
      </c>
      <c r="D33" s="2002"/>
      <c r="E33" s="2002">
        <v>-0.31</v>
      </c>
      <c r="F33" s="2002">
        <v>-0.39</v>
      </c>
      <c r="G33" s="2002">
        <v>1.23</v>
      </c>
      <c r="H33" s="2911"/>
      <c r="I33" s="2003">
        <f t="shared" ref="I33:I46" si="88">F33</f>
        <v>-0.39</v>
      </c>
      <c r="J33" s="2900"/>
      <c r="K33" s="2038"/>
      <c r="L33" s="2023">
        <f t="shared" ref="L33:N46" si="89">E33/100</f>
        <v>-3.0999999999999999E-3</v>
      </c>
      <c r="M33" s="2023">
        <f t="shared" si="89"/>
        <v>-3.9000000000000003E-3</v>
      </c>
      <c r="N33" s="2023">
        <f t="shared" si="89"/>
        <v>1.23E-2</v>
      </c>
      <c r="O33" s="2023"/>
      <c r="P33" s="2023">
        <f>M33</f>
        <v>-3.9000000000000003E-3</v>
      </c>
      <c r="Q33" s="2900"/>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T33</f>
        <v>1.0298</v>
      </c>
      <c r="X33" s="2900"/>
      <c r="Y33" s="2023"/>
      <c r="Z33" s="2896">
        <f t="shared" si="87"/>
        <v>3.3E-3</v>
      </c>
      <c r="AA33" s="2897">
        <f t="shared" si="87"/>
        <v>2.3999999999999998E-3</v>
      </c>
      <c r="AB33" s="2023">
        <f t="shared" si="87"/>
        <v>6.1999999999999998E-3</v>
      </c>
      <c r="AC33" s="2898"/>
      <c r="AD33" s="2023">
        <f>IF(I33=0,0,ROUND(AVERAGE(I33:I46)/100,4))</f>
        <v>2.3999999999999998E-3</v>
      </c>
    </row>
    <row r="34" spans="1:30" s="2040" customFormat="1" ht="12.75">
      <c r="A34" s="2899" t="s">
        <v>3372</v>
      </c>
      <c r="B34" s="2026">
        <v>2024</v>
      </c>
      <c r="C34" s="2037">
        <v>1</v>
      </c>
      <c r="D34" s="2002"/>
      <c r="E34" s="2002">
        <v>0.25</v>
      </c>
      <c r="F34" s="2002">
        <v>0.4</v>
      </c>
      <c r="G34" s="2002">
        <v>-0.63</v>
      </c>
      <c r="H34" s="2911"/>
      <c r="I34" s="2003">
        <f t="shared" ref="I34:I35" si="90">F34</f>
        <v>0.4</v>
      </c>
      <c r="J34" s="2900"/>
      <c r="K34" s="2038"/>
      <c r="L34" s="2023">
        <f t="shared" ref="L34" si="91">E34/100</f>
        <v>2.5000000000000001E-3</v>
      </c>
      <c r="M34" s="2023">
        <f t="shared" ref="M34" si="92">F34/100</f>
        <v>4.0000000000000001E-3</v>
      </c>
      <c r="N34" s="2023">
        <f t="shared" ref="N34" si="93">G34/100</f>
        <v>-6.3E-3</v>
      </c>
      <c r="O34" s="2023"/>
      <c r="P34" s="2023">
        <f t="shared" ref="P34" si="94">M34</f>
        <v>4.0000000000000001E-3</v>
      </c>
      <c r="Q34" s="2900"/>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ref="W34" si="95">T34</f>
        <v>1.0338000000000001</v>
      </c>
      <c r="X34" s="2900"/>
      <c r="Y34" s="2023"/>
      <c r="Z34" s="2896"/>
      <c r="AA34" s="2897"/>
      <c r="AB34" s="2023"/>
      <c r="AC34" s="2898"/>
      <c r="AD34" s="2023"/>
    </row>
    <row r="35" spans="1:30" s="2040" customFormat="1" ht="12.75">
      <c r="A35" s="2899" t="s">
        <v>3370</v>
      </c>
      <c r="B35" s="2026">
        <v>2023</v>
      </c>
      <c r="C35" s="2037">
        <v>4</v>
      </c>
      <c r="D35" s="2002"/>
      <c r="E35" s="2002">
        <v>7.0000000000000007E-2</v>
      </c>
      <c r="F35" s="2002">
        <v>0.09</v>
      </c>
      <c r="G35" s="2002">
        <v>0.03</v>
      </c>
      <c r="H35" s="2911"/>
      <c r="I35" s="2003">
        <f t="shared" si="90"/>
        <v>0.09</v>
      </c>
      <c r="J35" s="2900"/>
      <c r="K35" s="2038"/>
      <c r="L35" s="2023">
        <f t="shared" si="89"/>
        <v>7.000000000000001E-4</v>
      </c>
      <c r="M35" s="2023">
        <f t="shared" si="89"/>
        <v>8.9999999999999998E-4</v>
      </c>
      <c r="N35" s="2023">
        <f t="shared" si="89"/>
        <v>2.9999999999999997E-4</v>
      </c>
      <c r="O35" s="2023"/>
      <c r="P35" s="2023">
        <f t="shared" ref="P35" si="96">M35</f>
        <v>8.9999999999999998E-4</v>
      </c>
      <c r="Q35" s="2900"/>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ref="W35" si="97">T35</f>
        <v>1.0297000000000001</v>
      </c>
      <c r="X35" s="2900"/>
      <c r="Y35" s="2023"/>
      <c r="Z35" s="2896"/>
      <c r="AA35" s="2897"/>
      <c r="AB35" s="2023"/>
      <c r="AC35" s="2898"/>
      <c r="AD35" s="2023"/>
    </row>
    <row r="36" spans="1:30" s="2040" customFormat="1" ht="12.75">
      <c r="A36" s="2899" t="s">
        <v>3368</v>
      </c>
      <c r="B36" s="2026">
        <v>2023</v>
      </c>
      <c r="C36" s="2037">
        <v>3</v>
      </c>
      <c r="D36" s="2002"/>
      <c r="E36" s="2002">
        <v>0.35</v>
      </c>
      <c r="F36" s="2002">
        <v>0.17</v>
      </c>
      <c r="G36" s="2002">
        <v>0.52</v>
      </c>
      <c r="H36" s="2911"/>
      <c r="I36" s="2003">
        <f t="shared" si="88"/>
        <v>0.17</v>
      </c>
      <c r="J36" s="2900"/>
      <c r="K36" s="2038"/>
      <c r="L36" s="2023">
        <f t="shared" ref="L36:L38" si="98">E36/100</f>
        <v>3.4999999999999996E-3</v>
      </c>
      <c r="M36" s="2023">
        <f t="shared" ref="M36:M38" si="99">F36/100</f>
        <v>1.7000000000000001E-3</v>
      </c>
      <c r="N36" s="2023">
        <f t="shared" ref="N36:N38" si="100">G36/100</f>
        <v>5.1999999999999998E-3</v>
      </c>
      <c r="O36" s="2023"/>
      <c r="P36" s="2023">
        <f t="shared" ref="P36:P38" si="101">M36</f>
        <v>1.7000000000000001E-3</v>
      </c>
      <c r="Q36" s="2900"/>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ref="W36:W38" si="102">T36</f>
        <v>1.0286999999999999</v>
      </c>
      <c r="X36" s="2900"/>
      <c r="Y36" s="2023"/>
      <c r="Z36" s="2896"/>
      <c r="AA36" s="2897"/>
      <c r="AB36" s="2023"/>
      <c r="AC36" s="2898"/>
      <c r="AD36" s="2023"/>
    </row>
    <row r="37" spans="1:30" s="2040" customFormat="1" ht="12.75">
      <c r="A37" s="2899" t="s">
        <v>3367</v>
      </c>
      <c r="B37" s="2026">
        <v>2023</v>
      </c>
      <c r="C37" s="2037">
        <v>2</v>
      </c>
      <c r="D37" s="2002"/>
      <c r="E37" s="2002">
        <v>0.5</v>
      </c>
      <c r="F37" s="2002">
        <v>0.45</v>
      </c>
      <c r="G37" s="2002">
        <v>0.89</v>
      </c>
      <c r="H37" s="2911"/>
      <c r="I37" s="2003">
        <f t="shared" si="88"/>
        <v>0.45</v>
      </c>
      <c r="J37" s="2900"/>
      <c r="K37" s="2038"/>
      <c r="L37" s="2023">
        <f t="shared" si="98"/>
        <v>5.0000000000000001E-3</v>
      </c>
      <c r="M37" s="2023">
        <f t="shared" si="99"/>
        <v>4.5000000000000005E-3</v>
      </c>
      <c r="N37" s="2023">
        <f t="shared" si="100"/>
        <v>8.8999999999999999E-3</v>
      </c>
      <c r="O37" s="2023"/>
      <c r="P37" s="2023">
        <f t="shared" si="101"/>
        <v>4.5000000000000005E-3</v>
      </c>
      <c r="Q37" s="2900"/>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02"/>
        <v>1.0269999999999999</v>
      </c>
      <c r="X37" s="2900"/>
      <c r="Y37" s="2023"/>
      <c r="Z37" s="2896"/>
      <c r="AA37" s="2897"/>
      <c r="AB37" s="2023"/>
      <c r="AC37" s="2898"/>
      <c r="AD37" s="2023"/>
    </row>
    <row r="38" spans="1:30" s="2040" customFormat="1" ht="12.75">
      <c r="A38" s="2899" t="s">
        <v>3365</v>
      </c>
      <c r="B38" s="2026">
        <v>2023</v>
      </c>
      <c r="C38" s="2037">
        <v>1</v>
      </c>
      <c r="D38" s="2002"/>
      <c r="E38" s="2002">
        <v>0.55000000000000004</v>
      </c>
      <c r="F38" s="2002">
        <v>0.59</v>
      </c>
      <c r="G38" s="2002">
        <v>0.64</v>
      </c>
      <c r="H38" s="2911"/>
      <c r="I38" s="2003">
        <f t="shared" si="88"/>
        <v>0.59</v>
      </c>
      <c r="J38" s="2900"/>
      <c r="K38" s="2038"/>
      <c r="L38" s="2023">
        <f t="shared" si="98"/>
        <v>5.5000000000000005E-3</v>
      </c>
      <c r="M38" s="2023">
        <f t="shared" si="99"/>
        <v>5.8999999999999999E-3</v>
      </c>
      <c r="N38" s="2023">
        <f t="shared" si="100"/>
        <v>6.4000000000000003E-3</v>
      </c>
      <c r="O38" s="2023"/>
      <c r="P38" s="2023">
        <f t="shared" si="101"/>
        <v>5.8999999999999999E-3</v>
      </c>
      <c r="Q38" s="2900"/>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02"/>
        <v>1.0224</v>
      </c>
      <c r="X38" s="2900"/>
      <c r="Y38" s="2023"/>
      <c r="Z38" s="2896"/>
      <c r="AA38" s="2897"/>
      <c r="AB38" s="2023"/>
      <c r="AC38" s="2898"/>
      <c r="AD38" s="2023"/>
    </row>
    <row r="39" spans="1:30" s="2040" customFormat="1" ht="12.75">
      <c r="A39" s="2899" t="s">
        <v>3364</v>
      </c>
      <c r="B39" s="2026">
        <v>2022</v>
      </c>
      <c r="C39" s="2037">
        <v>4</v>
      </c>
      <c r="D39" s="2002"/>
      <c r="E39" s="2002">
        <v>0.45</v>
      </c>
      <c r="F39" s="2002">
        <v>0.2</v>
      </c>
      <c r="G39" s="2002">
        <v>0.38</v>
      </c>
      <c r="H39" s="2911"/>
      <c r="I39" s="2003">
        <f t="shared" si="88"/>
        <v>0.2</v>
      </c>
      <c r="J39" s="2900"/>
      <c r="K39" s="2038"/>
      <c r="L39" s="2023">
        <f t="shared" si="89"/>
        <v>4.5000000000000005E-3</v>
      </c>
      <c r="M39" s="2023">
        <f t="shared" si="89"/>
        <v>2E-3</v>
      </c>
      <c r="N39" s="2023">
        <f t="shared" si="89"/>
        <v>3.8E-3</v>
      </c>
      <c r="O39" s="2023"/>
      <c r="P39" s="2023">
        <f t="shared" ref="P39:P46" si="103">M39</f>
        <v>2E-3</v>
      </c>
      <c r="Q39" s="2900"/>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04">T39</f>
        <v>1.0164</v>
      </c>
      <c r="X39" s="2900"/>
      <c r="Y39" s="2023"/>
      <c r="Z39" s="2896">
        <f t="shared" ref="Z39:AD46" si="105">IF(E39=0,0,ROUND(AVERAGE(E39:E47)/100,4))</f>
        <v>4.0000000000000001E-3</v>
      </c>
      <c r="AA39" s="2897">
        <f t="shared" si="105"/>
        <v>2.5999999999999999E-3</v>
      </c>
      <c r="AB39" s="2023">
        <f t="shared" si="105"/>
        <v>7.4000000000000003E-3</v>
      </c>
      <c r="AC39" s="2898"/>
      <c r="AD39" s="2023">
        <f t="shared" si="105"/>
        <v>2.5999999999999999E-3</v>
      </c>
    </row>
    <row r="40" spans="1:30" s="2040" customFormat="1" ht="12.75">
      <c r="A40" s="2899" t="s">
        <v>3363</v>
      </c>
      <c r="B40" s="2026">
        <v>2022</v>
      </c>
      <c r="C40" s="2037">
        <v>3</v>
      </c>
      <c r="D40" s="2002"/>
      <c r="E40" s="2002">
        <v>0.3</v>
      </c>
      <c r="F40" s="2002">
        <v>0.28999999999999998</v>
      </c>
      <c r="G40" s="2002">
        <v>0.83</v>
      </c>
      <c r="H40" s="2911"/>
      <c r="I40" s="2003">
        <f t="shared" si="88"/>
        <v>0.28999999999999998</v>
      </c>
      <c r="J40" s="2900"/>
      <c r="K40" s="2038"/>
      <c r="L40" s="2023">
        <f t="shared" si="89"/>
        <v>3.0000000000000001E-3</v>
      </c>
      <c r="M40" s="2023">
        <f t="shared" si="89"/>
        <v>2.8999999999999998E-3</v>
      </c>
      <c r="N40" s="2023">
        <f t="shared" si="89"/>
        <v>8.3000000000000001E-3</v>
      </c>
      <c r="O40" s="2023"/>
      <c r="P40" s="2023">
        <f t="shared" si="103"/>
        <v>2.8999999999999998E-3</v>
      </c>
      <c r="Q40" s="2900"/>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04"/>
        <v>1.0144</v>
      </c>
      <c r="X40" s="2900"/>
      <c r="Y40" s="2023"/>
      <c r="Z40" s="2896">
        <f t="shared" si="105"/>
        <v>3.8999999999999998E-3</v>
      </c>
      <c r="AA40" s="2897">
        <f t="shared" si="105"/>
        <v>2.7000000000000001E-3</v>
      </c>
      <c r="AB40" s="2023">
        <f t="shared" si="105"/>
        <v>7.9000000000000008E-3</v>
      </c>
      <c r="AC40" s="2898"/>
      <c r="AD40" s="2023">
        <f t="shared" si="105"/>
        <v>2.7000000000000001E-3</v>
      </c>
    </row>
    <row r="41" spans="1:30" s="2040" customFormat="1" ht="12.75">
      <c r="A41" s="2899" t="s">
        <v>3353</v>
      </c>
      <c r="B41" s="2026">
        <v>2022</v>
      </c>
      <c r="C41" s="2037">
        <v>2</v>
      </c>
      <c r="D41" s="2002"/>
      <c r="E41" s="2002">
        <v>-0.11</v>
      </c>
      <c r="F41" s="2002">
        <v>-0.13</v>
      </c>
      <c r="G41" s="2002">
        <v>0.53</v>
      </c>
      <c r="H41" s="2911"/>
      <c r="I41" s="2003">
        <f t="shared" si="88"/>
        <v>-0.13</v>
      </c>
      <c r="J41" s="2900"/>
      <c r="K41" s="2038"/>
      <c r="L41" s="2023">
        <f t="shared" si="89"/>
        <v>-1.1000000000000001E-3</v>
      </c>
      <c r="M41" s="2023">
        <f t="shared" si="89"/>
        <v>-1.2999999999999999E-3</v>
      </c>
      <c r="N41" s="2023">
        <f t="shared" si="89"/>
        <v>5.3E-3</v>
      </c>
      <c r="O41" s="2023"/>
      <c r="P41" s="2023">
        <f t="shared" si="103"/>
        <v>-1.2999999999999999E-3</v>
      </c>
      <c r="Q41" s="2900"/>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04"/>
        <v>1.0114000000000001</v>
      </c>
      <c r="X41" s="2900"/>
      <c r="Y41" s="2023"/>
      <c r="Z41" s="2896">
        <f t="shared" si="105"/>
        <v>4.1000000000000003E-3</v>
      </c>
      <c r="AA41" s="2897">
        <f t="shared" si="105"/>
        <v>2.7000000000000001E-3</v>
      </c>
      <c r="AB41" s="2023">
        <f t="shared" si="105"/>
        <v>7.9000000000000008E-3</v>
      </c>
      <c r="AC41" s="2898"/>
      <c r="AD41" s="2023">
        <f t="shared" si="105"/>
        <v>2.7000000000000001E-3</v>
      </c>
    </row>
    <row r="42" spans="1:30" s="2040" customFormat="1" ht="12.75">
      <c r="A42" s="2899" t="s">
        <v>2833</v>
      </c>
      <c r="B42" s="2026">
        <v>2022</v>
      </c>
      <c r="C42" s="2037">
        <v>1</v>
      </c>
      <c r="D42" s="2002"/>
      <c r="E42" s="2002">
        <v>0.6</v>
      </c>
      <c r="F42" s="2002">
        <v>0.45</v>
      </c>
      <c r="G42" s="2002">
        <v>0.53</v>
      </c>
      <c r="H42" s="2911"/>
      <c r="I42" s="2003">
        <f t="shared" si="88"/>
        <v>0.45</v>
      </c>
      <c r="J42" s="2900"/>
      <c r="K42" s="2038"/>
      <c r="L42" s="2023">
        <f t="shared" si="89"/>
        <v>6.0000000000000001E-3</v>
      </c>
      <c r="M42" s="2023">
        <f t="shared" si="89"/>
        <v>4.5000000000000005E-3</v>
      </c>
      <c r="N42" s="2023">
        <f t="shared" si="89"/>
        <v>5.3E-3</v>
      </c>
      <c r="O42" s="2023"/>
      <c r="P42" s="2023">
        <f t="shared" si="103"/>
        <v>4.5000000000000005E-3</v>
      </c>
      <c r="Q42" s="2900"/>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04"/>
        <v>1.0127999999999999</v>
      </c>
      <c r="X42" s="2900"/>
      <c r="Y42" s="2023"/>
      <c r="Z42" s="2896">
        <f t="shared" si="105"/>
        <v>5.1000000000000004E-3</v>
      </c>
      <c r="AA42" s="2897">
        <f t="shared" si="105"/>
        <v>3.5000000000000001E-3</v>
      </c>
      <c r="AB42" s="2023">
        <f t="shared" si="105"/>
        <v>8.3999999999999995E-3</v>
      </c>
      <c r="AC42" s="2898"/>
      <c r="AD42" s="2023">
        <f t="shared" si="105"/>
        <v>3.5000000000000001E-3</v>
      </c>
    </row>
    <row r="43" spans="1:30" s="2040" customFormat="1" ht="12.75">
      <c r="A43" s="2899" t="s">
        <v>2834</v>
      </c>
      <c r="B43" s="2026">
        <v>2021</v>
      </c>
      <c r="C43" s="2037">
        <v>4</v>
      </c>
      <c r="D43" s="2002"/>
      <c r="E43" s="2002">
        <v>0.57999999999999996</v>
      </c>
      <c r="F43" s="2002">
        <v>0.08</v>
      </c>
      <c r="G43" s="2002">
        <v>0.68</v>
      </c>
      <c r="H43" s="2911"/>
      <c r="I43" s="2003">
        <f t="shared" si="88"/>
        <v>0.08</v>
      </c>
      <c r="J43" s="2900"/>
      <c r="K43" s="2038"/>
      <c r="L43" s="2023">
        <f t="shared" si="89"/>
        <v>5.7999999999999996E-3</v>
      </c>
      <c r="M43" s="2023">
        <f t="shared" si="89"/>
        <v>8.0000000000000004E-4</v>
      </c>
      <c r="N43" s="2023">
        <f t="shared" si="89"/>
        <v>6.8000000000000005E-3</v>
      </c>
      <c r="O43" s="2023"/>
      <c r="P43" s="2023">
        <f t="shared" si="103"/>
        <v>8.0000000000000004E-4</v>
      </c>
      <c r="Q43" s="2900"/>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04"/>
        <v>1.0082</v>
      </c>
      <c r="X43" s="2900"/>
      <c r="Y43" s="2023"/>
      <c r="Z43" s="2896">
        <f t="shared" si="105"/>
        <v>4.8999999999999998E-3</v>
      </c>
      <c r="AA43" s="2897">
        <f t="shared" si="105"/>
        <v>3.3E-3</v>
      </c>
      <c r="AB43" s="2023">
        <f t="shared" si="105"/>
        <v>9.1999999999999998E-3</v>
      </c>
      <c r="AC43" s="2898"/>
      <c r="AD43" s="2023">
        <f t="shared" si="105"/>
        <v>3.3E-3</v>
      </c>
    </row>
    <row r="44" spans="1:30" s="2040" customFormat="1" ht="12.75">
      <c r="A44" s="2899" t="s">
        <v>2835</v>
      </c>
      <c r="B44" s="2026">
        <v>2021</v>
      </c>
      <c r="C44" s="2037">
        <v>3</v>
      </c>
      <c r="D44" s="2002"/>
      <c r="E44" s="2002">
        <v>0.47</v>
      </c>
      <c r="F44" s="2002">
        <v>0.28000000000000003</v>
      </c>
      <c r="G44" s="2002">
        <v>0.91</v>
      </c>
      <c r="H44" s="2911"/>
      <c r="I44" s="2003">
        <f t="shared" si="88"/>
        <v>0.28000000000000003</v>
      </c>
      <c r="J44" s="2900"/>
      <c r="K44" s="2038"/>
      <c r="L44" s="2023">
        <f t="shared" si="89"/>
        <v>4.6999999999999993E-3</v>
      </c>
      <c r="M44" s="2023">
        <f t="shared" si="89"/>
        <v>2.8000000000000004E-3</v>
      </c>
      <c r="N44" s="2023">
        <f t="shared" si="89"/>
        <v>9.1000000000000004E-3</v>
      </c>
      <c r="O44" s="2023"/>
      <c r="P44" s="2023">
        <f t="shared" si="103"/>
        <v>2.8000000000000004E-3</v>
      </c>
      <c r="Q44" s="2900"/>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04"/>
        <v>1.0074000000000001</v>
      </c>
      <c r="X44" s="2900"/>
      <c r="Y44" s="2023"/>
      <c r="Z44" s="2896">
        <f t="shared" si="105"/>
        <v>4.5999999999999999E-3</v>
      </c>
      <c r="AA44" s="2897">
        <f t="shared" si="105"/>
        <v>4.1000000000000003E-3</v>
      </c>
      <c r="AB44" s="2023">
        <f t="shared" si="105"/>
        <v>0.01</v>
      </c>
      <c r="AC44" s="2898"/>
      <c r="AD44" s="2023">
        <f t="shared" si="105"/>
        <v>4.1000000000000003E-3</v>
      </c>
    </row>
    <row r="45" spans="1:30" s="2040" customFormat="1" ht="12.75">
      <c r="A45" s="2899" t="s">
        <v>2836</v>
      </c>
      <c r="B45" s="2026">
        <v>2021</v>
      </c>
      <c r="C45" s="2037">
        <v>2</v>
      </c>
      <c r="D45" s="2002"/>
      <c r="E45" s="2002">
        <v>0.55000000000000004</v>
      </c>
      <c r="F45" s="2002">
        <v>0.46</v>
      </c>
      <c r="G45" s="2002">
        <v>1.1000000000000001</v>
      </c>
      <c r="H45" s="2911"/>
      <c r="I45" s="2003">
        <f t="shared" si="88"/>
        <v>0.46</v>
      </c>
      <c r="J45" s="2900"/>
      <c r="K45" s="2038"/>
      <c r="L45" s="2023">
        <f t="shared" si="89"/>
        <v>5.5000000000000005E-3</v>
      </c>
      <c r="M45" s="2023">
        <f t="shared" si="89"/>
        <v>4.5999999999999999E-3</v>
      </c>
      <c r="N45" s="2023">
        <f t="shared" si="89"/>
        <v>1.1000000000000001E-2</v>
      </c>
      <c r="O45" s="2023"/>
      <c r="P45" s="2023">
        <f t="shared" si="103"/>
        <v>4.5999999999999999E-3</v>
      </c>
      <c r="Q45" s="2900"/>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04"/>
        <v>1.0045999999999999</v>
      </c>
      <c r="X45" s="2900"/>
      <c r="Y45" s="2023"/>
      <c r="Z45" s="2896">
        <f t="shared" si="105"/>
        <v>4.4999999999999997E-3</v>
      </c>
      <c r="AA45" s="2897">
        <f t="shared" si="105"/>
        <v>4.7000000000000002E-3</v>
      </c>
      <c r="AB45" s="2023">
        <f t="shared" si="105"/>
        <v>1.04E-2</v>
      </c>
      <c r="AC45" s="2898"/>
      <c r="AD45" s="2023">
        <f t="shared" si="105"/>
        <v>4.7000000000000002E-3</v>
      </c>
    </row>
    <row r="46" spans="1:30" s="2922" customFormat="1" thickBot="1">
      <c r="A46" s="2912" t="s">
        <v>2822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X44" sqref="X44"/>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2114</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2115</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3360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2434</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2311</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2310</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2309</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2306</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2305</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2130</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2128</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2127</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2126</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2124</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2123</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2125</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21">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2121</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21"/>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2120</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21"/>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2113</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28"/>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2111</v>
      </c>
      <c r="B25" s="2044">
        <v>439</v>
      </c>
      <c r="C25" s="2044">
        <v>327</v>
      </c>
      <c r="D25" s="2044">
        <f>C25</f>
        <v>327</v>
      </c>
      <c r="E25" s="2044">
        <v>627</v>
      </c>
      <c r="F25" s="2045">
        <v>283</v>
      </c>
      <c r="G25" s="3524">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2112</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21"/>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21"/>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28"/>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24">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21"/>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21"/>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22"/>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20">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21"/>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21"/>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22"/>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20">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21"/>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21"/>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22"/>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25">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26"/>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26"/>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27"/>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20">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21"/>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21"/>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22"/>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20">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21">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21">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22">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20">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21">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21">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22">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20">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21">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21">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22">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20">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21">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21">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22">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20">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21">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21">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22">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20">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21">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21">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22">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20">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21">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21">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22">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20">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21">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21">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22">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21">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21">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21">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21">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22">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I10" sqref="I10"/>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45614</v>
      </c>
      <c r="D1" s="1212" t="s">
        <v>603</v>
      </c>
      <c r="E1" s="1207">
        <f>'数据-取费表'!B22</f>
        <v>2.5</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9">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44795</v>
      </c>
      <c r="D18" s="1200">
        <v>3.65</v>
      </c>
      <c r="E18" s="1200">
        <v>3.65</v>
      </c>
      <c r="F18" s="1200">
        <v>3.65</v>
      </c>
      <c r="G18" s="1200">
        <v>3.65</v>
      </c>
      <c r="H18" s="1200">
        <v>4.3</v>
      </c>
      <c r="I18" s="1196"/>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0"/>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1195" t="s">
        <v>2307</v>
      </c>
      <c r="C26" s="1202">
        <v>43697</v>
      </c>
      <c r="D26" s="2568">
        <v>4.25</v>
      </c>
      <c r="E26" s="2568">
        <v>4.25</v>
      </c>
      <c r="F26" s="2568">
        <v>4.25</v>
      </c>
      <c r="G26" s="2568">
        <v>4.25</v>
      </c>
      <c r="H26" s="2568">
        <v>4.8499999999999996</v>
      </c>
      <c r="I26" s="2568"/>
      <c r="J26" s="2568"/>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2571"/>
      <c r="C27" s="2572">
        <v>42301</v>
      </c>
      <c r="D27" s="2573">
        <v>4.3499999999999996</v>
      </c>
      <c r="E27" s="2573">
        <v>4.3499999999999996</v>
      </c>
      <c r="F27" s="2573">
        <v>4.75</v>
      </c>
      <c r="G27" s="2573">
        <v>4.75</v>
      </c>
      <c r="H27" s="2573">
        <v>4.9000000000000004</v>
      </c>
      <c r="I27" s="2573"/>
      <c r="J27" s="2573"/>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08"/>
      <c r="B3" s="3208"/>
      <c r="C3" s="3208"/>
      <c r="D3" s="797" t="s">
        <v>925</v>
      </c>
      <c r="E3" s="797" t="s">
        <v>931</v>
      </c>
      <c r="F3" s="797" t="s">
        <v>925</v>
      </c>
      <c r="G3" s="797" t="s">
        <v>926</v>
      </c>
      <c r="H3" s="797" t="s">
        <v>925</v>
      </c>
      <c r="I3" s="797" t="s">
        <v>926</v>
      </c>
    </row>
    <row r="4" spans="1:9" ht="45">
      <c r="A4" s="1398" t="str">
        <f>项目基本情况!S2</f>
        <v>北京市北京经济技术开发区兴海路1号院1号楼-3至6层商业、地下车库用房房地产</v>
      </c>
      <c r="B4" s="797">
        <f>项目基本情况!C17</f>
        <v>154306.03</v>
      </c>
      <c r="C4" s="797">
        <f>项目基本情况!C18</f>
        <v>42276.47</v>
      </c>
      <c r="D4" s="797">
        <f ca="1">结果表!D118</f>
        <v>188767</v>
      </c>
      <c r="E4" s="797">
        <f ca="1">结果表!E118</f>
        <v>12274</v>
      </c>
      <c r="F4" s="797">
        <f ca="1">结果表!F118</f>
        <v>129559</v>
      </c>
      <c r="G4" s="797">
        <f ca="1">结果表!G118</f>
        <v>8424</v>
      </c>
      <c r="H4" s="797">
        <f ca="1">结果表!H118</f>
        <v>318326</v>
      </c>
      <c r="I4" s="797">
        <f ca="1">结果表!I118</f>
        <v>20698</v>
      </c>
    </row>
    <row r="5" spans="1:9" ht="30" customHeight="1">
      <c r="A5" s="3208" t="s">
        <v>927</v>
      </c>
      <c r="B5" s="3208"/>
      <c r="C5" s="3208"/>
      <c r="D5" s="3208" t="str">
        <f ca="1">结果表!D119</f>
        <v>壹拾捌亿捌仟柒佰陆拾柒万元整</v>
      </c>
      <c r="E5" s="3208"/>
      <c r="F5" s="3208" t="str">
        <f ca="1">结果表!F119</f>
        <v>壹拾贰亿玖仟伍佰伍拾玖万元整</v>
      </c>
      <c r="G5" s="3208"/>
      <c r="H5" s="3208" t="str">
        <f ca="1">结果表!H119</f>
        <v>叁拾壹亿捌仟叁佰贰拾陆万元整</v>
      </c>
      <c r="I5" s="3208"/>
    </row>
    <row r="6" spans="1:9" ht="15.75">
      <c r="A6" s="3207" t="str">
        <f>结果表!A120</f>
        <v>估价师知悉的法定优先受偿款</v>
      </c>
      <c r="B6" s="3207"/>
      <c r="C6" s="3207"/>
      <c r="D6" s="3207">
        <f>结果表!D120</f>
        <v>0</v>
      </c>
      <c r="E6" s="3207"/>
      <c r="F6" s="3207"/>
      <c r="G6" s="3207"/>
      <c r="H6" s="3207"/>
      <c r="I6" s="3207"/>
    </row>
    <row r="7" spans="1:9" ht="15">
      <c r="A7" s="3208" t="s">
        <v>927</v>
      </c>
      <c r="B7" s="3208"/>
      <c r="C7" s="3208"/>
      <c r="D7" s="3209" t="str">
        <f>结果表!D121</f>
        <v>零元整</v>
      </c>
      <c r="E7" s="3210"/>
      <c r="F7" s="3210"/>
      <c r="G7" s="3210"/>
      <c r="H7" s="3210"/>
      <c r="I7" s="3211"/>
    </row>
    <row r="8" spans="1:9" ht="15.75">
      <c r="A8" s="3207" t="str">
        <f>结果表!A122</f>
        <v>房地产抵押价值</v>
      </c>
      <c r="B8" s="3207"/>
      <c r="C8" s="3207"/>
      <c r="D8" s="3207">
        <f ca="1">结果表!D122</f>
        <v>318326</v>
      </c>
      <c r="E8" s="3207"/>
      <c r="F8" s="3207"/>
      <c r="G8" s="3207"/>
      <c r="H8" s="3207"/>
      <c r="I8" s="3207"/>
    </row>
    <row r="9" spans="1:9" ht="15">
      <c r="A9" s="3208" t="s">
        <v>927</v>
      </c>
      <c r="B9" s="3208"/>
      <c r="C9" s="3208"/>
      <c r="D9" s="3208" t="str">
        <f ca="1">结果表!D123</f>
        <v>叁拾壹亿捌仟叁佰贰拾陆万元整</v>
      </c>
      <c r="E9" s="3208"/>
      <c r="F9" s="3208"/>
      <c r="G9" s="3208"/>
      <c r="H9" s="3208"/>
      <c r="I9" s="3208"/>
    </row>
    <row r="10" spans="1:9" ht="15.75">
      <c r="A10" s="3207" t="str">
        <f>结果表!A124</f>
        <v/>
      </c>
      <c r="B10" s="3207"/>
      <c r="C10" s="3207"/>
      <c r="D10" s="3207" t="str">
        <f>结果表!D124</f>
        <v>——</v>
      </c>
      <c r="E10" s="3207"/>
      <c r="F10" s="3207"/>
      <c r="G10" s="3207"/>
      <c r="H10" s="3207"/>
      <c r="I10" s="3207"/>
    </row>
    <row r="11" spans="1:9" ht="15">
      <c r="A11" s="3208" t="s">
        <v>927</v>
      </c>
      <c r="B11" s="3208"/>
      <c r="C11" s="3208"/>
      <c r="D11" s="3208" t="e">
        <f>结果表!D125</f>
        <v>#VALUE!</v>
      </c>
      <c r="E11" s="3208"/>
      <c r="F11" s="3208"/>
      <c r="G11" s="3208"/>
      <c r="H11" s="3208"/>
      <c r="I11" s="3208"/>
    </row>
    <row r="12" spans="1:9" ht="15.75">
      <c r="A12" s="3207" t="str">
        <f>结果表!A126</f>
        <v/>
      </c>
      <c r="B12" s="3207"/>
      <c r="C12" s="3207"/>
      <c r="D12" s="3207" t="str">
        <f>结果表!D126</f>
        <v>——</v>
      </c>
      <c r="E12" s="3207"/>
      <c r="F12" s="3207"/>
      <c r="G12" s="3207"/>
      <c r="H12" s="3207"/>
      <c r="I12" s="3207"/>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20" t="s">
        <v>949</v>
      </c>
      <c r="B1" s="3220"/>
      <c r="C1" s="3220"/>
      <c r="D1" s="3220"/>
    </row>
    <row r="2" spans="1:4" ht="18">
      <c r="A2" s="3221" t="s">
        <v>933</v>
      </c>
      <c r="B2" s="3221"/>
      <c r="C2" s="3221"/>
      <c r="D2" s="3221"/>
    </row>
    <row r="3" spans="1:4" ht="18.75">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吴薇</v>
      </c>
      <c r="B5" s="1404">
        <f ca="1">项目基本情况!E4</f>
        <v>1419970001</v>
      </c>
      <c r="C5" s="1407"/>
      <c r="D5" s="1406" t="s">
        <v>938</v>
      </c>
    </row>
    <row r="6" spans="1:4" ht="18">
      <c r="A6" s="3221" t="s">
        <v>939</v>
      </c>
      <c r="B6" s="3221"/>
      <c r="C6" s="3221"/>
      <c r="D6" s="3221"/>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22"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4" t="str">
        <f>IF(项目基本情况!B8="抵押","4.本次评估估价师所知悉的法定优先受偿款情况说明如下：","——")</f>
        <v>4.本次评估估价师所知悉的法定优先受偿款情况说明如下：</v>
      </c>
      <c r="B14" s="3219"/>
      <c r="C14" s="3219"/>
      <c r="D14" s="3219"/>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943</v>
      </c>
      <c r="B16" s="3216"/>
      <c r="C16" s="3216"/>
      <c r="D16" s="3216"/>
    </row>
    <row r="17" spans="1:4" ht="144" customHeight="1">
      <c r="A17" s="3216" t="s">
        <v>944</v>
      </c>
      <c r="B17" s="3216"/>
      <c r="C17" s="3216"/>
      <c r="D17" s="3216"/>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4"/>
      <c r="C20" s="3214"/>
      <c r="D20" s="3214"/>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28" t="s">
        <v>956</v>
      </c>
      <c r="B15" s="3223" t="s">
        <v>109</v>
      </c>
      <c r="C15" s="3224"/>
    </row>
    <row r="16" spans="1:7" ht="13.5">
      <c r="A16" s="3229"/>
      <c r="B16" s="3223" t="s">
        <v>42</v>
      </c>
      <c r="C16" s="3224"/>
    </row>
    <row r="17" spans="1:3" ht="13.5">
      <c r="A17" s="3229"/>
      <c r="B17" s="3226" t="s">
        <v>957</v>
      </c>
      <c r="C17" s="1424" t="s">
        <v>956</v>
      </c>
    </row>
    <row r="18" spans="1:3" ht="13.5">
      <c r="A18" s="3229"/>
      <c r="B18" s="3226"/>
      <c r="C18" s="1424" t="s">
        <v>958</v>
      </c>
    </row>
    <row r="19" spans="1:3" ht="13.5">
      <c r="A19" s="3229"/>
      <c r="B19" s="3226"/>
      <c r="C19" s="1424" t="s">
        <v>959</v>
      </c>
    </row>
    <row r="20" spans="1:3" ht="13.5">
      <c r="A20" s="3230"/>
      <c r="B20" s="3225" t="s">
        <v>960</v>
      </c>
      <c r="C20" s="3224"/>
    </row>
    <row r="21" spans="1:3" ht="13.5">
      <c r="A21" s="1425" t="s">
        <v>961</v>
      </c>
      <c r="B21" s="1426"/>
      <c r="C21" s="1427"/>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4" t="s">
        <v>967</v>
      </c>
    </row>
    <row r="26" spans="1:3" ht="13.5">
      <c r="A26" s="3227"/>
      <c r="B26" s="3226"/>
      <c r="C26" s="1424" t="s">
        <v>968</v>
      </c>
    </row>
    <row r="27" spans="1:3" ht="13.5">
      <c r="A27" s="3227"/>
      <c r="B27" s="3226"/>
      <c r="C27" s="1424" t="s">
        <v>969</v>
      </c>
    </row>
    <row r="28" spans="1:3" ht="13.5">
      <c r="A28" s="3227"/>
      <c r="B28" s="3226"/>
      <c r="C28" s="1424" t="s">
        <v>970</v>
      </c>
    </row>
    <row r="29" spans="1:3" ht="13.5">
      <c r="A29" s="3227"/>
      <c r="B29" s="3226"/>
      <c r="C29" s="1424" t="s">
        <v>971</v>
      </c>
    </row>
    <row r="30" spans="1:3" ht="13.5">
      <c r="A30" s="3227"/>
      <c r="B30" s="3226"/>
      <c r="C30" s="1424" t="s">
        <v>972</v>
      </c>
    </row>
    <row r="31" spans="1:3" ht="13.5">
      <c r="A31" s="3227"/>
      <c r="B31" s="3226"/>
      <c r="C31" s="1424" t="s">
        <v>973</v>
      </c>
    </row>
    <row r="32" spans="1:3" ht="13.5">
      <c r="A32" s="3227"/>
      <c r="B32" s="3226"/>
      <c r="C32" s="1424" t="s">
        <v>974</v>
      </c>
    </row>
    <row r="33" spans="1:3" ht="13.5">
      <c r="A33" s="3227"/>
      <c r="B33" s="3226"/>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2139</v>
      </c>
      <c r="B2" s="2152">
        <f ca="1">TODAY()</f>
        <v>45618</v>
      </c>
      <c r="C2" s="2153" t="s">
        <v>2140</v>
      </c>
      <c r="D2" s="2153"/>
      <c r="E2" s="2153"/>
      <c r="F2" s="2149"/>
      <c r="G2" s="2149"/>
      <c r="H2" s="2149"/>
    </row>
    <row r="3" spans="1:8" ht="24" customHeight="1">
      <c r="A3" s="2154" t="s">
        <v>2141</v>
      </c>
      <c r="B3" s="1214" t="s">
        <v>2142</v>
      </c>
      <c r="C3" s="1214" t="s">
        <v>2143</v>
      </c>
      <c r="D3" s="2155" t="s">
        <v>2144</v>
      </c>
      <c r="E3" s="2156" t="s">
        <v>2145</v>
      </c>
      <c r="F3" s="1214" t="s">
        <v>2146</v>
      </c>
      <c r="G3" s="1214" t="s">
        <v>2143</v>
      </c>
      <c r="H3" s="2155" t="s">
        <v>2147</v>
      </c>
    </row>
    <row r="4" spans="1:8" ht="24" customHeight="1">
      <c r="A4" s="1214" t="s">
        <v>2148</v>
      </c>
      <c r="B4" s="1214">
        <f ca="1">IF(C4&lt;B2,"已过期",1119970066)</f>
        <v>1119970066</v>
      </c>
      <c r="C4" s="2157">
        <v>45937</v>
      </c>
      <c r="D4" s="2158" t="str">
        <f ca="1">A4&amp;"（注册号："&amp;B4&amp;"）"</f>
        <v>梁津（注册号：1119970066）</v>
      </c>
      <c r="E4" s="2159" t="s">
        <v>2148</v>
      </c>
      <c r="F4" s="1214">
        <f ca="1">IF(G4&lt;B2,"已过期",96010014)</f>
        <v>96010014</v>
      </c>
      <c r="G4" s="2160">
        <v>47118</v>
      </c>
      <c r="H4" s="2161" t="str">
        <f ca="1">E4&amp;"（注册号："&amp;F4&amp;"）"</f>
        <v>梁津（注册号：96010014）</v>
      </c>
    </row>
    <row r="5" spans="1:8" ht="24" customHeight="1">
      <c r="A5" s="1214" t="s">
        <v>2149</v>
      </c>
      <c r="B5" s="1214">
        <f ca="1">IF(C5&lt;B2,"已过期",1119970111)</f>
        <v>1119970111</v>
      </c>
      <c r="C5" s="2157">
        <v>45937</v>
      </c>
      <c r="D5" s="2158" t="str">
        <f t="shared" ref="D5:D15" ca="1" si="0">A5&amp;"（注册号："&amp;B5&amp;"）"</f>
        <v>叶凌（注册号：1119970111）</v>
      </c>
      <c r="E5" s="2159" t="s">
        <v>2149</v>
      </c>
      <c r="F5" s="1214">
        <f ca="1">IF(G5&lt;B2,"已过期",94010078)</f>
        <v>94010078</v>
      </c>
      <c r="G5" s="2160">
        <v>46387</v>
      </c>
      <c r="H5" s="2161" t="str">
        <f t="shared" ref="H5:H16" ca="1" si="1">E5&amp;"（注册号："&amp;F5&amp;"）"</f>
        <v>叶凌（注册号：94010078）</v>
      </c>
    </row>
    <row r="6" spans="1:8" ht="24" customHeight="1">
      <c r="A6" s="1214" t="s">
        <v>2150</v>
      </c>
      <c r="B6" s="1214" t="str">
        <f ca="1">IF(C6&lt;B2,"已过期",1120050019)</f>
        <v>已过期</v>
      </c>
      <c r="C6" s="2157">
        <v>45410</v>
      </c>
      <c r="D6" s="2158" t="str">
        <f t="shared" ca="1" si="0"/>
        <v>王鹏（注册号：已过期）</v>
      </c>
      <c r="E6" s="2159" t="s">
        <v>2150</v>
      </c>
      <c r="F6" s="1214">
        <f ca="1">IF(G6&lt;B2,"已过期",2002110030)</f>
        <v>2002110030</v>
      </c>
      <c r="G6" s="2160">
        <v>46387</v>
      </c>
      <c r="H6" s="2161" t="str">
        <f t="shared" ca="1" si="1"/>
        <v>王鹏（注册号：2002110030）</v>
      </c>
    </row>
    <row r="7" spans="1:8" ht="24" customHeight="1">
      <c r="A7" s="1214" t="s">
        <v>2151</v>
      </c>
      <c r="B7" s="1214">
        <f ca="1">IF(C7&lt;B2,"已过期",1120000080)</f>
        <v>1120000080</v>
      </c>
      <c r="C7" s="2157">
        <v>45937</v>
      </c>
      <c r="D7" s="2158" t="str">
        <f t="shared" ca="1" si="0"/>
        <v>欧红伟（注册号：1120000080）</v>
      </c>
      <c r="E7" s="2159" t="s">
        <v>2151</v>
      </c>
      <c r="F7" s="1214">
        <f ca="1">IF(G7&lt;B2,"已过期",2000110082)</f>
        <v>2000110082</v>
      </c>
      <c r="G7" s="2160">
        <v>46387</v>
      </c>
      <c r="H7" s="2161" t="str">
        <f t="shared" ca="1" si="1"/>
        <v>欧红伟（注册号：2000110082）</v>
      </c>
    </row>
    <row r="8" spans="1:8" ht="24" customHeight="1">
      <c r="A8" s="1214" t="s">
        <v>2152</v>
      </c>
      <c r="B8" s="1214">
        <f ca="1">IF(C8&lt;B2,"已过期",1419970001)</f>
        <v>1419970001</v>
      </c>
      <c r="C8" s="2157">
        <v>45937</v>
      </c>
      <c r="D8" s="2158" t="str">
        <f t="shared" ca="1" si="0"/>
        <v>吴薇（注册号：1419970001）</v>
      </c>
      <c r="E8" s="2159" t="s">
        <v>2152</v>
      </c>
      <c r="F8" s="1214">
        <f ca="1">IF(G8&lt;B2,"已过期",2002110125)</f>
        <v>2002110125</v>
      </c>
      <c r="G8" s="2160">
        <v>47118</v>
      </c>
      <c r="H8" s="2161" t="str">
        <f t="shared" ca="1" si="1"/>
        <v>吴薇（注册号：2002110125）</v>
      </c>
    </row>
    <row r="9" spans="1:8" ht="24" customHeight="1">
      <c r="A9" s="1214" t="s">
        <v>2153</v>
      </c>
      <c r="B9" s="1214" t="str">
        <f ca="1">IF(C9&lt;B2,"已过期",1120060040)</f>
        <v>已过期</v>
      </c>
      <c r="C9" s="2162">
        <v>45592</v>
      </c>
      <c r="D9" s="2158" t="str">
        <f t="shared" ca="1" si="0"/>
        <v>陈颖（注册号：已过期）</v>
      </c>
      <c r="E9" s="2159" t="s">
        <v>2153</v>
      </c>
      <c r="F9" s="1214">
        <f ca="1">IF(G9&lt;B2,"已过期",2004110096)</f>
        <v>2004110096</v>
      </c>
      <c r="G9" s="2160">
        <v>47118</v>
      </c>
      <c r="H9" s="2161" t="str">
        <f t="shared" ca="1" si="1"/>
        <v>陈颖（注册号：2004110096）</v>
      </c>
    </row>
    <row r="10" spans="1:8" ht="24" customHeight="1">
      <c r="A10" s="1214" t="s">
        <v>2154</v>
      </c>
      <c r="B10" s="1214">
        <f ca="1">IF(C10&lt;B2,"已过期",1120100036)</f>
        <v>1120100036</v>
      </c>
      <c r="C10" s="2162">
        <v>45752</v>
      </c>
      <c r="D10" s="2158" t="str">
        <f t="shared" ca="1" si="0"/>
        <v>崔锴（注册号：1120100036）</v>
      </c>
      <c r="E10" s="2159" t="s">
        <v>2154</v>
      </c>
      <c r="F10" s="1214">
        <f ca="1">IF(G10&lt;B2,"已过期",2010110070)</f>
        <v>2010110070</v>
      </c>
      <c r="G10" s="2160">
        <v>47907</v>
      </c>
      <c r="H10" s="2161" t="str">
        <f t="shared" ca="1" si="1"/>
        <v>崔锴（注册号：2010110070）</v>
      </c>
    </row>
    <row r="11" spans="1:8" ht="24" customHeight="1">
      <c r="A11" s="1214" t="s">
        <v>2155</v>
      </c>
      <c r="B11" s="1214">
        <f ca="1">IF(C11&lt;B2,"已过期",1120070131)</f>
        <v>1120070131</v>
      </c>
      <c r="C11" s="2157">
        <v>45937</v>
      </c>
      <c r="D11" s="2158" t="str">
        <f t="shared" ca="1" si="0"/>
        <v>郑燚（注册号：1120070131）</v>
      </c>
      <c r="E11" s="2159" t="s">
        <v>2155</v>
      </c>
      <c r="F11" s="1214">
        <f ca="1">IF(G11&lt;B2,"已过期",2014110011)</f>
        <v>2014110011</v>
      </c>
      <c r="G11" s="2160">
        <v>49302</v>
      </c>
      <c r="H11" s="2161" t="str">
        <f t="shared" ca="1" si="1"/>
        <v>郑燚（注册号：2014110011）</v>
      </c>
    </row>
    <row r="12" spans="1:8" ht="24" customHeight="1">
      <c r="A12" s="1214" t="s">
        <v>2156</v>
      </c>
      <c r="B12" s="1214">
        <f ca="1">IF(C12&lt;B2,"已过期",1120040230)</f>
        <v>1120040230</v>
      </c>
      <c r="C12" s="2162">
        <v>45937</v>
      </c>
      <c r="D12" s="2158" t="str">
        <f t="shared" ca="1" si="0"/>
        <v>苏海（注册号：1120040230）</v>
      </c>
      <c r="E12" s="2159" t="s">
        <v>2156</v>
      </c>
      <c r="F12" s="1214">
        <f ca="1">IF(G12&lt;B2,"已过期",98030020)</f>
        <v>98030020</v>
      </c>
      <c r="G12" s="2160">
        <v>47118</v>
      </c>
      <c r="H12" s="2161" t="str">
        <f t="shared" ca="1" si="1"/>
        <v>苏海（注册号：98030020）</v>
      </c>
    </row>
    <row r="13" spans="1:8" ht="24" customHeight="1">
      <c r="A13" s="1214" t="s">
        <v>2157</v>
      </c>
      <c r="B13" s="1214" t="str">
        <f ca="1">IF(C13&lt;B2,"已过期",1120020033)</f>
        <v>已过期</v>
      </c>
      <c r="C13" s="2157">
        <v>45375</v>
      </c>
      <c r="D13" s="2158" t="str">
        <f t="shared" ca="1" si="0"/>
        <v>刘敬东（注册号：已过期）</v>
      </c>
      <c r="E13" s="2159" t="s">
        <v>2157</v>
      </c>
      <c r="F13" s="1214">
        <f ca="1">IF(G13&lt;B2,"已过期",2000110137)</f>
        <v>2000110137</v>
      </c>
      <c r="G13" s="2160">
        <v>46387</v>
      </c>
      <c r="H13" s="2161" t="str">
        <f t="shared" ca="1" si="1"/>
        <v>刘敬东（注册号：2000110137）</v>
      </c>
    </row>
    <row r="14" spans="1:8" ht="24" customHeight="1">
      <c r="A14" s="1214" t="s">
        <v>2158</v>
      </c>
      <c r="B14" s="1214" t="str">
        <f ca="1">IF(C14&lt;B2,"已过期",1119980106)</f>
        <v>已过期</v>
      </c>
      <c r="C14" s="2162">
        <v>44969</v>
      </c>
      <c r="D14" s="2158" t="str">
        <f t="shared" ca="1" si="0"/>
        <v>刘俊财（注册号：已过期）</v>
      </c>
      <c r="E14" s="2159" t="s">
        <v>2158</v>
      </c>
      <c r="F14" s="1214">
        <f ca="1">IF(G14&lt;B2,"已过期",96010063)</f>
        <v>96010063</v>
      </c>
      <c r="G14" s="2160">
        <v>47483</v>
      </c>
      <c r="H14" s="2161" t="str">
        <f t="shared" ca="1" si="1"/>
        <v>刘俊财（注册号：96010063）</v>
      </c>
    </row>
    <row r="15" spans="1:8" ht="24" customHeight="1">
      <c r="A15" s="1214" t="s">
        <v>2435</v>
      </c>
      <c r="B15" s="1214">
        <v>1120210056</v>
      </c>
      <c r="C15" s="2162">
        <v>45410</v>
      </c>
      <c r="D15" s="2158" t="str">
        <f t="shared" si="0"/>
        <v>宁小鳗（注册号：1120210056）</v>
      </c>
      <c r="E15" s="2159" t="s">
        <v>2159</v>
      </c>
      <c r="F15" s="1214">
        <f ca="1">IF(G15&lt;B2,"已过期",2011110090)</f>
        <v>2011110090</v>
      </c>
      <c r="G15" s="2160">
        <v>48302</v>
      </c>
      <c r="H15" s="2161" t="str">
        <f t="shared" ca="1" si="1"/>
        <v>赵雯（注册号：2011110090）</v>
      </c>
    </row>
    <row r="16" spans="1:8" ht="24" customHeight="1">
      <c r="A16" s="1214"/>
      <c r="B16" s="1214"/>
      <c r="C16" s="1214"/>
      <c r="D16" s="2158" t="str">
        <f>A16&amp;"（注册号："&amp;B16&amp;"）"</f>
        <v>（注册号：）</v>
      </c>
      <c r="E16" s="2159"/>
      <c r="F16" s="1214"/>
      <c r="G16" s="1214"/>
      <c r="H16" s="2163"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55"/>
      <c r="E18" s="3233" t="s">
        <v>2162</v>
      </c>
      <c r="F18" s="3232"/>
      <c r="G18" s="3232"/>
    </row>
    <row r="19" spans="1:8" s="2165" customFormat="1" ht="24" customHeight="1">
      <c r="A19" s="2164" t="s">
        <v>2163</v>
      </c>
      <c r="B19" s="1214" t="s">
        <v>2164</v>
      </c>
      <c r="C19" s="1214" t="s">
        <v>2143</v>
      </c>
      <c r="D19" s="2155"/>
      <c r="E19" s="2159" t="s">
        <v>2163</v>
      </c>
      <c r="F19" s="1214" t="s">
        <v>2164</v>
      </c>
      <c r="G19" s="1214" t="s">
        <v>2143</v>
      </c>
    </row>
    <row r="20" spans="1:8" s="2165" customFormat="1" ht="24" customHeight="1">
      <c r="A20" s="2166" t="s">
        <v>2165</v>
      </c>
      <c r="B20" s="2166" t="s">
        <v>2166</v>
      </c>
      <c r="C20" s="2160">
        <v>45898</v>
      </c>
      <c r="D20" s="2167"/>
      <c r="E20" s="2168" t="s">
        <v>2167</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2024-11-22T02:43:52Z</dcterms:modified>
</cp:coreProperties>
</file>