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385" windowHeight="107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价值分列" sheetId="82" r:id="rId20"/>
    <sheet name="成本法" sheetId="68" r:id="rId21"/>
    <sheet name="成本法 (元)" sheetId="69" state="hidden" r:id="rId22"/>
    <sheet name="基准地价修正" sheetId="43" r:id="rId23"/>
    <sheet name="假设开发法" sheetId="12" r:id="rId24"/>
    <sheet name="收益法" sheetId="15" r:id="rId25"/>
    <sheet name="收益法(车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84" i="82" l="1"/>
  <c r="R85" i="82"/>
  <c r="R86" i="82"/>
  <c r="R87" i="82"/>
  <c r="R88" i="82"/>
  <c r="R89" i="82"/>
  <c r="R90" i="82"/>
  <c r="R91" i="82"/>
  <c r="R92" i="82"/>
  <c r="R93" i="82"/>
  <c r="R94" i="82"/>
  <c r="R95" i="82"/>
  <c r="R96" i="82"/>
  <c r="R97" i="82"/>
  <c r="U100" i="82"/>
  <c r="U101" i="82"/>
  <c r="U102" i="82"/>
  <c r="U99" i="82"/>
  <c r="U85" i="82"/>
  <c r="U86" i="82"/>
  <c r="U87" i="82"/>
  <c r="U88" i="82"/>
  <c r="U89" i="82"/>
  <c r="U90" i="82"/>
  <c r="U91" i="82"/>
  <c r="U92" i="82"/>
  <c r="U93" i="82"/>
  <c r="U94" i="82"/>
  <c r="U95" i="82"/>
  <c r="U96" i="82"/>
  <c r="U97" i="82"/>
  <c r="U84" i="82"/>
  <c r="R100" i="82"/>
  <c r="R101" i="82"/>
  <c r="R102" i="82"/>
  <c r="R99" i="82"/>
  <c r="D103" i="82" l="1"/>
  <c r="C103" i="82"/>
  <c r="H100" i="82"/>
  <c r="F100" i="82"/>
  <c r="H99" i="82"/>
  <c r="D99" i="82"/>
  <c r="H98" i="82"/>
  <c r="F98" i="82"/>
  <c r="H97" i="82"/>
  <c r="F97" i="82"/>
  <c r="H96" i="82"/>
  <c r="F96" i="82"/>
  <c r="H95" i="82"/>
  <c r="F95" i="82"/>
  <c r="H94" i="82"/>
  <c r="F94" i="82"/>
  <c r="H93" i="82"/>
  <c r="F93" i="82"/>
  <c r="H92" i="82"/>
  <c r="F92" i="82"/>
  <c r="H91" i="82"/>
  <c r="F91" i="82"/>
  <c r="H90" i="82"/>
  <c r="H89" i="82"/>
  <c r="F89" i="82"/>
  <c r="H88" i="82"/>
  <c r="H87" i="82"/>
  <c r="F87" i="82"/>
  <c r="H86" i="82"/>
  <c r="F86" i="82"/>
  <c r="H85" i="82"/>
  <c r="F85" i="82"/>
  <c r="H84" i="82"/>
  <c r="F84" i="82"/>
  <c r="C99" i="82"/>
  <c r="C104" i="82" s="1"/>
  <c r="R71" i="82"/>
  <c r="R72" i="82"/>
  <c r="R73" i="82"/>
  <c r="R70" i="82"/>
  <c r="R56" i="82"/>
  <c r="R57" i="82"/>
  <c r="R58" i="82"/>
  <c r="R59" i="82"/>
  <c r="R60" i="82"/>
  <c r="R61" i="82"/>
  <c r="R62" i="82"/>
  <c r="R63" i="82"/>
  <c r="R64" i="82"/>
  <c r="R65" i="82"/>
  <c r="R66" i="82"/>
  <c r="R67" i="82"/>
  <c r="R68" i="82"/>
  <c r="R55" i="82"/>
  <c r="D104" i="82" l="1"/>
  <c r="C15" i="74"/>
  <c r="B15" i="74"/>
  <c r="AY3" i="3" l="1"/>
  <c r="B14" i="74" l="1"/>
  <c r="K48" i="82"/>
  <c r="K47" i="82"/>
  <c r="K46" i="82"/>
  <c r="G48" i="82"/>
  <c r="F48" i="82"/>
  <c r="E48" i="82"/>
  <c r="D48" i="82"/>
  <c r="C48" i="82"/>
  <c r="G47" i="82"/>
  <c r="F47" i="82"/>
  <c r="E47" i="82"/>
  <c r="D47" i="82"/>
  <c r="H47" i="82" s="1"/>
  <c r="C47" i="82"/>
  <c r="G46" i="82"/>
  <c r="F46" i="82"/>
  <c r="E46" i="82"/>
  <c r="D46" i="82"/>
  <c r="C46" i="82"/>
  <c r="B21" i="1"/>
  <c r="U6" i="1"/>
  <c r="N6" i="1"/>
  <c r="L6" i="1"/>
  <c r="F50" i="80"/>
  <c r="F51" i="80" s="1"/>
  <c r="I46" i="80"/>
  <c r="D46" i="80"/>
  <c r="C46" i="80"/>
  <c r="E46" i="80" s="1"/>
  <c r="J45" i="80"/>
  <c r="G45" i="80"/>
  <c r="L44" i="80"/>
  <c r="D44" i="80"/>
  <c r="C44" i="80"/>
  <c r="E44" i="80" s="1"/>
  <c r="E43" i="80"/>
  <c r="G43" i="80" s="1"/>
  <c r="G19" i="6"/>
  <c r="F19" i="6"/>
  <c r="D49" i="82" l="1"/>
  <c r="F49" i="82"/>
  <c r="C49" i="82"/>
  <c r="E49" i="82"/>
  <c r="G49" i="82"/>
  <c r="H46" i="82"/>
  <c r="I47" i="82"/>
  <c r="L47" i="82" s="1"/>
  <c r="H48" i="82"/>
  <c r="I46" i="82"/>
  <c r="L46" i="82" s="1"/>
  <c r="I48" i="82"/>
  <c r="L48" i="82" s="1"/>
  <c r="Q44" i="80"/>
  <c r="G44" i="80"/>
  <c r="F52" i="80"/>
  <c r="I43" i="80" s="1"/>
  <c r="Q46" i="80"/>
  <c r="J46" i="80"/>
  <c r="G46" i="80"/>
  <c r="G47" i="80" s="1"/>
  <c r="F47" i="80" s="1"/>
  <c r="Q43" i="80"/>
  <c r="E47" i="80"/>
  <c r="J47" i="80" s="1"/>
  <c r="L49" i="82" l="1"/>
  <c r="M48" i="82" s="1"/>
  <c r="H49" i="82"/>
  <c r="I44" i="80"/>
  <c r="J44" i="80" s="1"/>
  <c r="J43" i="80"/>
  <c r="Q47" i="80"/>
  <c r="P47" i="80" s="1"/>
  <c r="M47" i="82" l="1"/>
  <c r="M46" i="82"/>
  <c r="J48" i="80"/>
  <c r="K48" i="80" s="1"/>
  <c r="M49" i="82" l="1"/>
  <c r="K43" i="82"/>
  <c r="L43" i="82" s="1"/>
  <c r="K42" i="82"/>
  <c r="K41" i="82"/>
  <c r="K39" i="82"/>
  <c r="K40" i="82"/>
  <c r="K38" i="82"/>
  <c r="K37" i="82"/>
  <c r="K36" i="82"/>
  <c r="K35" i="82"/>
  <c r="K34" i="82"/>
  <c r="K33" i="82"/>
  <c r="K32" i="82"/>
  <c r="K31" i="82"/>
  <c r="K30" i="82"/>
  <c r="K29" i="82"/>
  <c r="C88" i="9"/>
  <c r="D74" i="82"/>
  <c r="C74" i="82"/>
  <c r="D70" i="82"/>
  <c r="D75" i="82" s="1"/>
  <c r="C69" i="82"/>
  <c r="C68" i="82"/>
  <c r="C67" i="82"/>
  <c r="C66" i="82"/>
  <c r="C65" i="82"/>
  <c r="C64" i="82"/>
  <c r="C63" i="82"/>
  <c r="C62" i="82"/>
  <c r="C61" i="82"/>
  <c r="C60" i="82"/>
  <c r="C59" i="82"/>
  <c r="C58" i="82"/>
  <c r="C57" i="82"/>
  <c r="C56" i="82"/>
  <c r="C55" i="82"/>
  <c r="H44" i="82"/>
  <c r="H50" i="82" s="1"/>
  <c r="G44" i="82"/>
  <c r="G50" i="82" s="1"/>
  <c r="F44" i="82"/>
  <c r="F50" i="82" s="1"/>
  <c r="E44" i="82"/>
  <c r="E50" i="82" s="1"/>
  <c r="D44" i="82"/>
  <c r="D50" i="82" s="1"/>
  <c r="C44" i="82"/>
  <c r="C50" i="82" s="1"/>
  <c r="I43" i="82"/>
  <c r="W43" i="82" s="1"/>
  <c r="I42" i="82"/>
  <c r="W42" i="82" s="1"/>
  <c r="I41" i="82"/>
  <c r="L41" i="82" s="1"/>
  <c r="I40" i="82"/>
  <c r="W40" i="82" s="1"/>
  <c r="I39" i="82"/>
  <c r="W39" i="82" s="1"/>
  <c r="I38" i="82"/>
  <c r="W38" i="82" s="1"/>
  <c r="I37" i="82"/>
  <c r="L37" i="82" s="1"/>
  <c r="I36" i="82"/>
  <c r="W36" i="82" s="1"/>
  <c r="I35" i="82"/>
  <c r="L35" i="82" s="1"/>
  <c r="I34" i="82"/>
  <c r="W34" i="82" s="1"/>
  <c r="I33" i="82"/>
  <c r="W33" i="82" s="1"/>
  <c r="I32" i="82"/>
  <c r="L32" i="82" s="1"/>
  <c r="I31" i="82"/>
  <c r="W31" i="82" s="1"/>
  <c r="I30" i="82"/>
  <c r="L30" i="82" s="1"/>
  <c r="I29" i="82"/>
  <c r="L29" i="82" s="1"/>
  <c r="C24" i="82"/>
  <c r="H23" i="82"/>
  <c r="G23" i="82"/>
  <c r="E23" i="82"/>
  <c r="D23" i="82"/>
  <c r="H19" i="82"/>
  <c r="H24" i="82" s="1"/>
  <c r="G19" i="82"/>
  <c r="G24" i="82" s="1"/>
  <c r="F19" i="82"/>
  <c r="F24" i="82" s="1"/>
  <c r="E19" i="82"/>
  <c r="E24" i="82" s="1"/>
  <c r="D19" i="82"/>
  <c r="D24" i="82" s="1"/>
  <c r="G62" i="43"/>
  <c r="G63" i="43"/>
  <c r="G64" i="43"/>
  <c r="G65" i="43"/>
  <c r="G66" i="43"/>
  <c r="G67" i="43"/>
  <c r="G68" i="43"/>
  <c r="G69" i="43"/>
  <c r="G61" i="43"/>
  <c r="D42" i="43"/>
  <c r="D40" i="43"/>
  <c r="D33" i="43"/>
  <c r="P74" i="8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N14" i="1"/>
  <c r="B59" i="1"/>
  <c r="AT31" i="3"/>
  <c r="AN31" i="3"/>
  <c r="AL14" i="3"/>
  <c r="AL15" i="3"/>
  <c r="AL16" i="3"/>
  <c r="AL17" i="3"/>
  <c r="AL18" i="3"/>
  <c r="AL19" i="3"/>
  <c r="AL20" i="3"/>
  <c r="AL21" i="3"/>
  <c r="AL22" i="3"/>
  <c r="AL23" i="3"/>
  <c r="AL24" i="3"/>
  <c r="AL25" i="3"/>
  <c r="AL26" i="3"/>
  <c r="AL27" i="3"/>
  <c r="AL28" i="3"/>
  <c r="AL29" i="3"/>
  <c r="AL30" i="3"/>
  <c r="AL13" i="3"/>
  <c r="M31" i="3"/>
  <c r="K14" i="3"/>
  <c r="K15" i="3"/>
  <c r="K16" i="3"/>
  <c r="K17" i="3"/>
  <c r="K18" i="3"/>
  <c r="K19" i="3"/>
  <c r="K20" i="3"/>
  <c r="K21" i="3"/>
  <c r="K22" i="3"/>
  <c r="K23" i="3"/>
  <c r="K24" i="3"/>
  <c r="K25" i="3"/>
  <c r="K26" i="3"/>
  <c r="K27" i="3"/>
  <c r="K28" i="3"/>
  <c r="K29" i="3"/>
  <c r="K30" i="3"/>
  <c r="K31" i="3"/>
  <c r="K13" i="3"/>
  <c r="I14" i="3"/>
  <c r="I15" i="3"/>
  <c r="I16" i="3"/>
  <c r="I17" i="3"/>
  <c r="I18" i="3"/>
  <c r="I19" i="3"/>
  <c r="I20" i="3"/>
  <c r="I21" i="3"/>
  <c r="I22" i="3"/>
  <c r="I23" i="3"/>
  <c r="I24" i="3"/>
  <c r="I25" i="3"/>
  <c r="I26" i="3"/>
  <c r="I27" i="3"/>
  <c r="I28" i="3"/>
  <c r="I29" i="3"/>
  <c r="I30" i="3"/>
  <c r="I13" i="3"/>
  <c r="C14" i="3"/>
  <c r="C15" i="3"/>
  <c r="C16" i="3"/>
  <c r="C17" i="3"/>
  <c r="C18" i="3"/>
  <c r="C19" i="3"/>
  <c r="C20" i="3"/>
  <c r="C21" i="3"/>
  <c r="C22" i="3"/>
  <c r="C23" i="3"/>
  <c r="C24" i="3"/>
  <c r="C25" i="3"/>
  <c r="C26" i="3"/>
  <c r="C27" i="3"/>
  <c r="C28" i="3"/>
  <c r="C29" i="3"/>
  <c r="C30" i="3"/>
  <c r="C31" i="3"/>
  <c r="C13" i="3"/>
  <c r="F37" i="80"/>
  <c r="F36" i="80"/>
  <c r="A32" i="80"/>
  <c r="F31" i="80"/>
  <c r="G31" i="80" s="1"/>
  <c r="D31" i="80"/>
  <c r="E31" i="80" s="1"/>
  <c r="J31" i="80" s="1"/>
  <c r="I30" i="80"/>
  <c r="J30" i="80" s="1"/>
  <c r="F30" i="80"/>
  <c r="G30" i="80" s="1"/>
  <c r="E30" i="80"/>
  <c r="I29" i="80"/>
  <c r="F29" i="80"/>
  <c r="E29" i="80"/>
  <c r="J29" i="80" s="1"/>
  <c r="D29" i="80"/>
  <c r="C29" i="80"/>
  <c r="D28" i="80"/>
  <c r="C28" i="80"/>
  <c r="E28" i="80" s="1"/>
  <c r="D27" i="80"/>
  <c r="C27" i="80"/>
  <c r="E27" i="80" s="1"/>
  <c r="B22" i="80"/>
  <c r="E21" i="80"/>
  <c r="E22" i="80" s="1"/>
  <c r="D21" i="80"/>
  <c r="D22" i="80" s="1"/>
  <c r="C21" i="80"/>
  <c r="C22" i="80" s="1"/>
  <c r="F20" i="80"/>
  <c r="F19" i="80"/>
  <c r="F18" i="80"/>
  <c r="F17" i="80"/>
  <c r="F16" i="80"/>
  <c r="F15" i="80"/>
  <c r="F14" i="80"/>
  <c r="F13" i="80"/>
  <c r="F12" i="80"/>
  <c r="F11" i="80"/>
  <c r="M11" i="80" s="1"/>
  <c r="F10" i="80"/>
  <c r="F9" i="80"/>
  <c r="F8" i="80"/>
  <c r="M7" i="80"/>
  <c r="F7" i="80"/>
  <c r="F6" i="80"/>
  <c r="F5" i="80"/>
  <c r="F4" i="80"/>
  <c r="F22" i="80" s="1"/>
  <c r="F3" i="80"/>
  <c r="C70" i="82" l="1"/>
  <c r="W37" i="82"/>
  <c r="C75" i="82"/>
  <c r="W29" i="82"/>
  <c r="W41" i="82"/>
  <c r="W35" i="82"/>
  <c r="L39" i="82"/>
  <c r="W30" i="82"/>
  <c r="W32" i="82"/>
  <c r="L42" i="82"/>
  <c r="L38" i="82"/>
  <c r="L36" i="82"/>
  <c r="L34" i="82"/>
  <c r="L31" i="82"/>
  <c r="L33" i="82"/>
  <c r="L40" i="82"/>
  <c r="E32" i="80"/>
  <c r="G27" i="80"/>
  <c r="J28" i="80"/>
  <c r="G28" i="80"/>
  <c r="F38" i="80"/>
  <c r="I27" i="80" s="1"/>
  <c r="J27" i="80" s="1"/>
  <c r="J32" i="80" s="1"/>
  <c r="K32" i="80" s="1"/>
  <c r="G29" i="80"/>
  <c r="W44" i="82" l="1"/>
  <c r="X30" i="82" s="1"/>
  <c r="X42" i="82"/>
  <c r="L44" i="82"/>
  <c r="M36" i="82" s="1"/>
  <c r="X37" i="82"/>
  <c r="X35" i="82"/>
  <c r="X32" i="82"/>
  <c r="G32" i="80"/>
  <c r="F32" i="80" s="1"/>
  <c r="X34" i="82" l="1"/>
  <c r="X39" i="82"/>
  <c r="X40" i="82"/>
  <c r="X33" i="82"/>
  <c r="X31" i="82"/>
  <c r="X41" i="82"/>
  <c r="X29" i="82"/>
  <c r="X43" i="82"/>
  <c r="X36" i="82"/>
  <c r="X38" i="82"/>
  <c r="M35" i="82"/>
  <c r="M37" i="82"/>
  <c r="M40" i="82"/>
  <c r="M32" i="82"/>
  <c r="M29" i="82"/>
  <c r="M41" i="82"/>
  <c r="M43" i="82"/>
  <c r="M39" i="82"/>
  <c r="M33" i="82"/>
  <c r="M31" i="82"/>
  <c r="M38" i="82"/>
  <c r="M34" i="82"/>
  <c r="M30" i="82"/>
  <c r="M42" i="82"/>
  <c r="X44" i="82" l="1"/>
  <c r="M44" i="82"/>
  <c r="F13" i="4" l="1"/>
  <c r="C11" i="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20" i="79" l="1"/>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A8" i="1"/>
  <c r="B8" i="1" s="1"/>
  <c r="E8" i="1" s="1"/>
  <c r="A9" i="1"/>
  <c r="A10" i="1"/>
  <c r="A11" i="1"/>
  <c r="B11" i="1" s="1"/>
  <c r="E11" i="1" s="1"/>
  <c r="A12" i="1"/>
  <c r="A13" i="1"/>
  <c r="A6"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E12" i="1"/>
  <c r="B10" i="1"/>
  <c r="E10" i="1"/>
  <c r="AZ80" i="3"/>
  <c r="AZ84" i="3"/>
  <c r="AZ88" i="3"/>
  <c r="AZ107" i="3"/>
  <c r="AZ111" i="3"/>
  <c r="K12" i="1"/>
  <c r="M12" i="1" s="1"/>
  <c r="S13" i="1"/>
  <c r="AR13" i="1" s="1"/>
  <c r="R13" i="1"/>
  <c r="J51" i="67"/>
  <c r="C42" i="1"/>
  <c r="C28" i="81"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8"/>
  <c r="G22" i="11"/>
  <c r="H83" i="43"/>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D21" i="53" s="1"/>
  <c r="B39" i="72"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15"/>
  <c r="E2" i="68"/>
  <c r="F43" i="15"/>
  <c r="J15" i="67"/>
  <c r="F42" i="15"/>
  <c r="M29" i="15"/>
  <c r="L47" i="15"/>
  <c r="F8" i="67"/>
  <c r="M28" i="67"/>
  <c r="D5" i="73"/>
  <c r="M23" i="15"/>
  <c r="M22" i="15"/>
  <c r="F7" i="73"/>
  <c r="M6" i="67"/>
  <c r="D3" i="73"/>
  <c r="M23" i="67"/>
  <c r="F37" i="15"/>
  <c r="E8" i="76"/>
  <c r="F9" i="15"/>
  <c r="B8" i="76"/>
  <c r="F8" i="15"/>
  <c r="L47" i="67"/>
  <c r="F16" i="67"/>
  <c r="F38" i="15"/>
  <c r="B13" i="76"/>
  <c r="F4" i="73"/>
  <c r="F40" i="15"/>
  <c r="L48" i="67"/>
  <c r="B7" i="76"/>
  <c r="E9" i="76"/>
  <c r="AO13" i="1"/>
  <c r="F37" i="67"/>
  <c r="F36" i="67"/>
  <c r="M8" i="15"/>
  <c r="B12" i="76"/>
  <c r="F38" i="67"/>
  <c r="E11" i="76"/>
  <c r="B11" i="76"/>
  <c r="E13" i="76"/>
  <c r="M8" i="67"/>
  <c r="L48" i="15"/>
  <c r="F16" i="15"/>
  <c r="F36" i="15"/>
  <c r="F43" i="67"/>
  <c r="E7" i="76"/>
  <c r="E10" i="76"/>
  <c r="F6" i="73"/>
  <c r="F20" i="31"/>
  <c r="M9" i="15"/>
  <c r="F26" i="15"/>
  <c r="B10" i="76"/>
  <c r="D4" i="73"/>
  <c r="F9" i="67"/>
  <c r="F26" i="67"/>
  <c r="M26" i="67"/>
  <c r="D7" i="73"/>
  <c r="M28" i="15"/>
  <c r="F13" i="15"/>
  <c r="F42" i="67"/>
  <c r="M6" i="15"/>
  <c r="F3" i="73"/>
  <c r="F6" i="67"/>
  <c r="F13" i="67"/>
  <c r="D6" i="73"/>
  <c r="F7" i="15"/>
  <c r="J15" i="15"/>
  <c r="F40" i="67"/>
  <c r="M29" i="67"/>
  <c r="M26" i="15"/>
  <c r="F5" i="73"/>
  <c r="M24" i="15"/>
  <c r="E2" i="69"/>
  <c r="M9" i="67"/>
  <c r="C76" i="15"/>
  <c r="C76" i="67"/>
  <c r="M22" i="67"/>
  <c r="M24" i="67"/>
  <c r="E12" i="76"/>
  <c r="B9" i="76"/>
  <c r="G6" i="1" l="1"/>
  <c r="I24" i="43"/>
  <c r="F11" i="1"/>
  <c r="G11" i="1" s="1"/>
  <c r="G44" i="43"/>
  <c r="C24" i="12"/>
  <c r="B7" i="1"/>
  <c r="E7" i="1" s="1"/>
  <c r="G1" i="81"/>
  <c r="BL30" i="3"/>
  <c r="BL26" i="3"/>
  <c r="AZ26" i="3" s="1"/>
  <c r="BL23" i="3"/>
  <c r="BA21" i="3"/>
  <c r="AZ21" i="3" s="1"/>
  <c r="BL21" i="3"/>
  <c r="AZ15" i="3"/>
  <c r="BL15" i="3"/>
  <c r="AZ14" i="3"/>
  <c r="M7" i="1"/>
  <c r="F54" i="9"/>
  <c r="F28" i="15"/>
  <c r="F32" i="15"/>
  <c r="F60" i="15" s="1"/>
  <c r="F32" i="67"/>
  <c r="F60" i="67" s="1"/>
  <c r="F52" i="9"/>
  <c r="F28" i="67"/>
  <c r="C28" i="67" s="1"/>
  <c r="F30" i="68"/>
  <c r="F48" i="68" s="1"/>
  <c r="D93" i="9"/>
  <c r="C21" i="68"/>
  <c r="C40" i="69"/>
  <c r="D23" i="15"/>
  <c r="G26" i="12"/>
  <c r="G22" i="69"/>
  <c r="F28" i="6"/>
  <c r="BA20" i="3"/>
  <c r="AZ20" i="3" s="1"/>
  <c r="BL20" i="3"/>
  <c r="G31" i="3"/>
  <c r="G18" i="3"/>
  <c r="G19" i="3"/>
  <c r="AZ22" i="3"/>
  <c r="G25" i="3"/>
  <c r="G27" i="3"/>
  <c r="G28" i="3"/>
  <c r="G29" i="3"/>
  <c r="AZ30" i="3"/>
  <c r="AZ17" i="3"/>
  <c r="BA18" i="3"/>
  <c r="AZ18" i="3" s="1"/>
  <c r="BA19" i="3"/>
  <c r="AZ19" i="3" s="1"/>
  <c r="BA23" i="3"/>
  <c r="AZ23" i="3" s="1"/>
  <c r="BA28" i="3"/>
  <c r="AZ28" i="3" s="1"/>
  <c r="BA29" i="3"/>
  <c r="AZ29" i="3" s="1"/>
  <c r="AZ31" i="3"/>
  <c r="G5" i="3"/>
  <c r="B3" i="3" s="1"/>
  <c r="E446" i="3" s="1"/>
  <c r="E510" i="3"/>
  <c r="E370" i="3"/>
  <c r="E137" i="3"/>
  <c r="AL6" i="3"/>
  <c r="E198" i="3"/>
  <c r="E494" i="3"/>
  <c r="E512" i="3"/>
  <c r="T6" i="3"/>
  <c r="E173" i="3"/>
  <c r="E205" i="3"/>
  <c r="BL5" i="3"/>
  <c r="G29" i="6"/>
  <c r="F29" i="6"/>
  <c r="G28" i="6"/>
  <c r="H69" i="43"/>
  <c r="H67" i="43"/>
  <c r="D19" i="53"/>
  <c r="B38" i="72" s="1"/>
  <c r="K56" i="9"/>
  <c r="N56"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M59" i="15"/>
  <c r="L59" i="15" s="1"/>
  <c r="F66" i="15"/>
  <c r="Q71" i="67"/>
  <c r="F64" i="15"/>
  <c r="C27" i="67"/>
  <c r="F71" i="67"/>
  <c r="C27" i="15"/>
  <c r="F65" i="15"/>
  <c r="N59" i="67"/>
  <c r="L59" i="67"/>
  <c r="L58" i="67"/>
  <c r="M59" i="67"/>
  <c r="B13" i="70"/>
  <c r="F68" i="67"/>
  <c r="F64" i="67"/>
  <c r="F68" i="15"/>
  <c r="C36" i="68"/>
  <c r="D9" i="69"/>
  <c r="F27" i="69"/>
  <c r="C36" i="69"/>
  <c r="D9" i="68"/>
  <c r="F43" i="81"/>
  <c r="M26" i="81"/>
  <c r="M28" i="81"/>
  <c r="M9" i="81"/>
  <c r="F42" i="81"/>
  <c r="F16" i="81"/>
  <c r="F36" i="81"/>
  <c r="F6" i="81"/>
  <c r="F38" i="81"/>
  <c r="M6" i="81"/>
  <c r="F26" i="81"/>
  <c r="F9" i="81"/>
  <c r="M27" i="81"/>
  <c r="C76" i="81"/>
  <c r="F13" i="81"/>
  <c r="F7" i="81"/>
  <c r="J15" i="81"/>
  <c r="F8" i="81"/>
  <c r="L48" i="81"/>
  <c r="C16" i="15"/>
  <c r="M8" i="81"/>
  <c r="C16" i="67"/>
  <c r="M24" i="81"/>
  <c r="G1" i="73"/>
  <c r="F40" i="81"/>
  <c r="M29" i="81"/>
  <c r="F37" i="81"/>
  <c r="F7" i="67"/>
  <c r="M22" i="81"/>
  <c r="L47" i="81"/>
  <c r="M23" i="81"/>
  <c r="F51" i="81" l="1"/>
  <c r="Q71" i="81"/>
  <c r="F65" i="81"/>
  <c r="F68" i="81"/>
  <c r="J53" i="81"/>
  <c r="I54" i="81"/>
  <c r="J57" i="81"/>
  <c r="J55" i="81" s="1"/>
  <c r="J58" i="81" s="1"/>
  <c r="Q50" i="81" s="1"/>
  <c r="L56" i="81"/>
  <c r="C27" i="81"/>
  <c r="F64" i="81"/>
  <c r="F66" i="81"/>
  <c r="N59" i="81"/>
  <c r="L58" i="81"/>
  <c r="L59" i="81"/>
  <c r="M59" i="81"/>
  <c r="F71" i="81"/>
  <c r="C6" i="67"/>
  <c r="C32" i="67" s="1"/>
  <c r="M7" i="67"/>
  <c r="J6" i="67" s="1"/>
  <c r="F50" i="67"/>
  <c r="C49" i="67" s="1"/>
  <c r="F3" i="35"/>
  <c r="F26" i="43"/>
  <c r="E28" i="6"/>
  <c r="K14" i="1" s="1"/>
  <c r="BA5" i="3"/>
  <c r="F30" i="6"/>
  <c r="F50" i="81"/>
  <c r="C49" i="81" s="1"/>
  <c r="C61" i="81" s="1"/>
  <c r="M7" i="81"/>
  <c r="J6" i="81" s="1"/>
  <c r="C6" i="81"/>
  <c r="G26" i="43"/>
  <c r="O7" i="1"/>
  <c r="P7" i="1" s="1"/>
  <c r="M11" i="81"/>
  <c r="J10" i="81" s="1"/>
  <c r="J5" i="81" s="1"/>
  <c r="F11" i="81"/>
  <c r="C30" i="68"/>
  <c r="N94" i="46"/>
  <c r="E26" i="43"/>
  <c r="J26" i="43"/>
  <c r="AZ5" i="3"/>
  <c r="E79" i="3"/>
  <c r="E522" i="3"/>
  <c r="E15" i="3"/>
  <c r="AT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140" i="3"/>
  <c r="E525" i="3"/>
  <c r="E456" i="3"/>
  <c r="E360" i="3"/>
  <c r="E26" i="3"/>
  <c r="E243" i="3"/>
  <c r="E428" i="3"/>
  <c r="E100" i="3"/>
  <c r="E235" i="3"/>
  <c r="E49" i="3"/>
  <c r="E113" i="3"/>
  <c r="E57" i="3"/>
  <c r="E296" i="3"/>
  <c r="E197" i="3"/>
  <c r="E369" i="3"/>
  <c r="E534" i="3"/>
  <c r="E405" i="3"/>
  <c r="E469" i="3"/>
  <c r="E408" i="3"/>
  <c r="E497" i="3"/>
  <c r="E470" i="3"/>
  <c r="E41" i="3"/>
  <c r="E225" i="3"/>
  <c r="E391" i="3"/>
  <c r="E94" i="3"/>
  <c r="E412" i="3"/>
  <c r="E38" i="3"/>
  <c r="E170" i="3"/>
  <c r="E220" i="3"/>
  <c r="E383" i="3"/>
  <c r="E86" i="3"/>
  <c r="E232" i="3"/>
  <c r="E102" i="3"/>
  <c r="E308" i="3"/>
  <c r="E378" i="3"/>
  <c r="E374" i="3"/>
  <c r="E451" i="3"/>
  <c r="E556" i="3"/>
  <c r="E13" i="3"/>
  <c r="E452" i="3"/>
  <c r="E420" i="3"/>
  <c r="E104" i="3"/>
  <c r="E115" i="3"/>
  <c r="E139" i="3"/>
  <c r="E281" i="3"/>
  <c r="E332" i="3"/>
  <c r="E356" i="3"/>
  <c r="E42" i="3"/>
  <c r="E75" i="3"/>
  <c r="E482" i="3"/>
  <c r="E18" i="3"/>
  <c r="E96" i="3"/>
  <c r="E78" i="3"/>
  <c r="E129" i="3"/>
  <c r="E190" i="3"/>
  <c r="E174" i="3"/>
  <c r="E275" i="3"/>
  <c r="E324" i="3"/>
  <c r="E342" i="3"/>
  <c r="E35" i="3"/>
  <c r="E34" i="3"/>
  <c r="E206" i="3"/>
  <c r="E251" i="3"/>
  <c r="AF6" i="3"/>
  <c r="E80" i="3"/>
  <c r="E158" i="3"/>
  <c r="E22" i="3"/>
  <c r="E110" i="3"/>
  <c r="E240" i="3"/>
  <c r="E520" i="3"/>
  <c r="E542" i="3"/>
  <c r="E194" i="3"/>
  <c r="E234" i="3"/>
  <c r="E219" i="3"/>
  <c r="E299" i="3"/>
  <c r="E339" i="3"/>
  <c r="E325" i="3"/>
  <c r="E392" i="3"/>
  <c r="AQ6" i="3"/>
  <c r="E52" i="3"/>
  <c r="E36" i="3"/>
  <c r="E112" i="3"/>
  <c r="E123" i="3"/>
  <c r="E147" i="3"/>
  <c r="E289" i="3"/>
  <c r="E340" i="3"/>
  <c r="E364" i="3"/>
  <c r="E50" i="3"/>
  <c r="E20" i="3"/>
  <c r="E62" i="3"/>
  <c r="E176" i="3"/>
  <c r="E287" i="3"/>
  <c r="E326" i="3"/>
  <c r="E83" i="3"/>
  <c r="E462" i="3"/>
  <c r="E504" i="3"/>
  <c r="E259" i="3"/>
  <c r="E187" i="3"/>
  <c r="E39" i="3"/>
  <c r="E413" i="3"/>
  <c r="E487" i="3"/>
  <c r="E167" i="3"/>
  <c r="E218" i="3"/>
  <c r="E265" i="3"/>
  <c r="E365" i="3"/>
  <c r="E524" i="3"/>
  <c r="E101" i="3"/>
  <c r="E467" i="3"/>
  <c r="E521" i="3"/>
  <c r="E488" i="3"/>
  <c r="E58" i="3"/>
  <c r="E375" i="3"/>
  <c r="E348" i="3"/>
  <c r="E297" i="3"/>
  <c r="E155" i="3"/>
  <c r="E131" i="3"/>
  <c r="E90" i="3"/>
  <c r="E436" i="3"/>
  <c r="E460" i="3"/>
  <c r="E500" i="3"/>
  <c r="E416" i="3"/>
  <c r="E421" i="3"/>
  <c r="E312" i="3"/>
  <c r="E244"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16" i="3"/>
  <c r="E517" i="3"/>
  <c r="E554" i="3"/>
  <c r="AP6" i="3"/>
  <c r="I3" i="6"/>
  <c r="E255" i="3"/>
  <c r="E449" i="3"/>
  <c r="E430" i="3"/>
  <c r="E541" i="3"/>
  <c r="E466" i="3"/>
  <c r="E442" i="3"/>
  <c r="E502" i="3"/>
  <c r="R6" i="3"/>
  <c r="E499" i="3"/>
  <c r="E575" i="3"/>
  <c r="E286" i="3"/>
  <c r="E199" i="3"/>
  <c r="E212" i="3"/>
  <c r="E148" i="3"/>
  <c r="E536" i="3"/>
  <c r="E539" i="3"/>
  <c r="E223" i="3"/>
  <c r="E105" i="3"/>
  <c r="E493" i="3"/>
  <c r="E543" i="3"/>
  <c r="E486" i="3"/>
  <c r="E422" i="3"/>
  <c r="E490" i="3"/>
  <c r="AH6" i="3"/>
  <c r="E498" i="3"/>
  <c r="E483" i="3"/>
  <c r="E463" i="3"/>
  <c r="E178" i="3"/>
  <c r="E202" i="3"/>
  <c r="E226" i="3"/>
  <c r="E346" i="3"/>
  <c r="E372" i="3"/>
  <c r="E60" i="3"/>
  <c r="E540" i="3"/>
  <c r="E47" i="3"/>
  <c r="E98" i="3"/>
  <c r="E65" i="3"/>
  <c r="E138" i="3"/>
  <c r="E195" i="3"/>
  <c r="E163" i="3"/>
  <c r="E248" i="3"/>
  <c r="E209" i="3"/>
  <c r="E266" i="3"/>
  <c r="E307" i="3"/>
  <c r="E386" i="3"/>
  <c r="E354" i="3"/>
  <c r="E584" i="3"/>
  <c r="E66" i="3"/>
  <c r="E24" i="3"/>
  <c r="E48" i="3"/>
  <c r="E87" i="3"/>
  <c r="E127" i="3"/>
  <c r="E250" i="3"/>
  <c r="E284" i="3"/>
  <c r="E341" i="3"/>
  <c r="Y6" i="3"/>
  <c r="E51" i="3"/>
  <c r="E154" i="3"/>
  <c r="E179" i="3"/>
  <c r="E222" i="3"/>
  <c r="E323" i="3"/>
  <c r="E373" i="3"/>
  <c r="E82" i="3"/>
  <c r="E329" i="3"/>
  <c r="E116" i="3"/>
  <c r="E393" i="3"/>
  <c r="E564" i="3"/>
  <c r="E427" i="3"/>
  <c r="E507" i="3"/>
  <c r="E440" i="3"/>
  <c r="E376" i="3"/>
  <c r="J6" i="3"/>
  <c r="E419" i="3"/>
  <c r="E401" i="3"/>
  <c r="E108" i="3"/>
  <c r="E119" i="3"/>
  <c r="E276" i="3"/>
  <c r="L6" i="3"/>
  <c r="E43" i="3"/>
  <c r="E455" i="3"/>
  <c r="E46" i="3"/>
  <c r="E160" i="3"/>
  <c r="E200" i="3"/>
  <c r="E267" i="3"/>
  <c r="E188" i="3"/>
  <c r="E40" i="3"/>
  <c r="E242" i="3"/>
  <c r="E333" i="3"/>
  <c r="E473" i="3"/>
  <c r="E64" i="3"/>
  <c r="E103" i="3"/>
  <c r="E142" i="3"/>
  <c r="E249" i="3"/>
  <c r="E300" i="3"/>
  <c r="E23" i="3"/>
  <c r="E144" i="3"/>
  <c r="E63" i="3"/>
  <c r="E283" i="3"/>
  <c r="E371" i="3"/>
  <c r="E492" i="3"/>
  <c r="E84" i="3"/>
  <c r="E33" i="3"/>
  <c r="E184" i="3"/>
  <c r="E355" i="3"/>
  <c r="E68" i="3"/>
  <c r="E81" i="3"/>
  <c r="E264" i="3"/>
  <c r="E309" i="3"/>
  <c r="E21" i="3"/>
  <c r="E310" i="3"/>
  <c r="E67" i="3"/>
  <c r="E233" i="3"/>
  <c r="E381" i="3"/>
  <c r="E118" i="3"/>
  <c r="E513" i="3"/>
  <c r="E25" i="3"/>
  <c r="E19" i="3"/>
  <c r="E59" i="40"/>
  <c r="G30" i="6"/>
  <c r="G31" i="6" s="1"/>
  <c r="E29" i="6"/>
  <c r="K15" i="1" s="1"/>
  <c r="K16" i="1" s="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C90" i="9" s="1"/>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C16" i="81"/>
  <c r="AE6" i="1"/>
  <c r="F41" i="81"/>
  <c r="Q61" i="81" l="1"/>
  <c r="Q74" i="81"/>
  <c r="Q60" i="81"/>
  <c r="Q73" i="81"/>
  <c r="F1" i="81"/>
  <c r="Q52" i="81"/>
  <c r="J19" i="81"/>
  <c r="J18" i="81"/>
  <c r="C33" i="81"/>
  <c r="C32" i="81"/>
  <c r="F69" i="81"/>
  <c r="C53" i="81"/>
  <c r="C48" i="81" s="1"/>
  <c r="C10" i="81"/>
  <c r="C5" i="81" s="1"/>
  <c r="C24" i="81"/>
  <c r="J26" i="81"/>
  <c r="J29" i="81" s="1"/>
  <c r="J24" i="81"/>
  <c r="E30" i="6"/>
  <c r="E65" i="39"/>
  <c r="E69"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7" i="1"/>
  <c r="F41" i="67"/>
  <c r="M27" i="15"/>
  <c r="M27" i="67"/>
  <c r="F41" i="15"/>
  <c r="N47" i="82" l="1"/>
  <c r="N46" i="82"/>
  <c r="N48" i="82"/>
  <c r="B10" i="74"/>
  <c r="F69" i="67"/>
  <c r="N43" i="82"/>
  <c r="N31" i="82"/>
  <c r="N33" i="82"/>
  <c r="N35" i="82"/>
  <c r="N37" i="82"/>
  <c r="N39" i="82"/>
  <c r="N41" i="82"/>
  <c r="N30" i="82"/>
  <c r="N32" i="82"/>
  <c r="N34" i="82"/>
  <c r="N36" i="82"/>
  <c r="N38" i="82"/>
  <c r="N40" i="82"/>
  <c r="N42" i="82"/>
  <c r="N29" i="82"/>
  <c r="C66" i="81"/>
  <c r="C60" i="81"/>
  <c r="C38" i="81"/>
  <c r="D116" i="43"/>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17" i="81"/>
  <c r="O29" i="82" l="1"/>
  <c r="B2" i="74"/>
  <c r="C14" i="74"/>
  <c r="N49" i="82"/>
  <c r="O48" i="82" s="1"/>
  <c r="E7" i="70"/>
  <c r="N44" i="82"/>
  <c r="O42" i="82" s="1"/>
  <c r="C25" i="11"/>
  <c r="C22" i="11" s="1"/>
  <c r="C31" i="11" s="1"/>
  <c r="J59" i="81"/>
  <c r="J60" i="81"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M21" i="81"/>
  <c r="C14" i="15"/>
  <c r="E6" i="76"/>
  <c r="C14" i="81"/>
  <c r="B6" i="76"/>
  <c r="F35" i="81"/>
  <c r="O43" i="82" l="1"/>
  <c r="O32" i="82"/>
  <c r="O47" i="82"/>
  <c r="O37" i="82"/>
  <c r="O40" i="82"/>
  <c r="O46" i="82"/>
  <c r="C18" i="81"/>
  <c r="C15" i="81"/>
  <c r="C19" i="81"/>
  <c r="O33" i="82"/>
  <c r="O41" i="82"/>
  <c r="O36" i="82"/>
  <c r="O31" i="82"/>
  <c r="O39" i="82"/>
  <c r="O34" i="82"/>
  <c r="O35" i="82"/>
  <c r="O30" i="82"/>
  <c r="O38" i="82"/>
  <c r="B3" i="43"/>
  <c r="C6" i="68"/>
  <c r="C7" i="68" s="1"/>
  <c r="Q48" i="81"/>
  <c r="F63" i="81"/>
  <c r="C62" i="81" s="1"/>
  <c r="C59" i="81" s="1"/>
  <c r="C34" i="81"/>
  <c r="C31" i="81" s="1"/>
  <c r="J20" i="81"/>
  <c r="J17" i="81" s="1"/>
  <c r="D8" i="71"/>
  <c r="C7" i="71"/>
  <c r="C19" i="67"/>
  <c r="C20" i="67" s="1"/>
  <c r="C26" i="67" s="1"/>
  <c r="T16" i="1"/>
  <c r="C18" i="15"/>
  <c r="C15" i="15"/>
  <c r="C38" i="68"/>
  <c r="C35" i="68"/>
  <c r="C36" i="11"/>
  <c r="C37" i="11"/>
  <c r="C34" i="11"/>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O49" i="82" l="1"/>
  <c r="C20" i="81"/>
  <c r="C26" i="81" s="1"/>
  <c r="O44" i="82"/>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1" l="1"/>
  <c r="C29" i="81" s="1"/>
  <c r="C57" i="81" s="1"/>
  <c r="C64" i="81" s="1"/>
  <c r="C39" i="68"/>
  <c r="C43" i="68" s="1"/>
  <c r="C91" i="9"/>
  <c r="L57" i="81"/>
  <c r="L60" i="81" s="1"/>
  <c r="L46" i="81"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36" i="81" l="1"/>
  <c r="Q49" i="81"/>
  <c r="C46" i="68"/>
  <c r="C45" i="68" s="1"/>
  <c r="C13" i="81"/>
  <c r="C75" i="81" s="1"/>
  <c r="J14" i="81"/>
  <c r="J13" i="81" s="1"/>
  <c r="J23" i="81" s="1"/>
  <c r="C94" i="9"/>
  <c r="C92" i="9"/>
  <c r="Q66" i="81"/>
  <c r="Q57" i="8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J22" i="81"/>
  <c r="J16" i="81" s="1"/>
  <c r="J25" i="81" s="1"/>
  <c r="C37" i="81"/>
  <c r="C30" i="81" s="1"/>
  <c r="C39" i="81" s="1"/>
  <c r="C40" i="81" s="1"/>
  <c r="Q70" i="81"/>
  <c r="C56" i="81"/>
  <c r="C65" i="81" s="1"/>
  <c r="C58" i="81" s="1"/>
  <c r="C67" i="81" s="1"/>
  <c r="C68" i="81" s="1"/>
  <c r="C71"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Q69" i="81" l="1"/>
  <c r="C80" i="81"/>
  <c r="C79" i="81" s="1"/>
  <c r="Q68" i="81"/>
  <c r="Q67" i="81"/>
  <c r="C46" i="81"/>
  <c r="C83" i="81"/>
  <c r="C82" i="81" s="1"/>
  <c r="B2" i="81"/>
  <c r="B3" i="81" s="1"/>
  <c r="Q47" i="81"/>
  <c r="Q53" i="81" s="1"/>
  <c r="C43" i="81"/>
  <c r="Q65" i="81"/>
  <c r="Q75" i="81" s="1"/>
  <c r="Q56" i="81"/>
  <c r="Q6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Q66" i="67" l="1"/>
  <c r="Q57" i="67"/>
  <c r="Q75" i="67"/>
  <c r="Q62" i="67"/>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12" i="1"/>
  <c r="AO6" i="1"/>
  <c r="AO9" i="1"/>
  <c r="AO11" i="1"/>
  <c r="AO10" i="1"/>
  <c r="AO7" i="1"/>
  <c r="AO8" i="1"/>
  <c r="C31" i="12" l="1"/>
  <c r="C23" i="12"/>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18" i="12" l="1"/>
  <c r="C21" i="12" s="1"/>
  <c r="C22" i="12" l="1"/>
  <c r="C30" i="12" s="1"/>
  <c r="C28" i="12" s="1"/>
  <c r="C27" i="12" l="1"/>
  <c r="C25" i="12" s="1"/>
  <c r="C32" i="12" s="1"/>
  <c r="B2" i="12" s="1"/>
  <c r="B3" i="12" s="1"/>
  <c r="C8" i="68"/>
  <c r="C5" i="68" s="1"/>
  <c r="D20" i="9"/>
  <c r="D19" i="9"/>
  <c r="D102" i="9" l="1"/>
  <c r="D21" i="9"/>
  <c r="D103" i="9"/>
  <c r="C23" i="68"/>
  <c r="C20" i="68"/>
  <c r="C25" i="68" s="1"/>
  <c r="C28" i="68" l="1"/>
  <c r="C27" i="68" s="1"/>
  <c r="C22" i="68"/>
  <c r="C31" i="68" l="1"/>
  <c r="C52" i="68" s="1"/>
  <c r="C57" i="68" l="1"/>
  <c r="C56" i="68" s="1"/>
  <c r="B2" i="68"/>
  <c r="C19" i="9"/>
  <c r="C21" i="9" l="1"/>
  <c r="C102" i="9"/>
  <c r="D22" i="9"/>
  <c r="G19" i="9"/>
  <c r="B3" i="68"/>
  <c r="D34" i="9"/>
  <c r="D35" i="9"/>
  <c r="C20" i="9"/>
  <c r="G21" i="9" l="1"/>
  <c r="C103" i="9"/>
  <c r="G20" i="9"/>
  <c r="C32" i="9" s="1"/>
  <c r="C35" i="9" l="1"/>
  <c r="C34" i="9" s="1"/>
  <c r="D118" i="9" s="1"/>
  <c r="H118" i="9"/>
  <c r="E71" i="82" l="1"/>
  <c r="D14" i="74"/>
  <c r="Q46" i="82"/>
  <c r="Q47" i="82"/>
  <c r="Q48" i="82"/>
  <c r="D119" i="9"/>
  <c r="D5" i="52" s="1"/>
  <c r="B49" i="72" s="1"/>
  <c r="F118" i="9"/>
  <c r="P47" i="82" s="1"/>
  <c r="C104" i="9"/>
  <c r="H119" i="9"/>
  <c r="H5" i="52" s="1"/>
  <c r="H4" i="52"/>
  <c r="H101" i="9"/>
  <c r="I118" i="9"/>
  <c r="F71" i="82" s="1"/>
  <c r="D4" i="52"/>
  <c r="B47" i="72" s="1"/>
  <c r="F14" i="74" l="1"/>
  <c r="E14" i="74"/>
  <c r="Q49" i="82"/>
  <c r="P46" i="82"/>
  <c r="P48" i="82"/>
  <c r="G118" i="9"/>
  <c r="G4" i="52" s="1"/>
  <c r="B52" i="72" s="1"/>
  <c r="F119" i="9"/>
  <c r="F4" i="52"/>
  <c r="B51" i="72" s="1"/>
  <c r="I4" i="52"/>
  <c r="C105" i="9"/>
  <c r="H102" i="9"/>
  <c r="D7" i="53" s="1"/>
  <c r="B21" i="72" s="1"/>
  <c r="D5" i="53"/>
  <c r="M48" i="9"/>
  <c r="H107" i="9"/>
  <c r="D45" i="9"/>
  <c r="P49" i="82" l="1"/>
  <c r="R48" i="82" s="1"/>
  <c r="E118" i="9"/>
  <c r="E4" i="52" s="1"/>
  <c r="B48" i="72" s="1"/>
  <c r="F5" i="52"/>
  <c r="B53" i="72" s="1"/>
  <c r="D53" i="9"/>
  <c r="D48" i="9" s="1"/>
  <c r="M52" i="9" s="1"/>
  <c r="C93" i="9"/>
  <c r="C86" i="9" s="1"/>
  <c r="C72" i="9"/>
  <c r="C78" i="9"/>
  <c r="C73" i="9" s="1"/>
  <c r="D55" i="9"/>
  <c r="M53" i="9" s="1"/>
  <c r="C85" i="9"/>
  <c r="D52" i="9"/>
  <c r="C64" i="9"/>
  <c r="C63" i="9" s="1"/>
  <c r="C67" i="9" s="1"/>
  <c r="D13" i="53"/>
  <c r="D122" i="9"/>
  <c r="G14" i="74" s="1"/>
  <c r="M49" i="9"/>
  <c r="H108" i="9"/>
  <c r="D15" i="53" s="1"/>
  <c r="B31" i="72" s="1"/>
  <c r="B20" i="72"/>
  <c r="D6" i="53"/>
  <c r="B22" i="72" s="1"/>
  <c r="S48" i="82" l="1"/>
  <c r="R47" i="82"/>
  <c r="S47" i="82" s="1"/>
  <c r="R46" i="82"/>
  <c r="S46" i="82" s="1"/>
  <c r="C95" i="9"/>
  <c r="C96" i="9" s="1"/>
  <c r="E96" i="9" s="1"/>
  <c r="E97" i="9" s="1"/>
  <c r="D8" i="52"/>
  <c r="D123" i="9"/>
  <c r="D9" i="52" s="1"/>
  <c r="D59" i="9"/>
  <c r="M55" i="9" s="1"/>
  <c r="C68" i="9"/>
  <c r="D54" i="9" s="1"/>
  <c r="L67" i="9"/>
  <c r="M67" i="9" s="1"/>
  <c r="L68" i="9"/>
  <c r="M68" i="9" s="1"/>
  <c r="L63" i="9"/>
  <c r="M63" i="9" s="1"/>
  <c r="L64" i="9"/>
  <c r="M64" i="9" s="1"/>
  <c r="L65" i="9"/>
  <c r="M65" i="9" s="1"/>
  <c r="L66" i="9"/>
  <c r="M66" i="9" s="1"/>
  <c r="B30" i="72"/>
  <c r="D14" i="53"/>
  <c r="B32" i="72" s="1"/>
  <c r="C79" i="9"/>
  <c r="R49" i="82" l="1"/>
  <c r="S49" i="82" s="1"/>
  <c r="M69" i="9"/>
  <c r="N69" i="9" s="1"/>
  <c r="C80" i="9"/>
  <c r="E80" i="9" s="1"/>
  <c r="E81" i="9" s="1"/>
  <c r="C97" i="9"/>
  <c r="D58" i="9" s="1"/>
  <c r="D56" i="9" s="1"/>
  <c r="M54" i="9" s="1"/>
  <c r="N57" i="9" s="1"/>
  <c r="T48" i="82" l="1"/>
  <c r="T46" i="82"/>
  <c r="T47" i="82"/>
  <c r="N58" i="9"/>
  <c r="P57" i="9"/>
  <c r="N59" i="9"/>
  <c r="C81" i="9"/>
  <c r="G71" i="82" l="1"/>
  <c r="I14" i="74"/>
  <c r="U47" i="82"/>
  <c r="V47" i="82" s="1"/>
  <c r="U48" i="82"/>
  <c r="V48" i="82" s="1"/>
  <c r="U46" i="82"/>
  <c r="V46" i="82" s="1"/>
  <c r="T49" i="82"/>
  <c r="N60" i="9"/>
  <c r="N61" i="9"/>
  <c r="H71" i="82" s="1"/>
  <c r="U49" i="82" l="1"/>
  <c r="V49" i="82" s="1"/>
  <c r="Y40" i="82" l="1"/>
  <c r="Z40" i="82" s="1"/>
  <c r="Y30" i="82"/>
  <c r="Z30" i="82" s="1"/>
  <c r="Y33" i="82"/>
  <c r="Z33" i="82" s="1"/>
  <c r="Y41" i="82"/>
  <c r="Z41" i="82" s="1"/>
  <c r="Y43" i="82"/>
  <c r="Z43" i="82" s="1"/>
  <c r="Y32" i="82"/>
  <c r="Z32" i="82" s="1"/>
  <c r="Y35" i="82"/>
  <c r="Z35" i="82" s="1"/>
  <c r="Y37" i="82"/>
  <c r="Z37" i="82" s="1"/>
  <c r="Y36" i="82"/>
  <c r="Z36" i="82" s="1"/>
  <c r="Y31" i="82"/>
  <c r="Z31" i="82" s="1"/>
  <c r="Y29" i="82"/>
  <c r="Y42" i="82"/>
  <c r="Z42" i="82" s="1"/>
  <c r="Y34" i="82"/>
  <c r="Z34" i="82" s="1"/>
  <c r="Y39" i="82"/>
  <c r="Z39" i="82" s="1"/>
  <c r="Y38" i="82"/>
  <c r="Z38" i="82" s="1"/>
  <c r="Z29" i="82" l="1"/>
  <c r="Y44" i="82"/>
  <c r="Z44" i="82" s="1"/>
  <c r="D15" i="74" l="1"/>
  <c r="Q29" i="82" l="1"/>
  <c r="Q31" i="82"/>
  <c r="Q33" i="82"/>
  <c r="Q35" i="82"/>
  <c r="Q37" i="82"/>
  <c r="Q39" i="82"/>
  <c r="Q41" i="82"/>
  <c r="Q43" i="82"/>
  <c r="Q30" i="82"/>
  <c r="Q32" i="82"/>
  <c r="Q34" i="82"/>
  <c r="Q36" i="82"/>
  <c r="Q38" i="82"/>
  <c r="Q40" i="82"/>
  <c r="Q42" i="82"/>
  <c r="F15" i="74"/>
  <c r="E15" i="74"/>
  <c r="B5" i="74"/>
  <c r="Q44" i="82" l="1"/>
  <c r="P29" i="82"/>
  <c r="R29" i="82" s="1"/>
  <c r="P31" i="82"/>
  <c r="P33" i="82"/>
  <c r="P35" i="82"/>
  <c r="P37" i="82"/>
  <c r="P39" i="82"/>
  <c r="P41" i="82"/>
  <c r="P43" i="82"/>
  <c r="P30" i="82"/>
  <c r="R30" i="82" s="1"/>
  <c r="P32" i="82"/>
  <c r="P34" i="82"/>
  <c r="P36" i="82"/>
  <c r="P38" i="82"/>
  <c r="P40" i="82"/>
  <c r="P42" i="82"/>
  <c r="C5" i="74"/>
  <c r="D5" i="74"/>
  <c r="R42" i="82" l="1"/>
  <c r="E68" i="82" s="1"/>
  <c r="R38" i="82"/>
  <c r="E64" i="82" s="1"/>
  <c r="R34" i="82"/>
  <c r="S34" i="82" s="1"/>
  <c r="F60" i="82" s="1"/>
  <c r="R41" i="82"/>
  <c r="E67" i="82" s="1"/>
  <c r="R37" i="82"/>
  <c r="E63" i="82" s="1"/>
  <c r="R33" i="82"/>
  <c r="R40" i="82"/>
  <c r="R36" i="82"/>
  <c r="R32" i="82"/>
  <c r="R43" i="82"/>
  <c r="R39" i="82"/>
  <c r="R35" i="82"/>
  <c r="R31" i="82"/>
  <c r="P44" i="82"/>
  <c r="E66" i="82"/>
  <c r="E62" i="82"/>
  <c r="E58" i="82"/>
  <c r="S43" i="82"/>
  <c r="F69" i="82" s="1"/>
  <c r="S39" i="82"/>
  <c r="F65" i="82" s="1"/>
  <c r="E61" i="82"/>
  <c r="E57" i="82"/>
  <c r="S38" i="82"/>
  <c r="F64" i="82" s="1"/>
  <c r="E60" i="82"/>
  <c r="S30" i="82"/>
  <c r="F56" i="82" s="1"/>
  <c r="E56" i="82"/>
  <c r="S41" i="82"/>
  <c r="F67" i="82" s="1"/>
  <c r="E55" i="82"/>
  <c r="S29" i="82"/>
  <c r="F55" i="82" s="1"/>
  <c r="G15" i="74"/>
  <c r="B6" i="74" s="1"/>
  <c r="S33" i="82" l="1"/>
  <c r="E59" i="82"/>
  <c r="F59" i="82" s="1"/>
  <c r="F61" i="82"/>
  <c r="S37" i="82"/>
  <c r="F63" i="82" s="1"/>
  <c r="S42" i="82"/>
  <c r="F68" i="82" s="1"/>
  <c r="R44" i="82"/>
  <c r="S31" i="82"/>
  <c r="F57" i="82" s="1"/>
  <c r="S35" i="82"/>
  <c r="E65" i="82"/>
  <c r="E69" i="82"/>
  <c r="D77" i="82" s="1"/>
  <c r="S32" i="82"/>
  <c r="F58" i="82" s="1"/>
  <c r="S36" i="82"/>
  <c r="F62" i="82" s="1"/>
  <c r="S40" i="82"/>
  <c r="F66" i="82" s="1"/>
  <c r="D6" i="74"/>
  <c r="C6" i="74"/>
  <c r="E70" i="82" l="1"/>
  <c r="S44" i="82"/>
  <c r="T42" i="82"/>
  <c r="T29" i="82" l="1"/>
  <c r="T41" i="82"/>
  <c r="T37" i="82"/>
  <c r="T33" i="82"/>
  <c r="T36" i="82"/>
  <c r="T35" i="82"/>
  <c r="F70" i="82"/>
  <c r="T38" i="82"/>
  <c r="T32" i="82"/>
  <c r="E75" i="82"/>
  <c r="S101" i="82" s="1"/>
  <c r="T40" i="82"/>
  <c r="T30" i="82"/>
  <c r="T43" i="82"/>
  <c r="T34" i="82"/>
  <c r="T39" i="82"/>
  <c r="T31" i="82"/>
  <c r="I15" i="74" l="1"/>
  <c r="B8" i="74" s="1"/>
  <c r="T101" i="82"/>
  <c r="E92" i="82"/>
  <c r="S99" i="82"/>
  <c r="S100" i="82"/>
  <c r="S102" i="82"/>
  <c r="S84" i="82"/>
  <c r="S86" i="82"/>
  <c r="S88" i="82"/>
  <c r="S90" i="82"/>
  <c r="S92" i="82"/>
  <c r="S94" i="82"/>
  <c r="S96" i="82"/>
  <c r="S85" i="82"/>
  <c r="S87" i="82"/>
  <c r="S89" i="82"/>
  <c r="S91" i="82"/>
  <c r="S93" i="82"/>
  <c r="S95" i="82"/>
  <c r="S97" i="82"/>
  <c r="T44" i="82"/>
  <c r="U32" i="82"/>
  <c r="U42" i="82"/>
  <c r="U35" i="82"/>
  <c r="U36" i="82"/>
  <c r="U37" i="82"/>
  <c r="U39" i="82"/>
  <c r="U43" i="82"/>
  <c r="U40" i="82"/>
  <c r="U38" i="82"/>
  <c r="U33" i="82"/>
  <c r="U41" i="82"/>
  <c r="U31" i="82"/>
  <c r="U34" i="82"/>
  <c r="U30" i="82"/>
  <c r="U29" i="82"/>
  <c r="V29" i="82" s="1"/>
  <c r="H55" i="82" s="1"/>
  <c r="C8" i="74" l="1"/>
  <c r="D8" i="74"/>
  <c r="T102" i="82"/>
  <c r="E102" i="82"/>
  <c r="T100" i="82"/>
  <c r="E101" i="82"/>
  <c r="T99" i="82"/>
  <c r="E100" i="82"/>
  <c r="E103" i="82" s="1"/>
  <c r="T95" i="82"/>
  <c r="E96" i="82"/>
  <c r="T96" i="82"/>
  <c r="E97" i="82"/>
  <c r="T97" i="82"/>
  <c r="E98" i="82"/>
  <c r="T93" i="82"/>
  <c r="E94" i="82"/>
  <c r="T94" i="82"/>
  <c r="E95" i="82"/>
  <c r="T92" i="82"/>
  <c r="E93" i="82"/>
  <c r="T91" i="82"/>
  <c r="E91" i="82"/>
  <c r="T87" i="82"/>
  <c r="E87" i="82"/>
  <c r="T88" i="82"/>
  <c r="E88" i="82"/>
  <c r="F88" i="82" s="1"/>
  <c r="T89" i="82"/>
  <c r="E89" i="82"/>
  <c r="T85" i="82"/>
  <c r="E85" i="82"/>
  <c r="T90" i="82"/>
  <c r="E90" i="82"/>
  <c r="F90" i="82" s="1"/>
  <c r="T86" i="82"/>
  <c r="E86" i="82"/>
  <c r="T84" i="82"/>
  <c r="E84" i="82"/>
  <c r="S104" i="82"/>
  <c r="G55" i="82"/>
  <c r="U44" i="82"/>
  <c r="G70" i="82" s="1"/>
  <c r="V37" i="82"/>
  <c r="H63" i="82" s="1"/>
  <c r="G63" i="82"/>
  <c r="G61" i="82"/>
  <c r="V35" i="82"/>
  <c r="H61" i="82" s="1"/>
  <c r="G66" i="82"/>
  <c r="V40" i="82"/>
  <c r="H66" i="82" s="1"/>
  <c r="G65" i="82"/>
  <c r="V39" i="82"/>
  <c r="H65" i="82" s="1"/>
  <c r="V33" i="82"/>
  <c r="H59" i="82" s="1"/>
  <c r="G59" i="82"/>
  <c r="G58" i="82"/>
  <c r="V32" i="82"/>
  <c r="H58" i="82" s="1"/>
  <c r="G60" i="82"/>
  <c r="V34" i="82"/>
  <c r="H60" i="82" s="1"/>
  <c r="V36" i="82"/>
  <c r="H62" i="82" s="1"/>
  <c r="G62" i="82"/>
  <c r="G68" i="82"/>
  <c r="V42" i="82"/>
  <c r="H68" i="82" s="1"/>
  <c r="V43" i="82"/>
  <c r="H69" i="82" s="1"/>
  <c r="G69" i="82"/>
  <c r="G67" i="82"/>
  <c r="V41" i="82"/>
  <c r="H67" i="82" s="1"/>
  <c r="G64" i="82"/>
  <c r="V38" i="82"/>
  <c r="H64" i="82" s="1"/>
  <c r="G56" i="82"/>
  <c r="V30" i="82"/>
  <c r="H56" i="82" s="1"/>
  <c r="G57" i="82"/>
  <c r="V31" i="82"/>
  <c r="H57" i="82" s="1"/>
  <c r="E99" i="82" l="1"/>
  <c r="E104" i="82" s="1"/>
  <c r="D107" i="82"/>
  <c r="G75" i="82"/>
  <c r="D78" i="82"/>
  <c r="V44" i="82"/>
  <c r="H70" i="82" s="1"/>
  <c r="F99" i="82" l="1"/>
  <c r="V99" i="82"/>
  <c r="V101" i="82"/>
  <c r="V100" i="82"/>
  <c r="V102" i="82"/>
  <c r="V84" i="82"/>
  <c r="V85" i="82"/>
  <c r="V89" i="82"/>
  <c r="V93" i="82"/>
  <c r="V86" i="82"/>
  <c r="V88" i="82"/>
  <c r="V90" i="82"/>
  <c r="V92" i="82"/>
  <c r="V94" i="82"/>
  <c r="V96" i="82"/>
  <c r="V87" i="82"/>
  <c r="V91" i="82"/>
  <c r="V95" i="82"/>
  <c r="V97" i="82"/>
  <c r="W102" i="82" l="1"/>
  <c r="G102" i="82"/>
  <c r="W100" i="82"/>
  <c r="G101" i="82"/>
  <c r="W99" i="82"/>
  <c r="G100" i="82"/>
  <c r="G103" i="82" s="1"/>
  <c r="W95" i="82"/>
  <c r="G96" i="82"/>
  <c r="W97" i="82"/>
  <c r="G98" i="82"/>
  <c r="W96" i="82"/>
  <c r="G97" i="82"/>
  <c r="W93" i="82"/>
  <c r="G94" i="82"/>
  <c r="W94" i="82"/>
  <c r="G95" i="82"/>
  <c r="W92" i="82"/>
  <c r="G93" i="82"/>
  <c r="W101" i="82"/>
  <c r="G92" i="82"/>
  <c r="W87" i="82"/>
  <c r="G87" i="82"/>
  <c r="W86" i="82"/>
  <c r="G86" i="82"/>
  <c r="W89" i="82"/>
  <c r="G89" i="82"/>
  <c r="W91" i="82"/>
  <c r="G91" i="82"/>
  <c r="W88" i="82"/>
  <c r="G88" i="82"/>
  <c r="W85" i="82"/>
  <c r="G85" i="82"/>
  <c r="W90" i="82"/>
  <c r="G90" i="82"/>
  <c r="W84" i="82"/>
  <c r="G84" i="82"/>
  <c r="V104" i="82"/>
  <c r="G99" i="82" l="1"/>
  <c r="G104" i="82" s="1"/>
  <c r="D108"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<sst xmlns="http://schemas.openxmlformats.org/spreadsheetml/2006/main" count="8671" uniqueCount="3598">
  <si>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</si>
  <si>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</si>
  <si>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</si>
  <si>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</si>
  <si>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</si>
  <si>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</si>
  <si>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</si>
  <si>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</si>
  <si>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</si>
  <si>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</si>
  <si>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</si>
  <si>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</si>
  <si>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</si>
  <si>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</si>
  <si>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</si>
  <si>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</si>
  <si>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</si>
  <si>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</si>
  <si>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</si>
  <si>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</si>
  <si>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</si>
  <si>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</si>
  <si>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</si>
  <si>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</si>
  <si>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</si>
  <si>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</si>
  <si>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</si>
  <si>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</si>
  <si>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</si>
  <si>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</si>
  <si>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</si>
  <si>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</si>
  <si>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</si>
  <si>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</si>
  <si>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</si>
  <si>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</si>
  <si>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</si>
  <si>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</si>
  <si>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</si>
  <si>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</si>
  <si>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</si>
  <si>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</si>
  <si>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</si>
  <si>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</si>
  <si>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</si>
  <si>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</si>
  <si>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</si>
  <si>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</si>
  <si>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</si>
  <si>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</si>
  <si>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</si>
  <si>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</si>
  <si>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</si>
  <si>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</si>
  <si>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</si>
  <si>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</si>
  <si>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</si>
  <si>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</si>
  <si>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</si>
  <si>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</si>
  <si>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</si>
  <si>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</si>
  <si>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</si>
  <si>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</si>
  <si>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</si>
  <si>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</si>
  <si>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</si>
  <si>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</si>
  <si>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</si>
  <si>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</si>
  <si>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</si>
  <si>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</si>
  <si>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</si>
  <si>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</si>
  <si>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</si>
  <si>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</si>
  <si>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</si>
  <si>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</si>
  <si>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</si>
  <si>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</si>
  <si>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</si>
  <si>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</si>
  <si>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</si>
  <si>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</si>
  <si>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</si>
  <si>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</si>
  <si>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</si>
  <si>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</si>
  <si>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</si>
  <si>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</si>
  <si>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</si>
  <si>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</si>
  <si>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</si>
  <si>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</si>
  <si>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</si>
  <si>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</si>
  <si>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</si>
  <si>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</si>
  <si>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</si>
  <si>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</si>
  <si>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</si>
  <si>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</si>
  <si>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</si>
  <si>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</si>
  <si>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</si>
  <si>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</si>
  <si>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</si>
  <si>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</si>
  <si>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</si>
  <si>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</si>
  <si>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</si>
  <si>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</si>
  <si>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</si>
  <si>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</si>
  <si>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</si>
  <si>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</si>
  <si>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</si>
  <si>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</si>
  <si>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</si>
  <si>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</si>
  <si>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</si>
  <si>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</si>
  <si>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</si>
  <si>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</si>
  <si>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</si>
  <si>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</si>
  <si>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</si>
  <si>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</si>
  <si>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</si>
  <si>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</si>
  <si>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</si>
  <si>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</si>
  <si>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</si>
  <si>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</si>
  <si>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</si>
  <si>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</si>
  <si>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</si>
  <si>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</si>
  <si>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</si>
  <si>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</si>
  <si>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</si>
  <si>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</si>
  <si>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</si>
  <si>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</si>
  <si>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</si>
  <si>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</si>
  <si>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</si>
  <si>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</si>
  <si>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</si>
  <si>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</si>
  <si>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</si>
  <si>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</si>
  <si>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</si>
  <si>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</si>
  <si>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</si>
  <si>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</si>
  <si>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</si>
  <si>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</si>
  <si>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</si>
  <si>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</si>
  <si>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</si>
  <si>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</si>
  <si>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</si>
  <si>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</si>
  <si>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</si>
  <si>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</si>
  <si>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</si>
  <si>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</si>
  <si>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</si>
  <si>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</si>
  <si>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</si>
  <si>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</si>
  <si>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</si>
  <si>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</si>
  <si>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</si>
  <si>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</si>
  <si>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</si>
  <si>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</si>
  <si>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</si>
  <si>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</si>
  <si>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</si>
  <si>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</si>
  <si>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</si>
  <si>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</si>
  <si>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</si>
  <si>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</si>
  <si>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</si>
  <si>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</si>
  <si>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</si>
  <si>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</si>
  <si>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</si>
  <si>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</si>
  <si>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</si>
  <si>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</si>
  <si>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</si>
  <si>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</si>
  <si>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</si>
  <si>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</si>
  <si>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</si>
  <si>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</si>
  <si>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</si>
  <si>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</si>
  <si>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</si>
  <si>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</si>
  <si>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</si>
  <si>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</si>
  <si>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</si>
  <si>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</si>
  <si>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</si>
  <si>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</si>
  <si>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</si>
  <si>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</si>
  <si>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</si>
  <si>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</si>
  <si>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</si>
  <si>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</si>
  <si>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</si>
  <si>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</si>
  <si>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</si>
  <si>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</si>
  <si>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</si>
  <si>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</si>
  <si>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</si>
  <si>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</si>
  <si>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</si>
  <si>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</si>
  <si>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</si>
  <si>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</si>
  <si>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</si>
  <si>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</si>
  <si>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</si>
  <si>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</si>
  <si>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</si>
  <si>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</si>
  <si>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</si>
  <si>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</si>
  <si>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</si>
  <si>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</si>
  <si>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</si>
  <si>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</si>
  <si>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</si>
  <si>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</si>
  <si>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</si>
  <si>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</si>
  <si>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</si>
  <si>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</si>
  <si>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</si>
  <si>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</si>
  <si>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</si>
  <si>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</si>
  <si>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</si>
  <si>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</si>
  <si>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</si>
  <si>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</si>
  <si>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</si>
  <si>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</si>
  <si>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</si>
  <si>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</si>
  <si>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</si>
  <si>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</si>
  <si>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</si>
  <si>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</si>
  <si>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</si>
  <si>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</si>
  <si>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</si>
  <si>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</si>
  <si>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</si>
  <si>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</si>
  <si>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</si>
  <si>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</si>
  <si>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</si>
  <si>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</si>
  <si>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</si>
  <si>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</si>
  <si>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</si>
  <si>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</si>
  <si>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</si>
  <si>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</si>
  <si>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</si>
  <si>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</si>
  <si>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</si>
  <si>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</si>
  <si>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</si>
  <si>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</si>
  <si>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</si>
  <si>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</si>
  <si>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</si>
  <si>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</si>
  <si>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</si>
  <si>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</si>
  <si>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</si>
  <si>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</si>
  <si>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</si>
  <si>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</si>
  <si>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</si>
  <si>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</si>
  <si>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</si>
  <si>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</si>
  <si>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</si>
  <si>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</si>
  <si>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</si>
  <si>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</si>
  <si>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</si>
  <si>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</si>
  <si>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</si>
  <si>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</si>
  <si>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</si>
  <si>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</si>
  <si>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</si>
  <si>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</si>
  <si>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</si>
  <si>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</si>
  <si>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</si>
  <si>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</si>
  <si>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</si>
  <si>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</si>
  <si>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</si>
  <si>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</si>
  <si>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</si>
  <si>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</si>
  <si>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</si>
  <si>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</si>
  <si>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</si>
  <si>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</si>
  <si>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</si>
  <si>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</si>
  <si>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</si>
  <si>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</si>
  <si>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</si>
  <si>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</si>
  <si>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</si>
  <si>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</si>
  <si>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</si>
  <si>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</si>
  <si>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</si>
  <si>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</si>
  <si>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</si>
  <si>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</si>
  <si>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</si>
  <si>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</si>
  <si>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</si>
  <si>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</si>
  <si>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</si>
  <si>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</si>
  <si>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</si>
  <si>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</si>
  <si>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</si>
  <si>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</si>
  <si>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</si>
  <si>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</si>
  <si>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</si>
  <si>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</si>
  <si>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</si>
  <si>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</si>
  <si>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</si>
  <si>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</si>
  <si>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</si>
  <si>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</si>
  <si>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</si>
  <si>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</si>
  <si>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</si>
  <si>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</si>
  <si>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</si>
  <si>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</si>
  <si>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</si>
  <si>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</si>
  <si>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</si>
  <si>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</si>
  <si>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</si>
  <si>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</si>
  <si>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</si>
  <si>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</si>
  <si>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</si>
  <si>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</si>
  <si>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</si>
  <si>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</si>
  <si>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</si>
  <si>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</si>
  <si>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</si>
  <si>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</si>
  <si>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</si>
  <si>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</si>
  <si>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</si>
  <si>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</si>
  <si>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</si>
  <si>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</si>
  <si>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</si>
  <si>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</si>
  <si>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</si>
  <si>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</si>
  <si>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</si>
  <si>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</si>
  <si>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</si>
  <si>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</si>
  <si>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</si>
  <si>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</si>
  <si>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</si>
  <si>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</si>
  <si>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</si>
  <si>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</si>
  <si>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</si>
  <si>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</si>
  <si>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</si>
  <si>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</si>
  <si>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</si>
  <si>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</si>
  <si>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</si>
  <si>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</si>
  <si>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</si>
  <si>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</si>
  <si>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</si>
  <si>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</si>
  <si>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</si>
  <si>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</si>
  <si>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</si>
  <si>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</si>
  <si>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</si>
  <si>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</si>
  <si>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</si>
  <si>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</si>
  <si>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</si>
  <si>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</si>
  <si>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</si>
  <si>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</si>
  <si>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</si>
  <si>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</si>
  <si>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</si>
  <si>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</si>
  <si>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</si>
  <si>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</si>
  <si>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</si>
  <si>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</si>
  <si>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</si>
  <si>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</si>
  <si>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</si>
  <si>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</si>
  <si>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</si>
  <si>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</si>
  <si>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</si>
  <si>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</si>
  <si>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</si>
  <si>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</si>
  <si>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</si>
  <si>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</si>
  <si>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</si>
  <si>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</si>
  <si>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</si>
  <si>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</si>
  <si>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</si>
  <si>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</si>
  <si>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</si>
  <si>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</si>
  <si>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</si>
  <si>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</si>
  <si>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</si>
  <si>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</si>
  <si>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</si>
  <si>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</si>
  <si>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</si>
  <si>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</si>
  <si>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</si>
  <si>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</si>
  <si>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</si>
  <si>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</si>
  <si>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</si>
  <si>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</si>
  <si>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</si>
  <si>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</si>
  <si>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</si>
  <si>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</si>
  <si>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</si>
  <si>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</si>
  <si>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</si>
  <si>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</si>
  <si>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</si>
  <si>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</si>
  <si>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</si>
  <si>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</si>
  <si>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</si>
  <si>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</si>
  <si>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</si>
  <si>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</si>
  <si>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</si>
  <si>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</si>
  <si>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</si>
  <si>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</si>
  <si>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</si>
  <si>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</si>
  <si>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</si>
  <si>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</si>
  <si>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</si>
  <si>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</si>
  <si>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</si>
  <si>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</si>
  <si>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</si>
  <si>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</si>
  <si>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</si>
  <si>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</si>
  <si>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</si>
  <si>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</si>
  <si>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</si>
  <si>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</si>
  <si>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</si>
  <si>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</si>
  <si>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</si>
  <si>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</si>
  <si>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</si>
  <si>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</si>
  <si>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</si>
  <si>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</si>
  <si>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</si>
  <si>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</si>
  <si>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</si>
  <si>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</si>
  <si>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</si>
  <si>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</si>
  <si>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</si>
  <si>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</si>
  <si>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</si>
  <si>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</si>
  <si>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</si>
  <si>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</si>
  <si>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</si>
  <si>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</si>
  <si>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</si>
  <si>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</si>
  <si>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</si>
  <si>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</si>
  <si>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</si>
  <si>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</si>
  <si>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</si>
  <si>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</si>
  <si>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</si>
  <si>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</si>
  <si>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</si>
  <si>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</si>
  <si>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</si>
  <si>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</si>
  <si>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</si>
  <si>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</si>
  <si>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</si>
  <si>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</si>
  <si>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</si>
  <si>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</si>
  <si>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</si>
  <si>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</si>
  <si>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</si>
  <si>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</si>
  <si>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</si>
  <si>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</si>
  <si>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</si>
  <si>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</si>
  <si>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</si>
  <si>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</si>
  <si>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</si>
  <si>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</si>
  <si>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</si>
  <si>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</si>
  <si>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</si>
  <si>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</si>
  <si>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</si>
  <si>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</si>
  <si>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</si>
  <si>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</si>
  <si>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</si>
  <si>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</si>
  <si>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</si>
  <si>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</si>
  <si>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</si>
  <si>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</si>
  <si>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</si>
  <si>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</si>
  <si>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</si>
  <si>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</si>
  <si>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</si>
  <si>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</si>
  <si>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</si>
  <si>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</si>
  <si>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</si>
  <si>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</si>
  <si>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</si>
  <si>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</si>
  <si>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</si>
  <si>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</si>
  <si>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</si>
  <si>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</si>
  <si>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</si>
  <si>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</si>
  <si>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</si>
  <si>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</si>
  <si>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</si>
  <si>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</si>
  <si>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</si>
  <si>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</si>
  <si>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</si>
  <si>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</si>
  <si>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</si>
  <si>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</si>
  <si>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</si>
  <si>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</si>
  <si>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</si>
  <si>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</si>
  <si>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</si>
  <si>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</si>
  <si>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</si>
  <si>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</si>
  <si>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</si>
  <si>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</si>
  <si>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</si>
  <si>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</si>
  <si>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</si>
  <si>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</si>
  <si>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</si>
  <si>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</si>
  <si>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</si>
  <si>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</si>
  <si>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</si>
  <si>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</si>
  <si>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</si>
  <si>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</si>
  <si>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</si>
  <si>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</si>
  <si>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</si>
  <si>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</si>
  <si>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</si>
  <si>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</si>
  <si>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</si>
  <si>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</si>
  <si>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</si>
  <si>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</si>
  <si>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</si>
  <si>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</si>
  <si>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</si>
  <si>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</si>
  <si>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</si>
  <si>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</si>
  <si>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</si>
  <si>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</si>
  <si>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</si>
  <si>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</si>
  <si>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</si>
  <si>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</si>
  <si>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</si>
  <si>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</si>
  <si>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</si>
  <si>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</si>
  <si>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</si>
  <si>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</si>
  <si>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</si>
  <si>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</si>
  <si>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</si>
  <si>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</si>
  <si>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</si>
  <si>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</si>
  <si>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</si>
  <si>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</si>
  <si>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</si>
  <si>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</si>
  <si>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</si>
  <si>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</si>
  <si>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</si>
  <si>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</si>
  <si>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</si>
  <si>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</si>
  <si>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</si>
  <si>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</si>
  <si>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</si>
  <si>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</si>
  <si>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</si>
  <si>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</si>
  <si>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</si>
  <si>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</si>
  <si>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</si>
  <si>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</si>
  <si>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</si>
  <si>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</si>
  <si>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</si>
  <si>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</si>
  <si>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</si>
  <si>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</si>
  <si>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</si>
  <si>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</si>
  <si>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</si>
  <si>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</si>
  <si>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</si>
  <si>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</si>
  <si>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</si>
  <si>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</si>
  <si>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</si>
  <si>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</si>
  <si>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</si>
  <si>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</si>
  <si>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</si>
  <si>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</si>
  <si>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</si>
  <si>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</si>
  <si>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</si>
  <si>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</si>
  <si>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</si>
  <si>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</si>
  <si>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</si>
  <si>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</si>
  <si>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</si>
  <si>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</si>
  <si>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</si>
  <si>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</si>
  <si>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</si>
  <si>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</si>
  <si>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</si>
  <si>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</si>
  <si>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</si>
  <si>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</si>
  <si>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</si>
  <si>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</si>
  <si>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</si>
  <si>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</si>
  <si>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</si>
  <si>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</si>
  <si>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</si>
  <si>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</si>
  <si>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</si>
  <si>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</si>
  <si>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</si>
  <si>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</si>
  <si>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</si>
  <si>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</si>
  <si>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</si>
  <si>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</si>
  <si>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</si>
  <si>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</si>
  <si>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</si>
  <si>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</si>
  <si>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</si>
  <si>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</si>
  <si>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</si>
  <si>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</si>
  <si>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</si>
  <si>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</si>
  <si>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</si>
  <si>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</si>
  <si>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</si>
  <si>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</si>
  <si>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</si>
  <si>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</si>
  <si>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</si>
  <si>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</si>
  <si>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</si>
  <si>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</si>
  <si>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</si>
  <si>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</si>
  <si>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</si>
  <si>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</si>
  <si>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</si>
  <si>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</si>
  <si>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</si>
  <si>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</si>
  <si>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</si>
  <si>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</si>
  <si>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</si>
  <si>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</si>
  <si>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</si>
  <si>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</si>
  <si>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</si>
  <si>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</si>
  <si>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</si>
  <si>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</si>
  <si>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</si>
  <si>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</si>
  <si>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</si>
  <si>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</si>
  <si>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</si>
  <si>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</si>
  <si>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</si>
  <si>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</si>
  <si>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</si>
  <si>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</si>
  <si>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</si>
  <si>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</si>
  <si>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</si>
  <si>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</si>
  <si>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</si>
  <si>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</si>
  <si>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</si>
  <si>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</si>
  <si>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</si>
  <si>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</si>
  <si>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</si>
  <si>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</si>
  <si>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</si>
  <si>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</si>
  <si>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</si>
  <si>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</si>
  <si>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</si>
  <si>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</si>
  <si>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</si>
  <si>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</si>
  <si>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</si>
  <si>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</si>
  <si>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</si>
  <si>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</si>
  <si>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</si>
  <si>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</si>
  <si>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</si>
  <si>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</si>
  <si>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</si>
  <si>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</si>
  <si>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</si>
  <si>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</si>
  <si>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</si>
  <si>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</si>
  <si>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</si>
  <si>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</si>
  <si>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</si>
  <si>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</si>
  <si>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</si>
  <si>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</si>
  <si>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</si>
  <si>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</si>
  <si>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</si>
  <si>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</si>
  <si>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</si>
  <si>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</si>
  <si>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</si>
  <si>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</si>
  <si>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</si>
  <si>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</si>
  <si>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</si>
  <si>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</si>
  <si>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</si>
  <si>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</si>
  <si>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</si>
  <si>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</si>
  <si>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</si>
  <si>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</si>
  <si>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</si>
  <si>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</si>
  <si>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</si>
  <si>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</si>
  <si>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</si>
  <si>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</si>
  <si>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</si>
  <si>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</si>
  <si>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</si>
  <si>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</si>
  <si>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</si>
  <si>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</si>
  <si>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</si>
  <si>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</si>
  <si>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</si>
  <si>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</si>
  <si>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</si>
  <si>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</si>
  <si>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</si>
  <si>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</si>
  <si>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</si>
  <si>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</si>
  <si>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</si>
  <si>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</si>
  <si>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</si>
  <si>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</si>
  <si>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</si>
  <si>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</si>
  <si>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</si>
  <si>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</si>
  <si>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</si>
  <si>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</si>
  <si>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</si>
  <si>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</si>
  <si>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</si>
  <si>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</si>
  <si>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</si>
  <si>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</si>
  <si>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</si>
  <si>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</si>
  <si>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</si>
  <si>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</si>
  <si>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</si>
  <si>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</si>
  <si>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</si>
  <si>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</si>
  <si>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</si>
  <si>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</si>
  <si>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</si>
  <si>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</si>
  <si>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</si>
  <si>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</si>
  <si>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</si>
  <si>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</si>
  <si>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</si>
  <si>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</si>
  <si>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</si>
  <si>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</si>
  <si>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</si>
  <si>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</si>
  <si>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</si>
  <si>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</si>
  <si>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</si>
  <si>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</si>
  <si>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</si>
  <si>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</si>
  <si>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</si>
  <si>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</si>
  <si>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</si>
  <si>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</si>
  <si>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</si>
  <si>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</si>
  <si>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</si>
  <si>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</si>
  <si>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</si>
  <si>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</si>
  <si>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</si>
  <si>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</si>
  <si>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</si>
  <si>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</si>
  <si>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</si>
  <si>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</si>
  <si>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</si>
  <si>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</si>
  <si>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</si>
  <si>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</si>
  <si>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</si>
  <si>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</si>
  <si>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</si>
  <si>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</si>
  <si>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</si>
  <si>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</si>
  <si>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</si>
  <si>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</si>
  <si>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</si>
  <si>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</si>
  <si>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</si>
  <si>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</si>
  <si>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</si>
  <si>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</si>
  <si>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</si>
  <si>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</si>
  <si>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</si>
  <si>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</si>
  <si>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</si>
  <si>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</si>
  <si>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</si>
  <si>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</si>
  <si>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</si>
  <si>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</si>
  <si>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</si>
  <si>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</si>
  <si>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</si>
  <si>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</si>
  <si>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</si>
  <si>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</si>
  <si>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</si>
  <si>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</si>
  <si>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</si>
  <si>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</si>
  <si>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</si>
  <si>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</si>
  <si>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</si>
  <si>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</si>
  <si>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</si>
  <si>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</si>
  <si>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</si>
  <si>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</si>
  <si>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</si>
  <si>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</si>
  <si>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</si>
  <si>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</si>
  <si>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</si>
  <si>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</si>
  <si>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</si>
  <si>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</si>
  <si>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</si>
  <si>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</si>
  <si>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</si>
  <si>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</si>
  <si>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</si>
  <si>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</si>
  <si>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</si>
  <si>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</si>
  <si>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</si>
  <si>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</si>
  <si>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</si>
  <si>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</si>
  <si>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</si>
  <si>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</si>
  <si>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</si>
  <si>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</si>
  <si>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</si>
  <si>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</si>
  <si>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</si>
  <si>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</si>
  <si>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</si>
  <si>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</si>
  <si>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</si>
  <si>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</si>
  <si>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</si>
  <si>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</si>
  <si>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</si>
  <si>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</si>
  <si>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</si>
  <si>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</si>
  <si>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</si>
  <si>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</si>
  <si>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</si>
  <si>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</si>
  <si>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</si>
  <si>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</si>
  <si>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</si>
  <si>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</si>
  <si>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</si>
  <si>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</si>
  <si>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</si>
  <si>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</si>
  <si>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</si>
  <si>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</si>
  <si>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</si>
  <si>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</si>
  <si>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</si>
  <si>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</si>
  <si>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</si>
  <si>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</si>
  <si>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</si>
  <si>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</si>
  <si>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</si>
  <si>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</si>
  <si>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</si>
  <si>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</si>
  <si>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</si>
  <si>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</si>
  <si>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</si>
  <si>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</si>
  <si>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</si>
  <si>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</si>
  <si>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</si>
  <si>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</si>
  <si>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</si>
  <si>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</si>
  <si>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</si>
  <si>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</si>
  <si>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</si>
  <si>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</si>
  <si>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</si>
  <si>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</si>
  <si>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</si>
  <si>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</si>
  <si>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</si>
  <si>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</si>
  <si>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</si>
  <si>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</si>
  <si>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</si>
  <si>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</si>
  <si>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</si>
  <si>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</si>
  <si>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</si>
  <si>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</si>
  <si>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</si>
  <si>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</si>
  <si>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</si>
  <si>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</si>
  <si>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</si>
  <si>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</si>
  <si>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</si>
  <si>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</si>
  <si>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</si>
  <si>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</si>
  <si>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</si>
  <si>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</si>
  <si>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</si>
  <si>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</si>
  <si>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</si>
  <si>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</si>
  <si>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</si>
  <si>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</si>
  <si>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</si>
  <si>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</si>
  <si>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</si>
  <si>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</si>
  <si>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</si>
  <si>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</si>
  <si>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</si>
  <si>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</si>
  <si>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</si>
  <si>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</si>
  <si>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</si>
  <si>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</si>
  <si>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</si>
  <si>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</si>
  <si>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</si>
  <si>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</si>
  <si>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</si>
  <si>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</si>
  <si>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</si>
  <si>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</si>
  <si>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</si>
  <si>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</si>
  <si>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</si>
  <si>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</si>
  <si>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</si>
  <si>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</si>
  <si>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</si>
  <si>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</si>
  <si>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</si>
  <si>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</si>
  <si>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</si>
  <si>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</si>
  <si>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</si>
  <si>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</si>
  <si>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</si>
  <si>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</si>
  <si>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</si>
  <si>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</si>
  <si>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</si>
  <si>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</si>
  <si>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</si>
  <si>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</si>
  <si>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</si>
  <si>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</si>
  <si>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</si>
  <si>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</si>
  <si>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</si>
  <si>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</si>
  <si>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</si>
  <si>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</si>
  <si>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</si>
  <si>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</si>
  <si>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</si>
  <si>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</si>
  <si>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</si>
  <si>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</si>
  <si>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</si>
  <si>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</si>
  <si>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</si>
  <si>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</si>
  <si>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</si>
  <si>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</si>
  <si>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</si>
  <si>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</si>
  <si>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</si>
  <si>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</si>
  <si>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</si>
  <si>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</si>
  <si>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</si>
  <si>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</si>
  <si>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</si>
  <si>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</si>
  <si>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</si>
  <si>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</si>
  <si>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</si>
  <si>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</si>
  <si>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</si>
  <si>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</si>
  <si>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</si>
  <si>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</si>
  <si>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</si>
  <si>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</si>
  <si>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</si>
  <si>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</si>
  <si>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</si>
  <si>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</si>
  <si>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</si>
  <si>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</si>
  <si>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</si>
  <si>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</si>
  <si>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</si>
  <si>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</si>
  <si>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</si>
  <si>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</si>
  <si>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</si>
  <si>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</si>
  <si>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</si>
  <si>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</si>
  <si>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</si>
  <si>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</si>
  <si>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</si>
  <si>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</si>
  <si>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</si>
  <si>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</si>
  <si>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</si>
  <si>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</si>
  <si>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</si>
  <si>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</si>
  <si>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</si>
  <si>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</si>
  <si>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</si>
  <si>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</si>
  <si>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</si>
  <si>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</si>
  <si>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</si>
  <si>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</si>
  <si>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</si>
  <si>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</si>
  <si>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</si>
  <si>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</si>
  <si>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</si>
  <si>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</si>
  <si>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</si>
  <si>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</si>
  <si>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</si>
  <si>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</si>
  <si>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</si>
  <si>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</si>
  <si>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</si>
  <si>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</si>
  <si>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</si>
  <si>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</si>
  <si>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</si>
  <si>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</si>
  <si>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</si>
  <si>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</si>
  <si>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</si>
  <si>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</si>
  <si>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</si>
  <si>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</si>
  <si>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</si>
  <si>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</si>
  <si>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</si>
  <si>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</si>
  <si>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</si>
  <si>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</si>
  <si>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</si>
  <si>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</si>
  <si>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</si>
  <si>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</si>
  <si>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</si>
  <si>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</si>
  <si>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</si>
  <si>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</si>
  <si>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</si>
  <si>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</si>
  <si>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</si>
  <si>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</si>
  <si>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</si>
  <si>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</si>
  <si>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</si>
  <si>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</si>
  <si>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</si>
  <si>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</si>
  <si>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</si>
  <si>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</si>
  <si>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</si>
  <si>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</si>
  <si>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</si>
  <si>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</si>
  <si>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</si>
  <si>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</si>
  <si>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</si>
  <si>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</si>
  <si>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</si>
  <si>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</si>
  <si>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</si>
  <si>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</si>
  <si>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</si>
  <si>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</si>
  <si>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</si>
  <si>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</si>
  <si>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</si>
  <si>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</si>
  <si>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</si>
  <si>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</si>
  <si>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</si>
  <si>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</si>
  <si>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</si>
  <si>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</si>
  <si>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</si>
  <si>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</si>
  <si>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</si>
  <si>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</si>
  <si>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</si>
  <si>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</si>
  <si>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</si>
  <si>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</si>
  <si>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</si>
  <si>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</si>
  <si>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</si>
  <si>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</si>
  <si>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</si>
  <si>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</si>
  <si>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</si>
  <si>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</si>
  <si>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</si>
  <si>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</si>
  <si>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</si>
  <si>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</si>
  <si>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</si>
  <si>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</si>
  <si>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</si>
  <si>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</si>
  <si>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</si>
  <si>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</si>
  <si>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</si>
  <si>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</si>
  <si>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</si>
  <si>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</si>
  <si>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</si>
  <si>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</si>
  <si>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</si>
  <si>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</si>
  <si>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</si>
  <si>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</si>
  <si>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</si>
  <si>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</si>
  <si>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</si>
  <si>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</si>
  <si>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</si>
  <si>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</si>
  <si>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</si>
  <si>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</si>
  <si>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</si>
  <si>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</si>
  <si>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</si>
  <si>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</si>
  <si>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</si>
  <si>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</si>
  <si>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</si>
  <si>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</si>
  <si>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</si>
  <si>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</si>
  <si>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</si>
  <si>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</si>
  <si>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</si>
  <si>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</si>
  <si>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</si>
  <si>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</si>
  <si>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</si>
  <si>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</si>
  <si>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</si>
  <si>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</si>
  <si>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</si>
  <si>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</si>
  <si>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</si>
  <si>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</si>
  <si>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</si>
  <si>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</si>
  <si>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</si>
  <si>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</si>
  <si>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</si>
  <si>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</si>
  <si>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</si>
  <si>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</si>
  <si>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</si>
  <si>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</si>
  <si>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</si>
  <si>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</si>
  <si>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</si>
  <si>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</si>
  <si>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</si>
  <si>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</si>
  <si>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</si>
  <si>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</si>
  <si>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</si>
  <si>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</si>
  <si>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</si>
  <si>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</si>
  <si>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</si>
  <si>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</si>
  <si>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</si>
  <si>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</si>
  <si>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</si>
  <si>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</si>
  <si>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</si>
  <si>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</si>
  <si>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</si>
  <si>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</si>
  <si>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</si>
  <si>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</si>
  <si>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</si>
  <si>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</si>
  <si>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</si>
  <si>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</si>
  <si>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</si>
  <si>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</si>
  <si>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</si>
  <si>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</si>
  <si>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</si>
  <si>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</si>
  <si>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</si>
  <si>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</si>
  <si>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</si>
  <si>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</si>
  <si>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</si>
  <si>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</si>
  <si>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</si>
  <si>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</si>
  <si>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</si>
  <si>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</si>
  <si>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</si>
  <si>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</si>
  <si>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</si>
  <si>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</si>
  <si>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</si>
  <si>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</si>
  <si>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</si>
  <si>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</si>
  <si>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</si>
  <si>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</si>
  <si>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</si>
  <si>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</si>
  <si>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</si>
  <si>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</si>
  <si>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</si>
  <si>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</si>
  <si>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</si>
  <si>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</si>
  <si>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</si>
  <si>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</si>
  <si>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</si>
  <si>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</si>
  <si>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</si>
  <si>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</si>
  <si>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</si>
  <si>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</si>
  <si>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</si>
  <si>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</si>
  <si>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</si>
  <si>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</si>
  <si>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</si>
  <si>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</si>
  <si>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</si>
  <si>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</si>
  <si>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</si>
  <si>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</si>
  <si>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</si>
  <si>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</si>
  <si>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</si>
  <si>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</si>
  <si>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</si>
  <si>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</si>
  <si>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</si>
  <si>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</si>
  <si>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</si>
  <si>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</si>
  <si>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</si>
  <si>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</si>
  <si>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</si>
  <si>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</si>
  <si>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</si>
  <si>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</si>
  <si>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</si>
  <si>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</si>
  <si>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</si>
  <si>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</si>
  <si>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</si>
  <si>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</si>
  <si>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</si>
  <si>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</si>
  <si>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</si>
  <si>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</si>
  <si>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</si>
  <si>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</si>
  <si>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</si>
  <si>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</si>
  <si>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</si>
  <si>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</si>
  <si>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</si>
  <si>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</si>
  <si>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</si>
  <si>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</si>
  <si>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</si>
  <si>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</si>
  <si>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</si>
  <si>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</si>
  <si>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</si>
  <si>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</si>
  <si>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</si>
  <si>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</si>
  <si>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</si>
  <si>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</si>
  <si>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</si>
  <si>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</si>
  <si>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</si>
  <si>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</si>
  <si>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</si>
  <si>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</si>
  <si>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</si>
  <si>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</si>
  <si>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</si>
  <si>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</si>
  <si>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</si>
  <si>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</si>
  <si>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</si>
  <si>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</si>
  <si>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</si>
  <si>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</si>
  <si>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</si>
  <si>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</si>
  <si>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</si>
  <si>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</si>
  <si>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</si>
  <si>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</si>
  <si>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</si>
  <si>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</si>
  <si>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</si>
  <si>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</si>
  <si>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</si>
  <si>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</si>
  <si>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</si>
  <si>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</si>
  <si>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</si>
  <si>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</si>
  <si>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</si>
  <si>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</si>
  <si>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</si>
  <si>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</si>
  <si>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</si>
  <si>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</si>
  <si>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</si>
  <si>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</si>
  <si>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</si>
  <si>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</si>
  <si>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</si>
  <si>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</si>
  <si>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</si>
  <si>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</si>
  <si>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</si>
  <si>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</si>
  <si>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</si>
  <si>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</si>
  <si>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</si>
  <si>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</si>
  <si>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</si>
  <si>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</si>
  <si>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</si>
  <si>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</si>
  <si>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</si>
  <si>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</si>
  <si>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</si>
  <si>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</si>
  <si>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</si>
  <si>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</si>
  <si>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</si>
  <si>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</si>
  <si>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</si>
  <si>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</si>
  <si>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</si>
  <si>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</si>
  <si>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</si>
  <si>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</si>
  <si>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</si>
  <si>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</si>
  <si>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</si>
  <si>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</si>
  <si>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</si>
  <si>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</si>
  <si>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</si>
  <si>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</si>
  <si>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</si>
  <si>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</si>
  <si>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</si>
  <si>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</si>
  <si>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</si>
  <si>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</si>
  <si>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</si>
  <si>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</si>
  <si>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</si>
  <si>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</si>
  <si>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</si>
  <si>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</si>
  <si>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</si>
  <si>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</si>
  <si>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</si>
  <si>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</si>
  <si>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</si>
  <si>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</si>
  <si>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</si>
  <si>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</si>
  <si>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</si>
  <si>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</si>
  <si>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</si>
  <si>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</si>
  <si>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</si>
  <si>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</si>
  <si>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</si>
  <si>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</si>
  <si>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</si>
  <si>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</si>
  <si>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</si>
  <si>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</si>
  <si>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</si>
  <si>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</si>
  <si>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</si>
  <si>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</si>
  <si>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</si>
  <si>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</si>
  <si>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</si>
  <si>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</si>
  <si>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</si>
  <si>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</si>
  <si>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</si>
  <si>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</si>
  <si>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</si>
  <si>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</si>
  <si>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</si>
  <si>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</si>
  <si>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</si>
  <si>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</si>
  <si>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</si>
  <si>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</si>
  <si>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</si>
  <si>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</si>
  <si>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</si>
  <si>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</si>
  <si>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</si>
  <si>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</si>
  <si>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</si>
  <si>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</si>
  <si>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</si>
  <si>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</si>
  <si>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</si>
  <si>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</si>
  <si>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</si>
  <si>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</si>
  <si>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</si>
  <si>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</si>
  <si>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</si>
  <si>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</si>
  <si>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</si>
  <si>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</si>
  <si>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</si>
  <si>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</si>
  <si>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</si>
  <si>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</si>
  <si>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</si>
  <si>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</si>
  <si>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</si>
  <si>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</si>
  <si>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</si>
  <si>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</si>
  <si>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</si>
  <si>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</si>
  <si>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</si>
  <si>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</si>
  <si>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</si>
  <si>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</si>
  <si>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</si>
  <si>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</si>
  <si>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</si>
  <si>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</si>
  <si>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</si>
  <si>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</si>
  <si>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</si>
  <si>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</si>
  <si>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</si>
  <si>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</si>
  <si>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</si>
  <si>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</si>
  <si>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</si>
  <si>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</si>
  <si>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</si>
  <si>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</si>
  <si>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</si>
  <si>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</si>
  <si>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</si>
  <si>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</si>
  <si>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</si>
  <si>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</si>
  <si>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</si>
  <si>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</si>
  <si>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</si>
  <si>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</si>
  <si>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</si>
  <si>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</si>
  <si>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</si>
  <si>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</si>
  <si>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</si>
  <si>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</si>
  <si>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</si>
  <si>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</si>
  <si>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</si>
  <si>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</si>
  <si>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</si>
  <si>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</si>
  <si>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</si>
  <si>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</si>
  <si>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</si>
  <si>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</si>
  <si>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</si>
  <si>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</si>
  <si>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</si>
  <si>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</si>
  <si>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</si>
  <si>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</si>
  <si>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</si>
  <si>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</si>
  <si>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</si>
  <si>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</si>
  <si>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</si>
  <si>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</si>
  <si>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</si>
  <si>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</si>
  <si>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</si>
  <si>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</si>
  <si>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</si>
  <si>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</si>
  <si>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</si>
  <si>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</si>
  <si>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</si>
  <si>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</si>
  <si>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</si>
  <si>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</si>
  <si>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</si>
  <si>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</si>
  <si>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</si>
  <si>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</si>
  <si>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</si>
  <si>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</si>
  <si>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</si>
  <si>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</si>
  <si>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</si>
  <si>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</si>
  <si>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</si>
  <si>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</si>
  <si>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</si>
  <si>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</si>
  <si>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</si>
  <si>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</si>
  <si>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</si>
  <si>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</si>
  <si>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</si>
  <si>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</si>
  <si>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</si>
  <si>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</si>
  <si>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</si>
  <si>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</si>
  <si>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</si>
  <si>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</si>
  <si>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</si>
  <si>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</si>
  <si>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</si>
  <si>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</si>
  <si>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</si>
  <si>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</si>
  <si>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</si>
  <si>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</si>
  <si>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</si>
  <si>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</si>
  <si>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</si>
  <si>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</si>
  <si>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</si>
  <si>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</si>
  <si>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</si>
  <si>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</si>
  <si>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</si>
  <si>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</si>
  <si>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</si>
  <si>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</si>
  <si>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</si>
  <si>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</si>
  <si>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</si>
  <si>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</si>
  <si>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</si>
  <si>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</si>
  <si>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</si>
  <si>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</si>
  <si>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</si>
  <si>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</si>
  <si>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</si>
  <si>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</si>
  <si>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</si>
  <si>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</si>
  <si>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</si>
  <si>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</si>
  <si>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</si>
  <si>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</si>
  <si>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</si>
  <si>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</si>
  <si>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</si>
  <si>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</si>
  <si>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</si>
  <si>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</si>
  <si>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</si>
  <si>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</si>
  <si>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</si>
  <si>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</si>
  <si>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</si>
  <si>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</si>
  <si>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</si>
  <si>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</si>
  <si>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</si>
  <si>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</si>
  <si>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</si>
  <si>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</si>
  <si>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</si>
  <si>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</si>
  <si>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</si>
  <si>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</si>
  <si>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</si>
  <si>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</si>
  <si>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</si>
  <si>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</si>
  <si>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</si>
  <si>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</si>
  <si>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</si>
  <si>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</si>
  <si>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</si>
  <si>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</si>
  <si>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</si>
  <si>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</si>
  <si>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</si>
  <si>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</si>
  <si>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</si>
  <si>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</si>
  <si>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</si>
  <si>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</si>
  <si>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</si>
  <si>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</si>
  <si>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</si>
  <si>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</si>
  <si>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</si>
  <si>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</si>
  <si>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</si>
  <si>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</si>
  <si>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</si>
  <si>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</si>
  <si>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</si>
  <si>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</si>
  <si>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</si>
  <si>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</si>
  <si>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</si>
  <si>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</si>
  <si>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</si>
  <si>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</si>
  <si>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</si>
  <si>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</si>
  <si>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</si>
  <si>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</si>
  <si>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</si>
  <si>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</si>
  <si>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</si>
  <si>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</si>
  <si>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</si>
  <si>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</si>
  <si>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</si>
  <si>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</si>
  <si>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</si>
  <si>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</si>
  <si>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</si>
  <si>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</si>
  <si>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</si>
  <si>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</si>
  <si>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</si>
  <si>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</si>
  <si>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</si>
  <si>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</si>
  <si>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</si>
  <si>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</si>
  <si>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</si>
  <si>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</si>
  <si>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</si>
  <si>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</si>
  <si>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</si>
  <si>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</si>
  <si>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</si>
  <si>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</si>
  <si>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</si>
  <si>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</si>
  <si>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</si>
  <si>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</si>
  <si>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</si>
  <si>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</si>
  <si>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</si>
  <si>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</si>
  <si>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</si>
  <si>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</si>
  <si>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</si>
  <si>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</si>
  <si>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</si>
  <si>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</si>
  <si>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</si>
  <si>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</si>
  <si>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</si>
  <si>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</si>
  <si>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</si>
  <si>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</si>
  <si>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</si>
  <si>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</si>
  <si>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</si>
  <si>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</si>
  <si>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</si>
  <si>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</si>
  <si>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</si>
  <si>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</si>
  <si>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</si>
  <si>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</si>
  <si>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</si>
  <si>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</si>
  <si>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</si>
  <si>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</si>
  <si>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</si>
  <si>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</si>
  <si>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</si>
  <si>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</si>
  <si>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</si>
  <si>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</si>
  <si>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</si>
  <si>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</si>
  <si>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</si>
  <si>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</si>
  <si>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</si>
  <si>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</si>
  <si>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</si>
  <si>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</si>
  <si>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</si>
  <si>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</si>
  <si>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</si>
  <si>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</si>
  <si>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</si>
  <si>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</si>
  <si>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</si>
  <si>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</si>
  <si>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</si>
  <si>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</si>
  <si>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</si>
  <si>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</si>
  <si>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</si>
  <si>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</si>
  <si>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</si>
  <si>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</si>
  <si>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</si>
  <si>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</si>
  <si>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</si>
  <si>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</si>
  <si>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</si>
  <si>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</si>
  <si>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</si>
  <si>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</si>
  <si>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</si>
  <si>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</si>
  <si>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</si>
  <si>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</si>
  <si>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</si>
  <si>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</si>
  <si>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</si>
  <si>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</si>
  <si>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</si>
  <si>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</si>
  <si>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</si>
  <si>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</si>
  <si>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</si>
  <si>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</si>
  <si>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</si>
  <si>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</si>
  <si>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</si>
  <si>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</si>
  <si>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</si>
  <si>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</si>
  <si>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</si>
  <si>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</si>
  <si>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</si>
  <si>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</si>
  <si>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</si>
  <si>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</si>
  <si>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</si>
  <si>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</si>
  <si>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</si>
  <si>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</si>
  <si>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</si>
  <si>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</si>
  <si>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</si>
  <si>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</si>
  <si>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</si>
  <si>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</si>
  <si>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</si>
  <si>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</si>
  <si>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</si>
  <si>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</si>
  <si>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</si>
  <si>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</si>
  <si>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</si>
  <si>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</si>
  <si>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</si>
  <si>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</si>
  <si>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</si>
  <si>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</si>
  <si>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</si>
  <si>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</si>
  <si>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</si>
  <si>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</si>
  <si>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</si>
  <si>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</si>
  <si>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</si>
  <si>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</si>
  <si>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</si>
  <si>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</si>
  <si>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</si>
  <si>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</si>
  <si>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</si>
  <si>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</si>
  <si>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</si>
  <si>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</si>
  <si>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</si>
  <si>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</si>
  <si>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</si>
  <si>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</si>
  <si>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</si>
  <si>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</si>
  <si>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</si>
  <si>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</si>
  <si>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</si>
  <si>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</si>
  <si>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</si>
  <si>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</si>
  <si>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</si>
  <si>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</si>
  <si>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</si>
  <si>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</si>
  <si>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</si>
  <si>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</si>
  <si>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</si>
  <si>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</si>
  <si>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</si>
  <si>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</si>
  <si>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</si>
  <si>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</si>
  <si>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</si>
  <si>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</si>
  <si>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</si>
  <si>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</si>
  <si>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</si>
  <si>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</si>
  <si>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</si>
  <si>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</si>
  <si>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</si>
  <si>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</si>
  <si>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</si>
  <si>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</si>
  <si>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</si>
  <si>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</si>
  <si>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</si>
  <si>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</si>
  <si>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</si>
  <si>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</si>
  <si>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</si>
  <si>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</si>
  <si>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</si>
  <si>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</si>
  <si>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</si>
  <si>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</si>
  <si>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</si>
  <si>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</si>
  <si>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</si>
  <si>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</si>
  <si>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</si>
  <si>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</si>
  <si>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</si>
  <si>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</si>
  <si>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</si>
  <si>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</si>
  <si>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</si>
  <si>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</si>
  <si>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</si>
  <si>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</si>
  <si>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</si>
  <si>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</si>
  <si>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</si>
  <si>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</si>
  <si>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</si>
  <si>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</si>
  <si>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</si>
  <si>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</si>
  <si>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</si>
  <si>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</si>
  <si>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</si>
  <si>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</si>
  <si>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</si>
  <si>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</si>
  <si>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</si>
  <si>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</si>
  <si>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</si>
  <si>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</si>
  <si>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</si>
  <si>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</si>
  <si>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</si>
  <si>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</si>
  <si>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</si>
  <si>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</si>
  <si>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</si>
  <si>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</si>
  <si>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</si>
  <si>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</si>
  <si>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</si>
  <si>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</si>
  <si>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</si>
  <si>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</si>
  <si>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</si>
  <si>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</si>
  <si>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</si>
  <si>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</si>
  <si>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</si>
  <si>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</si>
  <si>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</si>
  <si>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</si>
  <si>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</si>
  <si>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</si>
  <si>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</si>
  <si>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</si>
  <si>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</si>
  <si>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</si>
  <si>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</si>
  <si>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</si>
  <si>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</si>
  <si>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</si>
  <si>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</si>
  <si>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</si>
  <si>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</si>
  <si>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</si>
  <si>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</si>
  <si>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</si>
  <si>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</si>
  <si>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</si>
  <si>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</si>
  <si>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</si>
  <si>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</si>
  <si>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</si>
  <si>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</si>
  <si>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</si>
  <si>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</si>
  <si>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</si>
  <si>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</si>
  <si>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</si>
  <si>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</si>
  <si>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</si>
  <si>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</si>
  <si>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</si>
  <si>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</si>
  <si>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</si>
  <si>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</si>
  <si>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</si>
  <si>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</si>
  <si>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</si>
  <si>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</si>
  <si>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</si>
  <si>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</si>
  <si>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</si>
  <si>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</si>
  <si>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</si>
  <si>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</si>
  <si>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</si>
  <si>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</si>
  <si>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</si>
  <si>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</si>
  <si>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</si>
  <si>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</si>
  <si>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</si>
  <si>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</si>
  <si>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</si>
  <si>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</si>
  <si>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</si>
  <si>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</si>
  <si>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</si>
  <si>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</si>
  <si>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</si>
  <si>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</si>
  <si>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</si>
  <si>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</si>
  <si>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</si>
  <si>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</si>
  <si>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</si>
  <si>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</si>
  <si>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</si>
  <si>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</si>
  <si>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</si>
  <si>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</si>
  <si>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</si>
  <si>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</si>
  <si>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</si>
  <si>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</si>
  <si>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</si>
  <si>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</si>
  <si>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</si>
  <si>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</si>
  <si>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</si>
  <si>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</si>
  <si>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</si>
  <si>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</si>
  <si>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</si>
  <si>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</si>
  <si>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</si>
  <si>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</si>
  <si>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</si>
  <si>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</si>
  <si>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</si>
  <si>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</si>
  <si>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</si>
  <si>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</si>
  <si>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</si>
  <si>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</si>
  <si>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</si>
  <si>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</si>
  <si>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</si>
  <si>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</si>
  <si>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</si>
  <si>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</si>
  <si>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</si>
  <si>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</si>
  <si>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</si>
  <si>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</si>
  <si>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</si>
  <si>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</si>
  <si>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</si>
  <si>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</si>
  <si>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</si>
  <si>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</si>
  <si>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</si>
  <si>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</si>
  <si>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</si>
  <si>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</si>
  <si>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</si>
  <si>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</si>
  <si>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</si>
  <si>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</si>
  <si>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</si>
  <si>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</si>
  <si>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</si>
  <si>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</si>
  <si>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</si>
  <si>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</si>
  <si>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</si>
  <si>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</si>
  <si>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</si>
  <si>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</si>
  <si>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</si>
  <si>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</si>
  <si>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</si>
  <si>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</si>
  <si>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</si>
  <si>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</si>
  <si>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</si>
  <si>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</si>
  <si>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</si>
  <si>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</si>
  <si>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</si>
  <si>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</si>
  <si>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</si>
  <si>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</si>
  <si>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</si>
  <si>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</si>
  <si>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</si>
  <si>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</si>
  <si>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</si>
  <si>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</si>
  <si>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</si>
  <si>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</si>
  <si>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</si>
  <si>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</si>
  <si>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</si>
  <si>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</si>
  <si>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</si>
  <si>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</si>
  <si>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</si>
  <si>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</si>
  <si>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</si>
  <si>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</si>
  <si>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</si>
  <si>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</si>
  <si>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</si>
  <si>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</si>
  <si>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</si>
  <si>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</si>
  <si>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</si>
  <si>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</si>
  <si>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</si>
  <si>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</si>
  <si>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</si>
  <si>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</si>
  <si>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</si>
  <si>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</si>
  <si>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</si>
  <si>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</si>
  <si>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</si>
  <si>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</si>
  <si>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</si>
  <si>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</si>
  <si>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</si>
  <si>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</si>
  <si>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</si>
  <si>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</si>
  <si>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</si>
  <si>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</si>
  <si>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</si>
  <si>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</si>
  <si>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</si>
  <si>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</si>
  <si>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</si>
  <si>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</si>
  <si>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</si>
  <si>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</si>
  <si>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</si>
  <si>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</si>
  <si>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</si>
  <si>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</si>
  <si>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</si>
  <si>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</si>
  <si>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</si>
  <si>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</si>
  <si>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</si>
  <si>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</si>
  <si>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</si>
  <si>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</si>
  <si>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</si>
  <si>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</si>
  <si>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</si>
  <si>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</si>
  <si>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</si>
  <si>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</si>
  <si>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</si>
  <si>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</si>
  <si>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</si>
  <si>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</si>
  <si>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</si>
  <si>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</si>
  <si>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</si>
  <si>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</si>
  <si>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</si>
  <si>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</si>
  <si>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</si>
  <si>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</si>
  <si>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</si>
  <si>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</si>
  <si>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</si>
  <si>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</si>
  <si>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</si>
  <si>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</si>
  <si>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</si>
  <si>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</si>
  <si>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</si>
  <si>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</si>
  <si>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</si>
  <si>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</si>
  <si>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</si>
  <si>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</si>
  <si>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</si>
  <si>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</si>
  <si>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</si>
  <si>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</si>
  <si>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</si>
  <si>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</si>
  <si>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</si>
  <si>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</si>
  <si>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</si>
  <si>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</si>
  <si>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</si>
  <si>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</si>
  <si>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</si>
  <si>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</si>
  <si>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</si>
  <si>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</si>
  <si>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</si>
  <si>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</si>
  <si>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</si>
  <si>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</si>
  <si>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</si>
  <si>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</si>
  <si>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</si>
  <si>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</si>
  <si>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</si>
  <si>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</si>
  <si>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</si>
  <si>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</si>
  <si>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</si>
  <si>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</si>
  <si>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</si>
  <si>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</si>
  <si>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</si>
  <si>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</si>
  <si>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</si>
  <si>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</si>
  <si>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</si>
  <si>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</si>
  <si>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</si>
  <si>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</si>
  <si>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</si>
  <si>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</si>
  <si>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</si>
  <si>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</si>
  <si>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</si>
  <si>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</si>
  <si>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</si>
  <si>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</si>
  <si>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</si>
  <si>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</si>
  <si>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</si>
  <si>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</si>
  <si>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</si>
  <si>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</si>
  <si>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</si>
  <si>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</si>
  <si>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</si>
  <si>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</si>
  <si>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</si>
  <si>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</si>
  <si>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</si>
  <si>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</si>
  <si>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</si>
  <si>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</si>
  <si>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</si>
  <si>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</si>
  <si>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</si>
  <si>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</si>
  <si>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</si>
  <si>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</si>
  <si>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</si>
  <si>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</si>
  <si>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</si>
  <si>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</si>
  <si>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</si>
  <si>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</si>
  <si>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</si>
  <si>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</si>
  <si>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</si>
  <si>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</si>
  <si>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</si>
  <si>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</si>
  <si>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</si>
  <si>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</si>
  <si>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</si>
  <si>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</si>
  <si>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</si>
  <si>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</si>
  <si>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</si>
  <si>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</si>
  <si>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</si>
  <si>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</si>
  <si>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</si>
  <si>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</si>
  <si>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</si>
  <si>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</si>
  <si>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</si>
  <si>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</si>
  <si>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</si>
  <si>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</si>
  <si>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</si>
  <si>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</si>
  <si>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</si>
  <si>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</si>
  <si>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</si>
  <si>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</si>
  <si>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</si>
  <si>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</si>
  <si>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</si>
  <si>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</si>
  <si>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</si>
  <si>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</si>
  <si>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</si>
  <si>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</si>
  <si>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</si>
  <si>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</si>
  <si>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</si>
  <si>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</si>
  <si>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</si>
  <si>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</si>
  <si>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</si>
  <si>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</si>
  <si>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</si>
  <si>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</si>
  <si>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</si>
  <si>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</si>
  <si>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</si>
  <si>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</si>
  <si>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</si>
  <si>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</si>
  <si>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</si>
  <si>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</si>
  <si>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</si>
  <si>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</si>
  <si>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</si>
  <si>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</si>
  <si>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</si>
  <si>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</si>
  <si>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</si>
  <si>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</si>
  <si>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</si>
  <si>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</si>
  <si>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</si>
  <si>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</si>
  <si>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</si>
  <si>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</si>
  <si>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</si>
  <si>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</si>
  <si>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</si>
  <si>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</si>
  <si>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</si>
  <si>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</si>
  <si>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</si>
  <si>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</si>
  <si>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</si>
  <si>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</si>
  <si>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</si>
  <si>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</si>
  <si>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</si>
  <si>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</si>
  <si>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</si>
  <si>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</si>
  <si>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</si>
  <si>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</si>
  <si>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</si>
  <si>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</si>
  <si>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</si>
  <si>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</si>
  <si>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</si>
  <si>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</si>
  <si>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</si>
  <si>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</si>
  <si>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</si>
  <si>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</si>
  <si>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</si>
  <si>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</si>
  <si>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</si>
  <si>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</si>
  <si>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</si>
  <si>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</si>
  <si>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</si>
  <si>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</si>
  <si>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</si>
  <si>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</si>
  <si>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</si>
  <si>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</si>
  <si>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</si>
  <si>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</si>
  <si>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</si>
  <si>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</si>
  <si>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</si>
  <si>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</si>
  <si>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</si>
  <si>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</si>
  <si>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</si>
  <si>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</si>
  <si>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</si>
  <si>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</si>
  <si>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</si>
  <si>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</si>
  <si>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</si>
  <si>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</si>
  <si>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</si>
  <si>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</si>
  <si>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</si>
  <si>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</si>
  <si>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</si>
  <si>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</si>
  <si>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</si>
  <si>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</si>
  <si>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</si>
  <si>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</si>
  <si>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</si>
  <si>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</si>
  <si>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</si>
  <si>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</si>
  <si>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</si>
  <si>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</si>
  <si>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</si>
  <si>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</si>
  <si>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</si>
  <si>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</si>
  <si>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</si>
  <si>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</si>
  <si>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</si>
  <si>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</si>
  <si>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</si>
  <si>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</si>
  <si>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</si>
  <si>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</si>
  <si>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</si>
  <si>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</si>
  <si>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</si>
  <si>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</si>
  <si>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</si>
  <si>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</si>
  <si>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</si>
  <si>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</si>
  <si>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</si>
  <si>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</si>
  <si>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</si>
  <si>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</si>
  <si>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</si>
  <si>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</si>
  <si>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</si>
  <si>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</si>
  <si>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</si>
  <si>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</si>
  <si>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</si>
  <si>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</si>
  <si>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</si>
  <si>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</si>
  <si>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</si>
  <si>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</si>
  <si>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</si>
  <si>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</si>
  <si>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</si>
  <si>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</si>
  <si>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</si>
  <si>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</si>
  <si>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</si>
  <si>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</si>
  <si>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</si>
  <si>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</si>
  <si>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</si>
  <si>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</si>
  <si>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</si>
  <si>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</si>
  <si>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</si>
  <si>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</si>
  <si>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</si>
  <si>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</si>
  <si>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</si>
  <si>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</si>
  <si>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</si>
  <si>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</si>
  <si>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</si>
  <si>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</si>
  <si>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</si>
  <si>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</si>
  <si>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</si>
  <si>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</si>
  <si>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</si>
  <si>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</si>
  <si>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</si>
  <si>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</si>
  <si>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</si>
  <si>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</si>
  <si>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</si>
  <si>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</si>
  <si>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</si>
  <si>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</si>
  <si>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</si>
  <si>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</si>
  <si>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</si>
  <si>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</si>
  <si>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</si>
  <si>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</si>
  <si>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</si>
  <si>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</si>
  <si>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</si>
  <si>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</si>
  <si>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</si>
  <si>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</si>
  <si>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</si>
  <si>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</si>
  <si>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</si>
  <si>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</si>
  <si>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</si>
  <si>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</si>
  <si>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</si>
  <si>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</si>
  <si>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</si>
  <si>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</si>
  <si>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</si>
  <si>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</si>
  <si>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</si>
  <si>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</si>
  <si>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</si>
  <si>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</si>
  <si>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</si>
  <si>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</si>
  <si>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</si>
  <si>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</si>
  <si>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</si>
  <si>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</si>
  <si>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</si>
  <si>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</si>
  <si>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</si>
  <si>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</si>
  <si>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</si>
  <si>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</si>
  <si>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</si>
  <si>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</si>
  <si>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</si>
  <si>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</si>
  <si>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</si>
  <si>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</si>
  <si>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</si>
  <si>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</si>
  <si>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</si>
  <si>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</si>
  <si>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</si>
  <si>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</si>
  <si>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</si>
  <si>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</si>
  <si>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</si>
  <si>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</si>
  <si>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</si>
  <si>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</si>
  <si>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</si>
  <si>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</si>
  <si>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</si>
  <si>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</si>
  <si>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</si>
  <si>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</si>
  <si>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</si>
  <si>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</si>
  <si>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</si>
  <si>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</si>
  <si>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</si>
  <si>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</si>
  <si>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</si>
  <si>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</si>
  <si>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</si>
  <si>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</si>
  <si>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</si>
  <si>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</si>
  <si>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</si>
  <si>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</si>
  <si>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</si>
  <si>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</si>
  <si>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</si>
  <si>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</si>
  <si>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</si>
  <si>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</si>
  <si>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</si>
  <si>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</si>
  <si>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</si>
  <si>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</si>
  <si>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</si>
  <si>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</si>
  <si>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</si>
  <si>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</si>
  <si>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</si>
  <si>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</si>
  <si>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</si>
  <si>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</si>
  <si>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</si>
  <si>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</si>
  <si>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</si>
  <si>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</si>
  <si>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</si>
  <si>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</si>
  <si>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</si>
  <si>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</si>
  <si>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</si>
  <si>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</si>
  <si>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</si>
  <si>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</si>
  <si>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</si>
  <si>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</si>
  <si>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</si>
  <si>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</si>
  <si>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</si>
  <si>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</si>
  <si>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</si>
  <si>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</si>
  <si>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</si>
  <si>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</si>
  <si>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</si>
  <si>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</si>
  <si>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</si>
  <si>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</si>
  <si>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</si>
  <si>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</si>
  <si>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</si>
  <si>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</si>
  <si>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</si>
  <si>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</si>
  <si>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</si>
  <si>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</si>
  <si>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</si>
  <si>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</si>
  <si>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</si>
  <si>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</si>
  <si>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</si>
  <si>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</si>
  <si>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</si>
  <si>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</si>
  <si>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</si>
  <si>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</si>
  <si>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</si>
  <si>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</si>
  <si>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</si>
  <si>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</si>
  <si>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</si>
  <si>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</si>
  <si>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</si>
  <si>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</si>
  <si>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</si>
  <si>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</si>
  <si>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</si>
  <si>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</si>
  <si>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</si>
  <si>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</si>
  <si>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</si>
  <si>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</si>
  <si>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</si>
  <si>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</si>
  <si>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</si>
  <si>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</si>
  <si>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</si>
  <si>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</si>
  <si>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</si>
  <si>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</si>
  <si>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</si>
  <si>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</si>
  <si>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</si>
  <si>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</si>
  <si>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</si>
  <si>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</si>
  <si>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</si>
  <si>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</si>
  <si>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</si>
  <si>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</si>
  <si>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</si>
  <si>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</si>
  <si>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</si>
  <si>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</si>
  <si>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</si>
  <si>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</si>
  <si>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</si>
  <si>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</si>
  <si>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</si>
  <si>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</si>
  <si>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</si>
  <si>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</si>
  <si>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</si>
  <si>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</si>
  <si>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</si>
  <si>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</si>
  <si>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</si>
  <si>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</si>
  <si>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</si>
  <si>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</si>
  <si>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</si>
  <si>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</si>
  <si>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</si>
  <si>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</si>
  <si>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</si>
  <si>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</si>
  <si>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</si>
  <si>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</si>
  <si>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</si>
  <si>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</si>
  <si>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</si>
  <si>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</si>
  <si>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</si>
  <si>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</si>
  <si>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</si>
  <si>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</si>
  <si>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</si>
  <si>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</si>
  <si>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</si>
  <si>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</si>
  <si>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</si>
  <si>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</si>
  <si>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</si>
  <si>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</si>
  <si>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</si>
  <si>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</si>
  <si>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</si>
  <si>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</si>
  <si>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</si>
  <si>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</si>
  <si>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</si>
  <si>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</si>
  <si>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</si>
  <si>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</si>
  <si>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</si>
  <si>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</si>
  <si>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</si>
  <si>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</si>
  <si>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</si>
  <si>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</si>
  <si>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</si>
  <si>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</si>
  <si>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</si>
  <si>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</si>
  <si>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</si>
  <si>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</si>
  <si>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</si>
  <si>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</si>
  <si>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</si>
  <si>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</si>
  <si>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</si>
  <si>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</si>
  <si>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</si>
  <si>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</si>
  <si>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</si>
  <si>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</si>
  <si>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</si>
  <si>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</si>
  <si>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</si>
  <si>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</si>
  <si>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</si>
  <si>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</si>
  <si>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</si>
  <si>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</si>
  <si>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</si>
  <si>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</si>
  <si>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</si>
  <si>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</si>
  <si>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</si>
  <si>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</si>
  <si>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</si>
  <si>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</si>
  <si>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</si>
  <si>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</si>
  <si>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</si>
  <si>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</si>
  <si>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</si>
  <si>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</si>
  <si>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</si>
  <si>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</si>
  <si>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</si>
  <si>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</si>
  <si>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</si>
  <si>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</si>
  <si>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</si>
  <si>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</si>
  <si>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</si>
  <si>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</si>
  <si>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</si>
  <si>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</si>
  <si>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</si>
  <si>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</si>
  <si>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</si>
  <si>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</si>
  <si>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</si>
  <si>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</si>
  <si>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</si>
  <si>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</si>
  <si>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</si>
  <si>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</si>
  <si>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</si>
  <si>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</si>
  <si>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</si>
  <si>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</si>
  <si>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</si>
  <si>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</si>
  <si>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</si>
  <si>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</si>
  <si>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</si>
  <si>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</si>
  <si>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</si>
  <si>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</si>
  <si>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</si>
  <si>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</si>
  <si>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</si>
  <si>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</si>
  <si>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</si>
  <si>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</si>
  <si>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</si>
  <si>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</si>
  <si>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</si>
  <si>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</si>
  <si>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</si>
  <si>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</si>
  <si>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</si>
  <si>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</si>
  <si>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</si>
  <si>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</si>
  <si>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</si>
  <si>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</si>
  <si>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</si>
  <si>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</si>
  <si>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</si>
  <si>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</si>
  <si>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</si>
  <si>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</si>
  <si>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</si>
  <si>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</si>
  <si>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</si>
  <si>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</si>
  <si>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</si>
  <si>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</si>
  <si>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</si>
  <si>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</si>
  <si>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</si>
  <si>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</si>
  <si>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</si>
  <si>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</si>
  <si>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</si>
  <si>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</si>
  <si>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</si>
  <si>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</si>
  <si>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</si>
  <si>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</si>
  <si>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</si>
  <si>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</si>
  <si>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</si>
  <si>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</si>
  <si>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</si>
  <si>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</si>
  <si>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</si>
  <si>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</si>
  <si>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</si>
  <si>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</si>
  <si>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</si>
  <si>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</si>
  <si>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</si>
  <si>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</si>
  <si>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</si>
  <si>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</si>
  <si>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</si>
  <si>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</si>
  <si>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</si>
  <si>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</si>
  <si>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</si>
  <si>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</si>
  <si>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</si>
  <si>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</si>
  <si>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</si>
  <si>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</si>
  <si>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</si>
  <si>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</si>
  <si>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</si>
  <si>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</si>
  <si>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</si>
  <si>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</si>
  <si>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</si>
  <si>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</si>
  <si>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</si>
  <si>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</si>
  <si>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</si>
  <si>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</si>
  <si>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</si>
  <si>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</si>
  <si>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</si>
  <si>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</si>
  <si>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</si>
  <si>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</si>
  <si>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</si>
  <si>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</si>
  <si>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</si>
  <si>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</si>
  <si>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</si>
  <si>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</si>
  <si>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</si>
  <si>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</si>
  <si>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</si>
  <si>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</si>
  <si>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</si>
  <si>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</si>
  <si>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</si>
  <si>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</si>
  <si>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</si>
  <si>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</si>
  <si>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</si>
  <si>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</si>
  <si>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</si>
  <si>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</si>
  <si>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</si>
  <si>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</si>
  <si>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</si>
  <si>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</si>
  <si>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</si>
  <si>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</si>
  <si>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</si>
  <si>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</si>
  <si>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</si>
  <si>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</si>
  <si>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</si>
  <si>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</si>
  <si>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</si>
  <si>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</si>
  <si>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</si>
  <si>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</si>
  <si>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</si>
  <si>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</si>
  <si>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</si>
  <si>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</si>
  <si>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</si>
  <si>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</si>
  <si>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</si>
  <si>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</si>
  <si>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</si>
  <si>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</si>
  <si>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</si>
  <si>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</si>
  <si>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</si>
  <si>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</si>
  <si>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</si>
  <si>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</si>
  <si>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</si>
  <si>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</si>
  <si>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</si>
  <si>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</si>
  <si>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</si>
  <si>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</si>
  <si>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</si>
  <si>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</si>
  <si>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</si>
  <si>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</si>
  <si>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</si>
  <si>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</si>
  <si>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</si>
  <si>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</si>
  <si>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</si>
  <si>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</si>
  <si>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</si>
  <si>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</si>
  <si>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</si>
  <si>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</si>
  <si>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</si>
  <si>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</si>
  <si>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</si>
  <si>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</si>
  <si>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</si>
  <si>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</si>
  <si>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</si>
  <si>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</si>
  <si>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</si>
  <si>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</si>
  <si>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</si>
  <si>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</si>
  <si>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</si>
  <si>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</si>
  <si>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</si>
  <si>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</si>
  <si>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</si>
  <si>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</si>
  <si>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</si>
  <si>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</si>
  <si>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</si>
  <si>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</si>
  <si>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</si>
  <si>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</si>
  <si>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</si>
  <si>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</si>
  <si>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</si>
  <si>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</si>
  <si>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</si>
  <si>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</si>
  <si>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</si>
  <si>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</si>
  <si>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</si>
  <si>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</si>
  <si>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</si>
  <si>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</si>
  <si>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</si>
  <si>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</si>
  <si>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</si>
  <si>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</si>
  <si>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</si>
  <si>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</si>
  <si>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</si>
  <si>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</si>
  <si>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</si>
  <si>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</si>
  <si>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</si>
  <si>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</si>
  <si>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</si>
  <si>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</si>
  <si>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</si>
  <si>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</si>
  <si>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</si>
  <si>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</si>
  <si>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</si>
  <si>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</si>
  <si>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</si>
  <si>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</si>
  <si>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</si>
  <si>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</si>
  <si>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</si>
  <si>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</si>
  <si>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</si>
  <si>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</si>
  <si>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</si>
  <si>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</si>
  <si>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</si>
  <si>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</si>
  <si>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</si>
  <si>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</si>
  <si>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</si>
  <si>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</si>
  <si>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</si>
  <si>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</si>
  <si>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</si>
  <si>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</si>
  <si>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</si>
  <si>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</si>
  <si>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</si>
  <si>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</si>
  <si>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</si>
  <si>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</si>
  <si>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</si>
  <si>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</si>
  <si>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</si>
  <si>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</si>
  <si>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</si>
  <si>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</si>
  <si>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</si>
  <si>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</si>
  <si>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</si>
  <si>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</si>
  <si>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</si>
  <si>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</si>
  <si>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</si>
  <si>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</si>
  <si>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</si>
  <si>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</si>
  <si>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</si>
  <si>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</si>
  <si>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</si>
  <si>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</si>
  <si>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</si>
  <si>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</si>
  <si>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</si>
  <si>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</si>
  <si>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</si>
  <si>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</si>
  <si>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</si>
  <si>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</si>
  <si>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</si>
  <si>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</si>
  <si>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</si>
  <si>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</si>
  <si>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</si>
  <si>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</si>
  <si>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</si>
  <si>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</si>
  <si>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</si>
  <si>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</si>
  <si>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</si>
  <si>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</si>
  <si>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</si>
  <si>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</si>
  <si>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</si>
  <si>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</si>
  <si>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</si>
  <si>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</si>
  <si>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</si>
  <si>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</si>
  <si>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</si>
  <si>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</si>
  <si>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</si>
  <si>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</si>
  <si>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</si>
  <si>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</si>
  <si>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</si>
  <si>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</si>
  <si>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</si>
  <si>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</si>
  <si>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</si>
  <si>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</si>
  <si>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</si>
  <si>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</si>
  <si>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</si>
  <si>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</si>
  <si>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</si>
  <si>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</si>
  <si>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</si>
  <si>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</si>
  <si>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</si>
  <si>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</si>
  <si>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</si>
  <si>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</si>
  <si>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</si>
  <si>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</si>
  <si>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</si>
  <si>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</si>
  <si>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</si>
  <si>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</si>
  <si>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</si>
  <si>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</si>
  <si>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</si>
  <si>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</si>
  <si>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</si>
  <si>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</si>
  <si>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</si>
  <si>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</si>
  <si>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</si>
  <si>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</si>
  <si>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</si>
  <si>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</si>
  <si>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</si>
  <si>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</si>
  <si>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</si>
  <si>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</si>
  <si>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</si>
  <si>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</si>
  <si>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</si>
  <si>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</si>
  <si>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</si>
  <si>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</si>
  <si>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</si>
  <si>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</si>
  <si>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</si>
  <si>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</si>
  <si>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</si>
  <si>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</si>
  <si>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</si>
  <si>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</si>
  <si>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</si>
  <si>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</si>
  <si>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</si>
  <si>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</si>
  <si>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</si>
  <si>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</si>
  <si>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</si>
  <si>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</si>
  <si>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</si>
  <si>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</si>
  <si>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</si>
  <si>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</si>
  <si>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</si>
  <si>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</si>
  <si>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</si>
  <si>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</si>
  <si>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</si>
  <si>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</si>
  <si>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</si>
  <si>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</si>
  <si>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</si>
  <si>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</si>
  <si>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</si>
  <si>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</si>
  <si>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</si>
  <si>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</si>
  <si>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</si>
  <si>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</si>
  <si>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</si>
  <si>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</si>
  <si>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</si>
  <si>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</si>
  <si>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</si>
  <si>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</si>
  <si>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</si>
  <si>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</si>
  <si>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</si>
  <si>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</si>
  <si>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</si>
  <si>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</si>
  <si>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</si>
  <si>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</si>
  <si>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</si>
  <si>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</si>
  <si>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</si>
  <si>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</si>
  <si>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</si>
  <si>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</si>
  <si>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</si>
  <si>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</si>
  <si>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</si>
  <si>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</si>
  <si>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</si>
  <si>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</si>
  <si>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</si>
  <si>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</si>
  <si>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</si>
  <si>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</si>
  <si>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</si>
  <si>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</si>
  <si>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</si>
  <si>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</si>
  <si>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</si>
  <si>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</si>
  <si>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</si>
  <si>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</si>
  <si>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</si>
  <si>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</si>
  <si>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</si>
  <si>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</si>
  <si>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</si>
  <si>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</si>
  <si>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</si>
  <si>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</si>
  <si>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</si>
  <si>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</si>
  <si>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</si>
  <si>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</si>
  <si>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</si>
  <si>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</si>
  <si>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</si>
  <si>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</si>
  <si>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</si>
  <si>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</si>
  <si>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</si>
  <si>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</si>
  <si>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</si>
  <si>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</si>
  <si>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</si>
  <si>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</si>
  <si>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</si>
  <si>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</si>
  <si>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</si>
  <si>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</si>
  <si>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</si>
  <si>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</si>
  <si>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</si>
  <si>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</si>
  <si>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汇天网络</t>
    <phoneticPr fontId="6" type="noConversion"/>
  </si>
  <si>
    <t>抵押</t>
  </si>
  <si>
    <t>房地产抵押价值</t>
  </si>
  <si>
    <t>中行北分</t>
    <phoneticPr fontId="6" type="noConversion"/>
  </si>
  <si>
    <t>通州区宋庄镇尹各庄村新建科研用地</t>
    <phoneticPr fontId="6" type="noConversion"/>
  </si>
  <si>
    <t>北京市</t>
  </si>
  <si>
    <t>企业</t>
  </si>
  <si>
    <t>通路</t>
  </si>
  <si>
    <t>通电</t>
  </si>
  <si>
    <t>通讯</t>
  </si>
  <si>
    <t>通上水</t>
  </si>
  <si>
    <t>通下水</t>
  </si>
  <si>
    <t>平整</t>
  </si>
  <si>
    <t>Ⅶ-通1</t>
  </si>
  <si>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</si>
  <si>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</si>
  <si>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</si>
  <si>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</si>
  <si>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</si>
  <si>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</si>
  <si>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</si>
  <si>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</si>
  <si>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</si>
  <si>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</si>
  <si>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</si>
  <si>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</si>
  <si>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2#</t>
    <phoneticPr fontId="134" type="noConversion"/>
  </si>
  <si>
    <t>3#</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</si>
  <si>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</si>
  <si>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</si>
  <si>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</si>
  <si>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</si>
  <si>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</si>
  <si>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</si>
  <si>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</si>
  <si>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</si>
  <si>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</si>
  <si>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</si>
  <si>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实测报告</t>
    <phoneticPr fontId="134" type="noConversion"/>
  </si>
  <si>
    <t>宿舍楼</t>
    <phoneticPr fontId="134" type="noConversion"/>
  </si>
  <si>
    <t>11#</t>
    <phoneticPr fontId="134" type="noConversion"/>
  </si>
  <si>
    <t>房产证</t>
    <phoneticPr fontId="134" type="noConversion"/>
  </si>
  <si>
    <t>机房楼</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</si>
  <si>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</si>
  <si>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</si>
  <si>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</si>
  <si>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</si>
  <si>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</si>
  <si>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</si>
  <si>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</si>
  <si>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宿舍楼</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</si>
  <si>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</si>
  <si>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</si>
  <si>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</si>
  <si>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</si>
  <si>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</si>
  <si>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1、2、3、4、5、7、9、11、12、13、14、15、17、18</t>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</si>
  <si>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</si>
  <si>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</si>
  <si>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</si>
  <si>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</si>
  <si>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</si>
  <si>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非机房楼</t>
    <phoneticPr fontId="134" type="noConversion"/>
  </si>
  <si>
    <t>办公楼</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</si>
  <si>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</si>
  <si>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</si>
  <si>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</si>
  <si>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</si>
  <si>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</si>
  <si>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</si>
  <si>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</si>
  <si>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6层楼</t>
    <phoneticPr fontId="134" type="noConversion"/>
  </si>
  <si>
    <t>单价</t>
    <phoneticPr fontId="134" type="noConversion"/>
  </si>
  <si>
    <t>机房楼数</t>
    <phoneticPr fontId="134" type="noConversion"/>
  </si>
  <si>
    <t>现房</t>
    <phoneticPr fontId="3" type="noConversion"/>
  </si>
  <si>
    <t>在建</t>
    <phoneticPr fontId="3" type="noConversion"/>
  </si>
  <si>
    <t>是</t>
  </si>
  <si>
    <t>否</t>
  </si>
  <si>
    <t>地上</t>
  </si>
  <si>
    <t>科研用房</t>
  </si>
  <si>
    <t>科研用房</t>
    <phoneticPr fontId="16" type="noConversion"/>
  </si>
  <si>
    <t>地下</t>
  </si>
  <si>
    <t>科研用房</t>
    <phoneticPr fontId="7" type="noConversion"/>
  </si>
  <si>
    <t>地下车库</t>
  </si>
  <si>
    <t>利息：取LPR加浮动点数</t>
  </si>
  <si>
    <t>收益法</t>
  </si>
  <si>
    <t>收益法(车库)</t>
    <phoneticPr fontId="16" type="noConversion"/>
  </si>
  <si>
    <t>成本法</t>
  </si>
  <si>
    <t>假设开发法</t>
  </si>
  <si>
    <t>宗地容积率</t>
  </si>
  <si>
    <t>不临65条商业街</t>
  </si>
  <si>
    <t>中心城区以外</t>
  </si>
  <si>
    <t>差</t>
  </si>
  <si>
    <t>较差</t>
  </si>
  <si>
    <t>一般</t>
  </si>
  <si>
    <t>较好</t>
  </si>
  <si>
    <t>未包含在土地购买价格中</t>
  </si>
  <si>
    <t>全部缴纳</t>
  </si>
  <si>
    <t>已包含在土地取得成本中</t>
  </si>
  <si>
    <t>押一</t>
  </si>
  <si>
    <t>钢混</t>
  </si>
  <si>
    <t>非生产用房</t>
  </si>
  <si>
    <t>自定义</t>
  </si>
  <si>
    <t>现房</t>
  </si>
  <si>
    <t>总价</t>
  </si>
  <si>
    <t>成本比率</t>
  </si>
  <si>
    <t>楼栋</t>
  </si>
  <si>
    <t>分摊出让国有建设用地使用权面积（㎡）</t>
  </si>
  <si>
    <t>经营性用途</t>
  </si>
  <si>
    <t>非经营性用途</t>
  </si>
  <si>
    <t>合计</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</si>
  <si>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</si>
  <si>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</si>
  <si>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</si>
  <si>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</si>
  <si>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</si>
  <si>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</si>
  <si>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</si>
  <si>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</si>
  <si>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</si>
  <si>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</si>
  <si>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</si>
  <si>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</si>
  <si>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</si>
  <si>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</si>
  <si>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12#</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</si>
  <si>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</si>
  <si>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</si>
  <si>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</si>
  <si>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</si>
  <si>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</si>
  <si>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t>小计</t>
  </si>
  <si>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</si>
  <si>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</si>
  <si>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</si>
  <si>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</si>
  <si>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16#</t>
    </r>
    <r>
      <rPr>
        <sz val="9"/>
        <color rgb="FF000000"/>
        <rFont val="华文细黑"/>
        <family val="3"/>
        <charset val="134"/>
      </rPr>
      <t>科研楼</t>
    </r>
  </si>
  <si>
    <t>用途</t>
    <phoneticPr fontId="134" type="noConversion"/>
  </si>
  <si>
    <t>建安单价</t>
    <phoneticPr fontId="134" type="noConversion"/>
  </si>
  <si>
    <t>建安总值</t>
    <phoneticPr fontId="134" type="noConversion"/>
  </si>
  <si>
    <t>比例</t>
    <phoneticPr fontId="134" type="noConversion"/>
  </si>
  <si>
    <t>土地总值</t>
    <phoneticPr fontId="134" type="noConversion"/>
  </si>
  <si>
    <t>建筑物拆分</t>
    <phoneticPr fontId="134" type="noConversion"/>
  </si>
  <si>
    <t>土地拆分</t>
    <phoneticPr fontId="134" type="noConversion"/>
  </si>
  <si>
    <t>拆分总值</t>
    <phoneticPr fontId="134" type="noConversion"/>
  </si>
  <si>
    <t>单价</t>
    <phoneticPr fontId="134" type="noConversion"/>
  </si>
  <si>
    <t>净值拆分</t>
    <phoneticPr fontId="134" type="noConversion"/>
  </si>
  <si>
    <t>净值单价</t>
    <phoneticPr fontId="134" type="noConversion"/>
  </si>
  <si>
    <t>租金</t>
    <phoneticPr fontId="134" type="noConversion"/>
  </si>
  <si>
    <t>价值拆分(收益)</t>
    <phoneticPr fontId="134" type="noConversion"/>
  </si>
  <si>
    <t>非机房楼</t>
    <phoneticPr fontId="134" type="noConversion"/>
  </si>
  <si>
    <t>机房楼</t>
    <phoneticPr fontId="134" type="noConversion"/>
  </si>
  <si>
    <t>办公楼</t>
    <phoneticPr fontId="134" type="noConversion"/>
  </si>
  <si>
    <t>分摊出让国有建设用地使用权面积（㎡）</t>
    <phoneticPr fontId="134" type="noConversion"/>
  </si>
  <si>
    <t>建筑面积（㎡）</t>
    <phoneticPr fontId="134" type="noConversion"/>
  </si>
  <si>
    <t>房地产价值</t>
    <phoneticPr fontId="134" type="noConversion"/>
  </si>
  <si>
    <t>净值</t>
    <phoneticPr fontId="134" type="noConversion"/>
  </si>
  <si>
    <t>不动产权证号</t>
    <phoneticPr fontId="134" type="noConversion"/>
  </si>
  <si>
    <t>总价</t>
    <phoneticPr fontId="134" type="noConversion"/>
  </si>
  <si>
    <t>京(2020)通不动产权第0022339号</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</si>
  <si>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</si>
  <si>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</si>
  <si>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</si>
  <si>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</si>
  <si>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</si>
  <si>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</si>
  <si>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</si>
  <si>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</si>
  <si>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</si>
  <si>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</si>
  <si>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34" type="noConversion"/>
  </si>
  <si>
    <t>小计</t>
    <phoneticPr fontId="134" type="noConversion"/>
  </si>
  <si>
    <t>——</t>
    <phoneticPr fontId="134" type="noConversion"/>
  </si>
  <si>
    <t>仅含出让金</t>
  </si>
  <si>
    <t>情况3</t>
  </si>
  <si>
    <t>正常</t>
  </si>
  <si>
    <t>自行开发建设</t>
  </si>
  <si>
    <t>非个人房产</t>
  </si>
  <si>
    <t>在建：</t>
    <phoneticPr fontId="134" type="noConversion"/>
  </si>
  <si>
    <r>
      <t>6、</t>
    </r>
    <r>
      <rPr>
        <sz val="11"/>
        <color theme="1"/>
        <rFont val="宋体"/>
        <family val="3"/>
        <charset val="134"/>
        <scheme val="minor"/>
      </rPr>
      <t>10、16</t>
    </r>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</si>
  <si>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</si>
  <si>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</si>
  <si>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</si>
  <si>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</si>
  <si>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</si>
  <si>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工程进度</t>
    <phoneticPr fontId="134" type="noConversion"/>
  </si>
  <si>
    <t>机房楼</t>
    <phoneticPr fontId="134" type="noConversion"/>
  </si>
  <si>
    <t>办公楼</t>
    <phoneticPr fontId="134" type="noConversion"/>
  </si>
  <si>
    <t>宿舍楼</t>
    <phoneticPr fontId="134" type="noConversion"/>
  </si>
  <si>
    <t>机房楼租金</t>
    <phoneticPr fontId="134" type="noConversion"/>
  </si>
  <si>
    <t>机柜数</t>
    <phoneticPr fontId="134" type="noConversion"/>
  </si>
  <si>
    <t>6号楼1栋</t>
    <phoneticPr fontId="134" type="noConversion"/>
  </si>
  <si>
    <t>单价</t>
    <phoneticPr fontId="134" type="noConversion"/>
  </si>
  <si>
    <t>在建（套用方法）</t>
  </si>
  <si>
    <t>宿舍楼</t>
    <phoneticPr fontId="134" type="noConversion"/>
  </si>
  <si>
    <t>1#科研楼</t>
  </si>
  <si>
    <t>2#科研楼</t>
  </si>
  <si>
    <t>3#科研楼</t>
  </si>
  <si>
    <t>4#科研楼</t>
  </si>
  <si>
    <t>5#科研楼</t>
  </si>
  <si>
    <t>7#科研楼</t>
  </si>
  <si>
    <t>9#科研楼</t>
  </si>
  <si>
    <t>11#科研楼</t>
  </si>
  <si>
    <t>13#科研楼</t>
  </si>
  <si>
    <t>14#科研楼</t>
  </si>
  <si>
    <t>15#科研楼</t>
  </si>
  <si>
    <t>17#科研楼</t>
  </si>
  <si>
    <t>18#科研楼</t>
  </si>
  <si>
    <t>6#科研楼</t>
  </si>
  <si>
    <t>10#科研楼</t>
  </si>
  <si>
    <t>12#科研楼</t>
  </si>
  <si>
    <t>16#科研楼</t>
  </si>
  <si>
    <t>房地产价值</t>
    <phoneticPr fontId="134" type="noConversion"/>
  </si>
  <si>
    <t>总价</t>
    <phoneticPr fontId="134" type="noConversion"/>
  </si>
  <si>
    <t>单价</t>
    <phoneticPr fontId="134" type="noConversion"/>
  </si>
  <si>
    <t>净值</t>
    <phoneticPr fontId="134" type="noConversion"/>
  </si>
  <si>
    <t>房地产价值</t>
    <phoneticPr fontId="134" type="noConversion"/>
  </si>
  <si>
    <t>拆分比例</t>
    <phoneticPr fontId="134" type="noConversion"/>
  </si>
  <si>
    <t>房地产价值</t>
    <phoneticPr fontId="134" type="noConversion"/>
  </si>
  <si>
    <t>正常拆分价值：</t>
    <phoneticPr fontId="134" type="noConversion"/>
  </si>
  <si>
    <t>按之前比例进行拆分：</t>
    <phoneticPr fontId="134" type="noConversion"/>
  </si>
  <si>
    <t>净值</t>
    <phoneticPr fontId="134" type="noConversion"/>
  </si>
  <si>
    <t>总值</t>
    <phoneticPr fontId="134" type="noConversion"/>
  </si>
  <si>
    <t>单价</t>
    <phoneticPr fontId="134" type="noConversion"/>
  </si>
  <si>
    <t>拆分比例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</si>
</sst>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宋体"/>
      <family val="3"/>
      <charset val="134"/>
      <scheme val="minor"/>
    </font>
    <font>
      <sz val="11"/>
      <color rgb="FFFF0000"/>
      <name val="宋体"/>
      <family val="3"/>
      <charset val="134"/>
      <scheme val="minor"/>
    </font>
    <font>
      <b/>
      <sz val="9"/>
      <color rgb="FF000000"/>
      <name val="华文细黑"/>
      <family val="3"/>
      <charset val="134"/>
    </font>
    <font>
      <b/>
      <sz val="9"/>
      <color rgb="FF000000"/>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right style="medium">
        <color rgb="FF404040"/>
      </right>
      <top/>
      <bottom/>
      <diagonal/>
    </border>
    <border>
      <left style="medium">
        <color rgb="FF404040"/>
      </left>
      <right/>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69"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0"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0" fillId="5" borderId="0" xfId="0" applyFill="1">
      <alignment vertical="center"/>
    </xf>
    <xf numFmtId="0" fontId="77" fillId="0" borderId="1" xfId="0" applyFont="1" applyBorder="1" applyAlignment="1" applyProtection="1">
      <alignment horizontal="center" vertical="center" wrapText="1"/>
      <protection locked="0"/>
    </xf>
    <xf numFmtId="0" fontId="77" fillId="16" borderId="1" xfId="0" applyFont="1" applyFill="1" applyBorder="1" applyAlignment="1" applyProtection="1">
      <alignment horizontal="center" vertical="center" wrapText="1"/>
      <protection locked="0"/>
    </xf>
    <xf numFmtId="0" fontId="270" fillId="0" borderId="0" xfId="0" applyFont="1">
      <alignment vertical="center"/>
    </xf>
    <xf numFmtId="0" fontId="271" fillId="0" borderId="179" xfId="0" applyFont="1" applyBorder="1" applyAlignment="1">
      <alignment vertical="center" wrapText="1"/>
    </xf>
    <xf numFmtId="0" fontId="271" fillId="0" borderId="181" xfId="0" applyFont="1" applyBorder="1" applyAlignment="1">
      <alignment vertical="center" wrapText="1"/>
    </xf>
    <xf numFmtId="0" fontId="267" fillId="0" borderId="180" xfId="0" applyFont="1" applyBorder="1" applyAlignment="1">
      <alignment vertical="center" wrapText="1"/>
    </xf>
    <xf numFmtId="0" fontId="267" fillId="0" borderId="181" xfId="0" applyFont="1" applyBorder="1" applyAlignment="1">
      <alignment vertical="center" wrapText="1"/>
    </xf>
    <xf numFmtId="0" fontId="265" fillId="0" borderId="180" xfId="0" applyFont="1" applyBorder="1" applyAlignment="1">
      <alignment vertical="center" wrapText="1"/>
    </xf>
    <xf numFmtId="0" fontId="271" fillId="0" borderId="180" xfId="0" applyFont="1" applyBorder="1" applyAlignment="1">
      <alignment vertical="center" wrapText="1"/>
    </xf>
    <xf numFmtId="0" fontId="272" fillId="0" borderId="181" xfId="0" applyFont="1" applyBorder="1" applyAlignment="1">
      <alignment vertical="center" wrapText="1"/>
    </xf>
    <xf numFmtId="0" fontId="95" fillId="0" borderId="0" xfId="0" applyFont="1" applyFill="1" applyBorder="1">
      <alignment vertical="center"/>
    </xf>
    <xf numFmtId="0" fontId="95" fillId="5" borderId="0" xfId="0" applyFont="1" applyFill="1" applyBorder="1">
      <alignment vertical="center"/>
    </xf>
    <xf numFmtId="0" fontId="95" fillId="7" borderId="0" xfId="0" applyFont="1" applyFill="1" applyBorder="1">
      <alignment vertical="center"/>
    </xf>
    <xf numFmtId="0" fontId="272" fillId="0" borderId="189" xfId="0" applyFont="1" applyBorder="1" applyAlignment="1">
      <alignment vertical="center" wrapText="1"/>
    </xf>
    <xf numFmtId="0" fontId="272" fillId="0" borderId="190" xfId="0" applyFont="1" applyBorder="1" applyAlignment="1">
      <alignment vertical="center" wrapText="1"/>
    </xf>
    <xf numFmtId="0" fontId="272" fillId="0" borderId="43" xfId="0" applyFont="1" applyBorder="1" applyAlignment="1">
      <alignment vertical="center" wrapText="1"/>
    </xf>
    <xf numFmtId="0" fontId="267" fillId="0" borderId="181" xfId="0" applyFont="1" applyFill="1" applyBorder="1" applyAlignment="1">
      <alignment vertical="center" wrapText="1"/>
    </xf>
    <xf numFmtId="0" fontId="267" fillId="0" borderId="182" xfId="0" applyFont="1" applyBorder="1" applyAlignment="1">
      <alignment vertical="center" wrapText="1"/>
    </xf>
    <xf numFmtId="0" fontId="267" fillId="0" borderId="191" xfId="0" applyFont="1" applyBorder="1" applyAlignment="1">
      <alignment vertical="center" wrapText="1"/>
    </xf>
    <xf numFmtId="0" fontId="267" fillId="0" borderId="27" xfId="0" applyFont="1" applyBorder="1" applyAlignment="1">
      <alignment vertical="center" wrapText="1"/>
    </xf>
    <xf numFmtId="0" fontId="267" fillId="0" borderId="82" xfId="0" applyFont="1" applyBorder="1" applyAlignment="1">
      <alignment vertical="center" wrapText="1"/>
    </xf>
    <xf numFmtId="0" fontId="272" fillId="0" borderId="192" xfId="0" applyFont="1" applyBorder="1" applyAlignment="1">
      <alignment vertical="center" wrapText="1"/>
    </xf>
    <xf numFmtId="0" fontId="272" fillId="0" borderId="191" xfId="0" applyFont="1" applyBorder="1" applyAlignment="1">
      <alignment vertical="center" wrapText="1"/>
    </xf>
    <xf numFmtId="0" fontId="272" fillId="0" borderId="81" xfId="0" applyFont="1" applyBorder="1" applyAlignment="1">
      <alignment vertical="center" wrapText="1"/>
    </xf>
    <xf numFmtId="0" fontId="267" fillId="0" borderId="1" xfId="0" applyFont="1" applyBorder="1" applyAlignment="1">
      <alignment vertical="center" wrapText="1"/>
    </xf>
    <xf numFmtId="0" fontId="267" fillId="0" borderId="81" xfId="0" applyFont="1" applyFill="1" applyBorder="1" applyAlignment="1">
      <alignment vertical="center" wrapText="1"/>
    </xf>
    <xf numFmtId="9" fontId="0" fillId="0" borderId="0" xfId="0" applyNumberFormat="1">
      <alignment vertical="center"/>
    </xf>
    <xf numFmtId="0" fontId="269" fillId="12" borderId="0" xfId="0" applyFont="1" applyFill="1">
      <alignment vertical="center"/>
    </xf>
    <xf numFmtId="0" fontId="267" fillId="0" borderId="180" xfId="0" applyFont="1" applyFill="1" applyBorder="1" applyAlignment="1">
      <alignment vertical="center" wrapText="1"/>
    </xf>
    <xf numFmtId="0" fontId="267" fillId="0" borderId="192" xfId="0" applyFont="1" applyFill="1" applyBorder="1" applyAlignment="1">
      <alignment vertical="center" wrapText="1"/>
    </xf>
    <xf numFmtId="179" fontId="46" fillId="6" borderId="0" xfId="0" applyNumberFormat="1" applyFont="1" applyFill="1" applyBorder="1" applyAlignment="1" applyProtection="1">
      <alignment horizontal="center" vertical="center"/>
    </xf>
    <xf numFmtId="0" fontId="254" fillId="21" borderId="126" xfId="16" applyNumberFormat="1" applyFont="1" applyFill="1" applyBorder="1" applyAlignment="1" applyProtection="1">
      <alignment horizontal="left" vertical="center" wrapText="1"/>
    </xf>
    <xf numFmtId="0" fontId="271" fillId="0" borderId="180" xfId="0" applyFont="1" applyBorder="1" applyAlignment="1">
      <alignment vertical="center" wrapText="1"/>
    </xf>
    <xf numFmtId="0" fontId="267" fillId="0" borderId="182" xfId="0" applyFont="1" applyBorder="1" applyAlignment="1">
      <alignment vertical="center" wrapText="1"/>
    </xf>
    <xf numFmtId="0" fontId="267" fillId="0" borderId="180" xfId="0" applyFont="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271" fillId="0" borderId="176" xfId="0" applyFont="1" applyBorder="1" applyAlignment="1">
      <alignment vertical="center" wrapText="1"/>
    </xf>
    <xf numFmtId="0" fontId="271" fillId="0" borderId="180" xfId="0" applyFont="1" applyBorder="1" applyAlignment="1">
      <alignment vertical="center" wrapText="1"/>
    </xf>
    <xf numFmtId="0" fontId="271" fillId="0" borderId="177" xfId="0" applyFont="1" applyBorder="1" applyAlignment="1">
      <alignment vertical="center" wrapText="1"/>
    </xf>
    <xf numFmtId="0" fontId="271" fillId="0" borderId="178" xfId="0" applyFont="1" applyBorder="1" applyAlignment="1">
      <alignment vertical="center" wrapText="1"/>
    </xf>
    <xf numFmtId="0" fontId="271" fillId="0" borderId="179" xfId="0" applyFont="1" applyBorder="1" applyAlignment="1">
      <alignment vertical="center" wrapText="1"/>
    </xf>
    <xf numFmtId="0" fontId="267" fillId="0" borderId="176" xfId="0" applyFont="1" applyBorder="1" applyAlignment="1">
      <alignment vertical="center" wrapText="1"/>
    </xf>
    <xf numFmtId="0" fontId="267" fillId="0" borderId="182" xfId="0" applyFont="1" applyBorder="1" applyAlignment="1">
      <alignment vertical="center" wrapText="1"/>
    </xf>
    <xf numFmtId="0" fontId="267" fillId="0" borderId="180" xfId="0" applyFont="1" applyBorder="1" applyAlignment="1">
      <alignment vertical="center" wrapText="1"/>
    </xf>
    <xf numFmtId="0" fontId="265" fillId="0" borderId="176" xfId="0" applyFont="1" applyBorder="1" applyAlignment="1">
      <alignment vertical="center" wrapText="1"/>
    </xf>
    <xf numFmtId="0" fontId="265" fillId="0" borderId="182" xfId="0" applyFont="1" applyBorder="1" applyAlignment="1">
      <alignment vertical="center" wrapText="1"/>
    </xf>
    <xf numFmtId="0" fontId="265" fillId="0" borderId="180" xfId="0" applyFont="1" applyBorder="1" applyAlignment="1">
      <alignment vertical="center" wrapText="1"/>
    </xf>
    <xf numFmtId="0" fontId="271" fillId="0" borderId="183" xfId="0" applyFont="1" applyBorder="1" applyAlignment="1">
      <alignment vertical="center" wrapText="1"/>
    </xf>
    <xf numFmtId="0" fontId="271" fillId="0" borderId="188" xfId="0" applyFont="1" applyBorder="1" applyAlignment="1">
      <alignment vertical="center" wrapText="1"/>
    </xf>
    <xf numFmtId="0" fontId="272" fillId="0" borderId="184" xfId="0" applyFont="1" applyBorder="1" applyAlignment="1">
      <alignment vertical="center" wrapText="1"/>
    </xf>
    <xf numFmtId="0" fontId="0" fillId="0" borderId="185" xfId="0" applyBorder="1" applyAlignment="1">
      <alignment vertical="center" wrapText="1"/>
    </xf>
    <xf numFmtId="0" fontId="272" fillId="0" borderId="186" xfId="0" applyFont="1" applyBorder="1" applyAlignment="1">
      <alignment vertical="center" wrapText="1"/>
    </xf>
    <xf numFmtId="0" fontId="0" fillId="0" borderId="187" xfId="0" applyBorder="1" applyAlignment="1">
      <alignment vertical="center" wrapText="1"/>
    </xf>
    <xf numFmtId="0" fontId="272" fillId="0" borderId="27" xfId="0" applyFont="1" applyBorder="1" applyAlignment="1">
      <alignment vertical="center" wrapText="1"/>
    </xf>
    <xf numFmtId="0" fontId="0" fillId="0" borderId="81" xfId="0" applyBorder="1" applyAlignment="1">
      <alignment vertical="center"/>
    </xf>
    <xf numFmtId="0" fontId="272" fillId="0" borderId="176" xfId="0" applyFont="1" applyBorder="1" applyAlignment="1">
      <alignment vertical="center" wrapText="1"/>
    </xf>
    <xf numFmtId="0" fontId="96" fillId="0" borderId="182" xfId="0" applyFont="1" applyBorder="1" applyAlignment="1">
      <alignment vertical="center" wrapText="1"/>
    </xf>
    <xf numFmtId="0" fontId="96" fillId="0" borderId="180" xfId="0" applyFont="1" applyBorder="1" applyAlignment="1">
      <alignment vertical="center" wrapText="1"/>
    </xf>
    <xf numFmtId="0" fontId="272" fillId="0" borderId="183" xfId="0" applyFont="1" applyBorder="1" applyAlignment="1">
      <alignment vertical="center" wrapText="1"/>
    </xf>
    <xf numFmtId="0" fontId="96" fillId="0" borderId="193" xfId="0" applyFont="1" applyBorder="1" applyAlignment="1">
      <alignment vertical="center" wrapText="1"/>
    </xf>
    <xf numFmtId="0" fontId="96" fillId="0" borderId="188" xfId="0" applyFont="1" applyBorder="1" applyAlignment="1">
      <alignment vertical="center" wrapText="1"/>
    </xf>
    <xf numFmtId="0" fontId="96" fillId="0" borderId="80" xfId="0" applyFont="1" applyBorder="1" applyAlignment="1">
      <alignment vertical="center" wrapText="1"/>
    </xf>
    <xf numFmtId="0" fontId="96" fillId="0" borderId="81" xfId="0" applyFont="1" applyBorder="1" applyAlignment="1">
      <alignmen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7" fillId="5" borderId="180" xfId="0" applyFont="1" applyFill="1" applyBorder="1" applyAlignment="1">
      <alignment vertical="center" wrapText="1"/>
    </xf>
    <xf numFmtId="0" fontId="265" fillId="5" borderId="180" xfId="0" applyFont="1" applyFill="1" applyBorder="1" applyAlignment="1">
      <alignment vertical="center" wrapText="1"/>
    </xf>
    <xf numFmtId="0" fontId="267" fillId="5" borderId="188" xfId="0" applyFont="1" applyFill="1" applyBorder="1" applyAlignment="1">
      <alignmen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9616;&#25151;&#65289;-2023.3.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3;&#31471;&#20135;&#19994;&#22253;&#65288;&#29616;&#25151;&#65289;-12.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292137.36</v>
          </cell>
          <cell r="C14">
            <v>95778.03</v>
          </cell>
          <cell r="D14">
            <v>783779</v>
          </cell>
          <cell r="G14">
            <v>783779</v>
          </cell>
          <cell r="I14">
            <v>638280</v>
          </cell>
        </row>
      </sheetData>
      <sheetData sheetId="18">
        <row r="59">
          <cell r="N59">
            <v>638280</v>
          </cell>
        </row>
        <row r="118">
          <cell r="D118">
            <v>270404</v>
          </cell>
          <cell r="F118">
            <v>513375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292137.36</v>
          </cell>
        </row>
      </sheetData>
      <sheetData sheetId="18">
        <row r="19">
          <cell r="G19">
            <v>784569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北京市通州区宋庄镇尹各庄村新建科研用地房地产抵押价值预评估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受贵公司委托，我公司对北京市通州区宋庄镇尹各庄村新建科研用地房地产抵押价值进行了预评估。</v>
      </c>
    </row>
    <row r="7" spans="1:2" s="1201" customFormat="1">
      <c r="A7" s="1199" t="s">
        <v>566</v>
      </c>
      <c r="B7" s="1200" t="str">
        <f>'预评函-1'!A7</f>
        <v>估价对象为北京市通州区宋庄镇尹各庄村新建科研用地房地产，为汇天网络所有。根据《国有土地使用证》[]，估价对象（分摊）出让国有建设用地使用权面积为20455.65平方米，建筑面积为59427.91平方米。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为估价委托人在向中行北分办理贷款手续过程中，确定房地产抵押贷款额度提供参考依据而评估房地产抵押价值。</v>
      </c>
    </row>
    <row r="12" spans="1:2" s="1201" customFormat="1">
      <c r="A12" s="1199" t="s">
        <v>528</v>
      </c>
      <c r="B12" s="1200" t="str">
        <f>'预评函-1'!A15</f>
        <v>2023年3月16日</v>
      </c>
    </row>
    <row r="13" spans="1:2" s="1201" customFormat="1">
      <c r="A13" s="1199" t="s">
        <v>529</v>
      </c>
      <c r="B13" s="1200" t="str">
        <f>'预评函-1'!A18</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127686</v>
      </c>
    </row>
    <row r="21" spans="1:2" s="1201" customFormat="1">
      <c r="A21" s="1199" t="s">
        <v>537</v>
      </c>
      <c r="B21" s="1200">
        <f ca="1">'预评函-2'!D7</f>
        <v>21486</v>
      </c>
    </row>
    <row r="22" spans="1:2" s="1201" customFormat="1">
      <c r="A22" s="1199" t="s">
        <v>538</v>
      </c>
      <c r="B22" s="1200" t="str">
        <f ca="1">'预评函-2'!D6</f>
        <v>壹拾贰亿柒仟陆佰捌拾陆万元整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127686</v>
      </c>
    </row>
    <row r="31" spans="1:2" s="1201" customFormat="1">
      <c r="A31" s="1199" t="s">
        <v>576</v>
      </c>
      <c r="B31" s="1200">
        <f ca="1">'预评函-2'!D15</f>
        <v>21486</v>
      </c>
    </row>
    <row r="32" spans="1:2" s="1201" customFormat="1">
      <c r="A32" s="1199" t="s">
        <v>543</v>
      </c>
      <c r="B32" s="1200" t="str">
        <f ca="1">'预评函-2'!D14</f>
        <v>壹拾贰亿柒仟陆佰捌拾陆万元整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北京市通州区宋庄镇尹各庄村新建科研用地房地产</v>
      </c>
    </row>
    <row r="42" spans="1:2" s="1201" customFormat="1">
      <c r="A42" s="1199" t="s">
        <v>590</v>
      </c>
      <c r="B42" s="1200" t="str">
        <f>'预评函-3'!B2</f>
        <v>建筑面积</v>
      </c>
    </row>
    <row r="43" spans="1:2" s="1201" customFormat="1">
      <c r="A43" s="1199" t="s">
        <v>591</v>
      </c>
      <c r="B43" s="1200">
        <f>'预评函-3'!B4</f>
        <v>59427.91</v>
      </c>
    </row>
    <row r="44" spans="1:2" s="1201" customFormat="1">
      <c r="A44" s="1199" t="s">
        <v>575</v>
      </c>
      <c r="B44" s="1200" t="str">
        <f>'预评函-3'!C2</f>
        <v>(分摊)土地面积</v>
      </c>
    </row>
    <row r="45" spans="1:2" s="1201" customFormat="1">
      <c r="A45" s="1199" t="s">
        <v>547</v>
      </c>
      <c r="B45" s="1200">
        <f>'预评函-3'!C4</f>
        <v>20455.650000000001</v>
      </c>
    </row>
    <row r="46" spans="1:2" s="1201" customFormat="1">
      <c r="A46" s="1199" t="s">
        <v>573</v>
      </c>
      <c r="B46" s="1200" t="str">
        <f>'预评函-3'!D2</f>
        <v>出让国有建设用地使用权价值</v>
      </c>
    </row>
    <row r="47" spans="1:2" s="1201" customFormat="1">
      <c r="A47" s="1199" t="s">
        <v>548</v>
      </c>
      <c r="B47" s="1200">
        <f ca="1">'预评函-3'!D4</f>
        <v>55543</v>
      </c>
    </row>
    <row r="48" spans="1:2" s="1201" customFormat="1">
      <c r="A48" s="1199" t="s">
        <v>549</v>
      </c>
      <c r="B48" s="1200">
        <f ca="1">'预评函-3'!E4</f>
        <v>9346</v>
      </c>
    </row>
    <row r="49" spans="1:2" s="1201" customFormat="1">
      <c r="A49" s="1199" t="s">
        <v>550</v>
      </c>
      <c r="B49" s="1200" t="str">
        <f ca="1">'预评函-3'!D5</f>
        <v>伍亿伍仟伍佰肆拾叁万元整</v>
      </c>
    </row>
    <row r="50" spans="1:2" s="1201" customFormat="1">
      <c r="A50" s="1199" t="s">
        <v>574</v>
      </c>
      <c r="B50" s="1200" t="str">
        <f>'预评函-3'!F2</f>
        <v>在建建筑物价值</v>
      </c>
    </row>
    <row r="51" spans="1:2" s="1201" customFormat="1">
      <c r="A51" s="1199" t="s">
        <v>551</v>
      </c>
      <c r="B51" s="1200">
        <f ca="1">'预评函-3'!F4</f>
        <v>72143</v>
      </c>
    </row>
    <row r="52" spans="1:2" s="1201" customFormat="1">
      <c r="A52" s="1199" t="s">
        <v>552</v>
      </c>
      <c r="B52" s="1200">
        <f ca="1">'预评函-3'!G4</f>
        <v>12140</v>
      </c>
    </row>
    <row r="53" spans="1:2" s="1201" customFormat="1">
      <c r="A53" s="1199" t="s">
        <v>580</v>
      </c>
      <c r="B53" s="1200" t="str">
        <f ca="1">'预评函-3'!F5</f>
        <v>柒亿贰仟壹佰肆拾叁万元整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3349</v>
      </c>
    </row>
    <row r="8" spans="1:23">
      <c r="A8" s="1544" t="s">
        <v>1026</v>
      </c>
      <c r="B8" s="1544" t="s">
        <v>1027</v>
      </c>
      <c r="C8" s="1545" t="s">
        <v>319</v>
      </c>
      <c r="F8" s="1546" t="s">
        <v>1028</v>
      </c>
      <c r="H8" s="1546" t="s">
        <v>2579</v>
      </c>
      <c r="I8" s="1546" t="s">
        <v>3350</v>
      </c>
    </row>
    <row r="9" spans="1:23">
      <c r="A9" s="1544" t="s">
        <v>1029</v>
      </c>
      <c r="B9" s="1544" t="s">
        <v>1030</v>
      </c>
      <c r="C9" s="1545" t="s">
        <v>320</v>
      </c>
      <c r="F9" s="1546" t="s">
        <v>1031</v>
      </c>
      <c r="H9" s="1546"/>
      <c r="I9" s="1549" t="s">
        <v>3351</v>
      </c>
    </row>
    <row r="10" spans="1:23">
      <c r="A10" s="1544" t="s">
        <v>1032</v>
      </c>
      <c r="B10" s="1544" t="s">
        <v>1033</v>
      </c>
      <c r="C10" s="1545" t="s">
        <v>321</v>
      </c>
      <c r="F10" s="1546" t="s">
        <v>2580</v>
      </c>
      <c r="I10" s="1549" t="s">
        <v>3352</v>
      </c>
    </row>
    <row r="11" spans="1:23">
      <c r="A11" s="1544" t="s">
        <v>1034</v>
      </c>
      <c r="B11" s="1544" t="s">
        <v>1035</v>
      </c>
      <c r="C11" s="1545" t="s">
        <v>322</v>
      </c>
      <c r="F11" s="1546" t="s">
        <v>13</v>
      </c>
      <c r="I11" s="1549" t="s">
        <v>3353</v>
      </c>
    </row>
    <row r="12" spans="1:23">
      <c r="A12" s="1544" t="s">
        <v>1036</v>
      </c>
      <c r="B12" s="1544" t="s">
        <v>1037</v>
      </c>
      <c r="C12" s="1545" t="s">
        <v>323</v>
      </c>
      <c r="I12" s="1549" t="s">
        <v>3354</v>
      </c>
    </row>
    <row r="13" spans="1:23">
      <c r="A13" s="1544" t="s">
        <v>1038</v>
      </c>
      <c r="B13" s="1544" t="s">
        <v>1039</v>
      </c>
      <c r="C13" s="1545" t="s">
        <v>324</v>
      </c>
      <c r="I13" s="1549" t="s">
        <v>3355</v>
      </c>
    </row>
    <row r="14" spans="1:23">
      <c r="A14" s="1544" t="s">
        <v>1040</v>
      </c>
      <c r="B14" s="1544" t="s">
        <v>1041</v>
      </c>
      <c r="C14" s="1546" t="s">
        <v>13</v>
      </c>
      <c r="I14" s="1549" t="s">
        <v>3356</v>
      </c>
    </row>
    <row r="15" spans="1:23">
      <c r="A15" s="1544" t="s">
        <v>1042</v>
      </c>
      <c r="B15" s="1544" t="s">
        <v>1043</v>
      </c>
      <c r="C15" s="1545"/>
      <c r="I15" s="1549" t="s">
        <v>3357</v>
      </c>
    </row>
    <row r="16" spans="1:23">
      <c r="A16" s="1544" t="s">
        <v>1044</v>
      </c>
      <c r="B16" s="1544" t="s">
        <v>312</v>
      </c>
      <c r="C16" s="1545"/>
    </row>
    <row r="17" spans="1:3">
      <c r="A17" s="1544" t="s">
        <v>1045</v>
      </c>
      <c r="B17" s="1544" t="s">
        <v>2292</v>
      </c>
      <c r="C17" s="1545"/>
    </row>
    <row r="18" spans="1:3">
      <c r="A18" s="1544" t="s">
        <v>1046</v>
      </c>
      <c r="B18" s="1544" t="s">
        <v>2435</v>
      </c>
      <c r="C18" s="1545"/>
    </row>
    <row r="19" spans="1:3">
      <c r="A19" s="1544" t="s">
        <v>1047</v>
      </c>
      <c r="B19" s="1544" t="s">
        <v>3459</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3453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为估价委托人在向中行北分办理贷款手续过程中，确定房地产抵押贷款额度提供参考依据而评估房地产抵押价值。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拟使用北京市通州区宋庄镇尹各庄村新建科研用地房地产作为抵押担保物，向中行北分办理贷款手续。中行北分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1552" t="s">
        <v>385</v>
      </c>
      <c r="C54" s="1549" t="s">
        <v>583</v>
      </c>
    </row>
    <row r="55" spans="1:4">
      <c r="A55" s="3550"/>
      <c r="B55" s="1552" t="s">
        <v>386</v>
      </c>
      <c r="C55" s="1549" t="s">
        <v>584</v>
      </c>
    </row>
    <row r="56" spans="1:4">
      <c r="A56" s="3550"/>
      <c r="B56" s="1552" t="s">
        <v>387</v>
      </c>
      <c r="C56" s="1549" t="s">
        <v>588</v>
      </c>
    </row>
    <row r="57" spans="1:4">
      <c r="A57" s="355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32" sqref="D32"/>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5" t="s">
        <v>2595</v>
      </c>
      <c r="J1" s="3222"/>
      <c r="K1" s="3222"/>
      <c r="L1" s="3222"/>
      <c r="M1" s="3222"/>
      <c r="N1" s="3436"/>
      <c r="O1" s="3436"/>
      <c r="P1" s="3436"/>
      <c r="Q1" s="3436"/>
      <c r="R1" s="3436"/>
    </row>
    <row r="2" spans="1:18">
      <c r="A2" s="3012"/>
      <c r="B2" s="3013"/>
      <c r="C2" s="3013"/>
      <c r="D2" s="3013"/>
      <c r="E2" s="3013"/>
      <c r="F2" s="3014"/>
      <c r="I2" s="3551" t="s">
        <v>2582</v>
      </c>
      <c r="J2" s="3551"/>
      <c r="K2" s="3551"/>
      <c r="L2" s="3551"/>
      <c r="M2" s="3551"/>
      <c r="N2" s="3551"/>
      <c r="O2" s="3551"/>
      <c r="P2" s="3551"/>
      <c r="Q2" s="3551"/>
      <c r="R2" s="3551"/>
    </row>
    <row r="3" spans="1:18">
      <c r="A3" s="3015" t="s">
        <v>2503</v>
      </c>
      <c r="B3" s="3016">
        <f>项目基本情况!D3</f>
        <v>45001</v>
      </c>
      <c r="C3" s="3018"/>
      <c r="D3" s="3018"/>
      <c r="E3" s="3018"/>
      <c r="F3" s="3014"/>
      <c r="I3" s="3437"/>
      <c r="J3" s="3437" t="s">
        <v>2586</v>
      </c>
      <c r="K3" s="3437" t="s">
        <v>2587</v>
      </c>
      <c r="L3" s="3437" t="s">
        <v>2588</v>
      </c>
      <c r="M3" s="3437" t="s">
        <v>2589</v>
      </c>
      <c r="N3" s="3438" t="s">
        <v>2590</v>
      </c>
      <c r="O3" s="3438" t="s">
        <v>2591</v>
      </c>
      <c r="P3" s="3438" t="s">
        <v>2592</v>
      </c>
      <c r="Q3" s="3438" t="s">
        <v>2593</v>
      </c>
      <c r="R3" s="3438" t="s">
        <v>2594</v>
      </c>
    </row>
    <row r="4" spans="1:18">
      <c r="A4" s="3015" t="s">
        <v>2504</v>
      </c>
      <c r="B4" s="3018" t="s">
        <v>2505</v>
      </c>
      <c r="C4" s="3018" t="s">
        <v>2506</v>
      </c>
      <c r="D4" s="3018" t="s">
        <v>2507</v>
      </c>
      <c r="E4" s="3018" t="s">
        <v>2508</v>
      </c>
      <c r="F4" s="3014"/>
      <c r="I4" s="3437" t="s">
        <v>2583</v>
      </c>
      <c r="J4" s="3437">
        <v>80</v>
      </c>
      <c r="K4" s="3437">
        <v>70</v>
      </c>
      <c r="L4" s="3437">
        <v>20</v>
      </c>
      <c r="M4" s="3437">
        <v>30</v>
      </c>
      <c r="N4" s="3018">
        <v>45</v>
      </c>
      <c r="O4" s="3018">
        <v>60</v>
      </c>
      <c r="P4" s="3018">
        <v>50</v>
      </c>
      <c r="Q4" s="3018">
        <v>20</v>
      </c>
      <c r="R4" s="3018">
        <v>375</v>
      </c>
    </row>
    <row r="5" spans="1:18">
      <c r="A5" s="3019">
        <v>40</v>
      </c>
      <c r="B5" s="3016">
        <v>46375</v>
      </c>
      <c r="C5" s="3018">
        <f>ROUNDDOWN(MIN((B5-B3)/365,A5),2)</f>
        <v>3.76</v>
      </c>
      <c r="D5" s="3020">
        <f>IF(ISERROR(ROUND(POWER(1+E5,A5-C5)*(POWER(1+E5,C5)-1)/(POWER(1+E5,A5)-1),3)),0,ROUND(POWER(1+E5,A5-C5)*(POWER(1+E5,C5)-1)/(POWER(1+E5,A5)-1),4))</f>
        <v>0.17319999999999999</v>
      </c>
      <c r="E5" s="3021">
        <v>0.04</v>
      </c>
      <c r="F5" s="3014"/>
      <c r="I5" s="3437" t="s">
        <v>2584</v>
      </c>
      <c r="J5" s="3437">
        <v>70</v>
      </c>
      <c r="K5" s="3437">
        <v>60</v>
      </c>
      <c r="L5" s="3437">
        <v>15</v>
      </c>
      <c r="M5" s="3437">
        <v>25</v>
      </c>
      <c r="N5" s="3018">
        <v>40</v>
      </c>
      <c r="O5" s="3018">
        <v>50</v>
      </c>
      <c r="P5" s="3018">
        <v>40</v>
      </c>
      <c r="Q5" s="3018">
        <v>15</v>
      </c>
      <c r="R5" s="3018">
        <v>315</v>
      </c>
    </row>
    <row r="6" spans="1:18">
      <c r="A6" s="3019">
        <v>50</v>
      </c>
      <c r="B6" s="3016">
        <v>50028</v>
      </c>
      <c r="C6" s="3018">
        <f>ROUNDDOWN(MIN((B6-B3)/365,A6),2)</f>
        <v>13.77</v>
      </c>
      <c r="D6" s="3020">
        <f>IF(ISERROR(ROUND(POWER(1+E6,A6-C6)*(POWER(1+E6,C6)-1)/(POWER(1+E6,A6)-1),3)),0,ROUND(POWER(1+E6,A6-C6)*(POWER(1+E6,C6)-1)/(POWER(1+E6,A6)-1),4))</f>
        <v>0.48559999999999998</v>
      </c>
      <c r="E6" s="3021">
        <v>0.04</v>
      </c>
      <c r="F6" s="3014"/>
      <c r="I6" s="3437" t="s">
        <v>2585</v>
      </c>
      <c r="J6" s="3437">
        <v>60</v>
      </c>
      <c r="K6" s="3437">
        <v>50</v>
      </c>
      <c r="L6" s="3437">
        <v>10</v>
      </c>
      <c r="M6" s="3437">
        <v>20</v>
      </c>
      <c r="N6" s="3018">
        <v>35</v>
      </c>
      <c r="O6" s="3018">
        <v>40</v>
      </c>
      <c r="P6" s="3018">
        <v>30</v>
      </c>
      <c r="Q6" s="3018">
        <v>10</v>
      </c>
      <c r="R6" s="3018">
        <v>255</v>
      </c>
    </row>
    <row r="7" spans="1:18">
      <c r="A7" s="3019">
        <v>70</v>
      </c>
      <c r="B7" s="3016">
        <v>57333</v>
      </c>
      <c r="C7" s="3018">
        <f>ROUNDDOWN(MIN((B7-B3)/365,A7),2)</f>
        <v>33.78</v>
      </c>
      <c r="D7" s="3020">
        <f>IF(ISERROR(ROUND(POWER(1+E7,A7-C7)*(POWER(1+E7,C7)-1)/(POWER(1+E7,A7)-1),3)),0,ROUND(POWER(1+E7,A7-C7)*(POWER(1+E7,C7)-1)/(POWER(1+E7,A7)-1),4))</f>
        <v>0.78449999999999998</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70</v>
      </c>
      <c r="C11" s="3018" t="s">
        <v>2512</v>
      </c>
      <c r="D11" s="3024">
        <v>4.4999999999999998E-2</v>
      </c>
      <c r="E11" s="3018" t="s">
        <v>2513</v>
      </c>
      <c r="F11" s="3025">
        <f>ROUND(1-(1/(POWER(1+D11,B11))),4)</f>
        <v>0.95409999999999995</v>
      </c>
    </row>
    <row r="12" spans="1:18">
      <c r="A12" s="3015" t="s">
        <v>2514</v>
      </c>
      <c r="B12" s="3023">
        <v>40</v>
      </c>
      <c r="C12" s="3018" t="s">
        <v>2515</v>
      </c>
      <c r="D12" s="3024">
        <v>4.4999999999999998E-2</v>
      </c>
      <c r="E12" s="3018" t="s">
        <v>2516</v>
      </c>
      <c r="F12" s="3025">
        <f>ROUND(1-(1/(POWER(1+D12,B12))),4)</f>
        <v>0.82809999999999995</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4339.6899999999996</v>
      </c>
      <c r="C15" s="3018">
        <f>ROUND(F12/F11,4)</f>
        <v>0.8679</v>
      </c>
      <c r="D15" s="3013"/>
      <c r="E15" s="3013"/>
      <c r="F15" s="3014"/>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5541.87</v>
      </c>
      <c r="C18" s="3027">
        <f>ROUND(F11/F12,4)</f>
        <v>1.1521999999999999</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2"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553"/>
      <c r="D1" s="3553"/>
      <c r="E1" s="3553"/>
      <c r="F1" s="3553"/>
      <c r="G1" s="3553"/>
      <c r="H1" s="3553"/>
      <c r="I1" s="3554"/>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北京市通州区宋庄镇尹各庄村新建科研用地房地产</v>
      </c>
      <c r="T2" s="1743"/>
      <c r="U2" s="1743"/>
      <c r="V2" s="1743"/>
      <c r="W2" s="1743"/>
      <c r="X2" s="1743"/>
      <c r="Y2" s="1743"/>
      <c r="Z2" s="1743"/>
      <c r="AA2" s="1743"/>
      <c r="AB2" s="1743"/>
    </row>
    <row r="3" spans="1:30">
      <c r="A3" s="302" t="s">
        <v>2169</v>
      </c>
      <c r="B3" s="2371"/>
      <c r="C3" s="2372" t="s">
        <v>2170</v>
      </c>
      <c r="D3" s="2371">
        <v>45001</v>
      </c>
      <c r="E3" s="2659"/>
      <c r="F3" s="2659"/>
      <c r="G3" s="2659"/>
      <c r="H3" s="2659"/>
      <c r="I3" s="2659"/>
      <c r="J3" s="2467"/>
      <c r="K3" s="2366"/>
      <c r="L3" s="2367"/>
      <c r="M3" s="2367"/>
      <c r="N3" s="2368"/>
      <c r="O3" s="1574"/>
      <c r="P3" s="2368"/>
      <c r="Q3" s="2368"/>
      <c r="R3" s="2368"/>
      <c r="S3" s="1680"/>
      <c r="T3" s="1743"/>
      <c r="U3" s="1743"/>
      <c r="V3" s="1743"/>
      <c r="W3" s="1743"/>
      <c r="X3" s="1743"/>
      <c r="Y3" s="1743"/>
      <c r="Z3" s="1743"/>
      <c r="AA3" s="1743"/>
      <c r="AB3" s="1743"/>
    </row>
    <row r="4" spans="1:30" ht="13.5" thickBot="1">
      <c r="A4" s="1090"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5"/>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0"/>
      <c r="F5" s="2660"/>
      <c r="G5" s="2660"/>
      <c r="H5" s="2660"/>
      <c r="I5" s="2660"/>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3456" t="s">
        <v>3376</v>
      </c>
      <c r="C6" s="2382"/>
      <c r="D6" s="2383"/>
      <c r="E6" s="2658"/>
      <c r="F6" s="2660"/>
      <c r="G6" s="2660"/>
      <c r="H6" s="2660"/>
      <c r="I6" s="2660"/>
      <c r="J6" s="2435"/>
      <c r="K6" s="2611" t="str">
        <f>IF(COUNTIF(B6,"*上海银行*"),"上海银行","")</f>
        <v/>
      </c>
      <c r="L6" s="2609"/>
      <c r="M6" s="2609"/>
      <c r="N6" s="2435"/>
      <c r="O6" s="2446"/>
      <c r="P6" s="2435"/>
      <c r="Q6" s="2435"/>
      <c r="R6" s="2435"/>
    </row>
    <row r="7" spans="1:30">
      <c r="A7" s="2381" t="s">
        <v>2174</v>
      </c>
      <c r="B7" s="3455" t="s">
        <v>3373</v>
      </c>
      <c r="C7" s="2382"/>
      <c r="D7" s="2383"/>
      <c r="E7" s="2658"/>
      <c r="F7" s="2660"/>
      <c r="G7" s="2660"/>
      <c r="H7" s="2660"/>
      <c r="I7" s="2660"/>
      <c r="J7" s="2435"/>
      <c r="K7" s="2612"/>
      <c r="L7" s="2609"/>
      <c r="M7" s="2609"/>
      <c r="N7" s="2435"/>
      <c r="O7" s="2446"/>
      <c r="P7" s="2435"/>
      <c r="Q7" s="2435"/>
      <c r="R7" s="2435"/>
    </row>
    <row r="8" spans="1:30">
      <c r="A8" s="2384" t="s">
        <v>2175</v>
      </c>
      <c r="B8" s="2385" t="s">
        <v>3374</v>
      </c>
      <c r="C8" s="2386"/>
      <c r="D8" s="3555" t="s">
        <v>2176</v>
      </c>
      <c r="E8" s="2387" t="s">
        <v>3375</v>
      </c>
      <c r="F8" s="2388"/>
      <c r="G8" s="2659"/>
      <c r="H8" s="2659"/>
      <c r="I8" s="2659"/>
      <c r="J8" s="2435"/>
      <c r="K8" s="2610"/>
      <c r="L8" s="2609"/>
      <c r="M8" s="2609"/>
      <c r="N8" s="2435"/>
      <c r="O8" s="2446"/>
      <c r="P8" s="2435"/>
      <c r="Q8" s="2435"/>
      <c r="R8" s="2435"/>
    </row>
    <row r="9" spans="1:30" ht="13.5" thickBot="1">
      <c r="A9" s="2389" t="s">
        <v>2177</v>
      </c>
      <c r="B9" s="2390" t="s">
        <v>3375</v>
      </c>
      <c r="C9" s="2391"/>
      <c r="D9" s="3556"/>
      <c r="E9" s="2390" t="s">
        <v>43</v>
      </c>
      <c r="F9" s="2392"/>
      <c r="G9" s="2661"/>
      <c r="H9" s="2661"/>
      <c r="I9" s="2661"/>
      <c r="J9" s="2435"/>
      <c r="K9" s="2612"/>
      <c r="L9" s="2609"/>
      <c r="M9" s="2609"/>
      <c r="N9" s="2435"/>
      <c r="O9" s="2446"/>
      <c r="P9" s="2435"/>
      <c r="Q9" s="2435"/>
      <c r="R9" s="2435"/>
    </row>
    <row r="10" spans="1:30" ht="13.5" thickTop="1">
      <c r="A10" s="2393" t="s">
        <v>2178</v>
      </c>
      <c r="B10" s="2394" t="s">
        <v>3378</v>
      </c>
      <c r="C10" s="2395"/>
      <c r="D10" s="2380"/>
      <c r="E10" s="2396" t="s">
        <v>2179</v>
      </c>
      <c r="F10" s="3457" t="s">
        <v>3377</v>
      </c>
      <c r="G10" s="2662"/>
      <c r="H10" s="2663"/>
      <c r="I10" s="2664"/>
      <c r="J10" s="2435"/>
      <c r="K10" s="2612"/>
      <c r="L10" s="2609"/>
      <c r="M10" s="2609"/>
      <c r="N10" s="2435"/>
      <c r="O10" s="2446"/>
      <c r="P10" s="2435"/>
      <c r="Q10" s="2435"/>
      <c r="R10" s="2435"/>
    </row>
    <row r="11" spans="1:30">
      <c r="A11" s="2397" t="s">
        <v>2180</v>
      </c>
      <c r="B11" s="2398" t="s">
        <v>3379</v>
      </c>
      <c r="C11" s="2399" t="str">
        <f>B7</f>
        <v>汇天网络</v>
      </c>
      <c r="D11" s="2400"/>
      <c r="E11" s="2368"/>
      <c r="F11" s="2368"/>
      <c r="G11" s="2368"/>
      <c r="H11" s="2368"/>
      <c r="I11" s="2368"/>
      <c r="J11" s="3056"/>
      <c r="K11" s="3055"/>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2578</v>
      </c>
      <c r="J12" s="3057"/>
      <c r="K12" s="2609"/>
      <c r="L12" s="2609"/>
      <c r="M12" s="2435"/>
      <c r="N12" s="2446"/>
      <c r="O12" s="2435"/>
      <c r="P12" s="2435"/>
      <c r="Q12" s="2435"/>
      <c r="AD12" s="1743"/>
    </row>
    <row r="13" spans="1:30">
      <c r="A13" s="3420" t="s">
        <v>3339</v>
      </c>
      <c r="B13" s="2403" t="s">
        <v>2189</v>
      </c>
      <c r="C13" s="856"/>
      <c r="D13" s="856"/>
      <c r="E13" s="856">
        <v>59165</v>
      </c>
      <c r="F13" s="856">
        <f>E13</f>
        <v>59165</v>
      </c>
      <c r="G13" s="856"/>
      <c r="H13" s="856"/>
      <c r="I13" s="856"/>
      <c r="J13" s="3057"/>
      <c r="K13" s="2609"/>
      <c r="L13" s="2609"/>
      <c r="M13" s="2435"/>
      <c r="N13" s="2446"/>
      <c r="O13" s="2435"/>
      <c r="P13" s="2435"/>
      <c r="Q13" s="2435"/>
      <c r="AD13" s="1743"/>
    </row>
    <row r="14" spans="1:30">
      <c r="A14" s="1081"/>
      <c r="B14" s="2403" t="s">
        <v>2190</v>
      </c>
      <c r="C14" s="2404"/>
      <c r="D14" s="2404"/>
      <c r="E14" s="2404">
        <v>50</v>
      </c>
      <c r="F14" s="2404">
        <v>50</v>
      </c>
      <c r="G14" s="2404"/>
      <c r="H14" s="2404"/>
      <c r="I14" s="2404"/>
      <c r="J14" s="3058"/>
      <c r="K14" s="2609"/>
      <c r="L14" s="2609"/>
      <c r="M14" s="2435"/>
      <c r="N14" s="2446"/>
      <c r="O14" s="2435"/>
      <c r="P14" s="2435"/>
      <c r="Q14" s="2435"/>
      <c r="AD14" s="1743"/>
    </row>
    <row r="15" spans="1:30">
      <c r="A15" s="320"/>
      <c r="B15" s="2405" t="s">
        <v>2191</v>
      </c>
      <c r="C15" s="2406" t="str">
        <f>IF(A13="出让",IF(C13="","",ROUNDDOWN(MIN((C13-$D$3)/365,C14),2)),C14)</f>
        <v/>
      </c>
      <c r="D15" s="2406" t="str">
        <f>IF(A13="出让",IF(D13="","",ROUNDDOWN(MIN((D13-$D$3)/365,D14),2)),D14)</f>
        <v/>
      </c>
      <c r="E15" s="2406">
        <f>IF(A13="出让",IF(E13="","",ROUNDDOWN(MIN((E13-$D$3)/365,E14),2)),E14)</f>
        <v>38.799999999999997</v>
      </c>
      <c r="F15" s="2406">
        <f>IF(A13="出让",IF(F13="","",ROUNDDOWN(MIN((F13-$D$3)/365,F14),2)),F14)</f>
        <v>38.799999999999997</v>
      </c>
      <c r="G15" s="2406" t="str">
        <f>IF(A13="出让",IF(G13="","",ROUNDDOWN(MIN((G13-$D$3)/365,G14),2)),G14)</f>
        <v/>
      </c>
      <c r="H15" s="2406" t="str">
        <f>IF(A13="出让",IF(H13="","",ROUNDDOWN(MIN((H13-$D$3)/365,H14),2)),H14)</f>
        <v/>
      </c>
      <c r="I15" s="2406" t="str">
        <f>IF(A13="出让",IF(I13="","",ROUNDDOWN(MIN((I13-$D$3)/365,I14),2)),I14)</f>
        <v/>
      </c>
      <c r="J15" s="3059"/>
      <c r="K15" s="2447"/>
      <c r="L15" s="2447"/>
      <c r="M15" s="2505"/>
      <c r="N15" s="2447"/>
      <c r="O15" s="2505"/>
      <c r="P15" s="2435"/>
      <c r="Q15" s="2435"/>
      <c r="AD15" s="1743"/>
    </row>
    <row r="16" spans="1:30">
      <c r="A16" s="2396" t="s">
        <v>2192</v>
      </c>
      <c r="B16" s="3562"/>
      <c r="C16" s="3563"/>
      <c r="D16" s="3564"/>
      <c r="E16" s="2409" t="s">
        <v>2193</v>
      </c>
      <c r="F16" s="3565"/>
      <c r="G16" s="3566"/>
      <c r="H16" s="3566"/>
      <c r="I16" s="3567"/>
      <c r="J16" s="2435"/>
      <c r="K16" s="2613"/>
      <c r="L16" s="2447"/>
      <c r="M16" s="2447"/>
      <c r="N16" s="2505"/>
      <c r="O16" s="2447"/>
      <c r="P16" s="2505"/>
      <c r="Q16" s="2435"/>
      <c r="R16" s="2435"/>
    </row>
    <row r="17" spans="1:28">
      <c r="A17" s="313" t="s">
        <v>2194</v>
      </c>
      <c r="B17" s="302" t="s">
        <v>2195</v>
      </c>
      <c r="C17" s="8">
        <f>'数据-汇总表'!E3</f>
        <v>59427.91</v>
      </c>
      <c r="D17" s="2320" t="s">
        <v>2196</v>
      </c>
      <c r="E17" s="3568" t="s">
        <v>2197</v>
      </c>
      <c r="F17" s="3569"/>
      <c r="G17" s="3569"/>
      <c r="H17" s="3569"/>
      <c r="I17" s="3570"/>
      <c r="J17" s="2435"/>
      <c r="K17" s="2614"/>
      <c r="L17" s="2447"/>
      <c r="M17" s="2447"/>
      <c r="N17" s="2505"/>
      <c r="O17" s="2447"/>
      <c r="P17" s="2505"/>
      <c r="Q17" s="2435"/>
      <c r="R17" s="2435"/>
      <c r="S17" s="2435"/>
      <c r="T17" s="2435"/>
      <c r="U17" s="2435"/>
      <c r="V17" s="2435"/>
    </row>
    <row r="18" spans="1:28" ht="24.75" thickBot="1">
      <c r="A18" s="2410" t="s">
        <v>2198</v>
      </c>
      <c r="B18" s="1090" t="s">
        <v>2199</v>
      </c>
      <c r="C18" s="2411">
        <f>'数据-汇总表'!D3</f>
        <v>20455.650000000001</v>
      </c>
      <c r="D18" s="1092" t="s">
        <v>2200</v>
      </c>
      <c r="E18" s="3571" t="s">
        <v>2201</v>
      </c>
      <c r="F18" s="3572"/>
      <c r="G18" s="3572"/>
      <c r="H18" s="3572"/>
      <c r="I18" s="3573"/>
      <c r="J18" s="2435"/>
      <c r="K18" s="2614"/>
      <c r="L18" s="2447"/>
      <c r="M18" s="2447"/>
      <c r="N18" s="2505"/>
      <c r="O18" s="2447"/>
      <c r="P18" s="2505"/>
      <c r="Q18" s="2435"/>
      <c r="R18" s="2435"/>
      <c r="S18" s="2435"/>
      <c r="T18" s="2435"/>
      <c r="U18" s="2435"/>
      <c r="V18" s="2435"/>
    </row>
    <row r="19" spans="1:28" ht="37.5" thickTop="1" thickBot="1">
      <c r="A19" s="327" t="s">
        <v>1055</v>
      </c>
      <c r="B19" s="307" t="s">
        <v>2202</v>
      </c>
      <c r="C19" s="1561"/>
      <c r="D19" s="1562" t="s">
        <v>2203</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2204</v>
      </c>
      <c r="B20" s="3558" t="s">
        <v>2205</v>
      </c>
      <c r="C20" s="3559"/>
      <c r="D20" s="3560" t="s">
        <v>2206</v>
      </c>
      <c r="E20" s="3561"/>
      <c r="F20" s="2643" t="s">
        <v>1056</v>
      </c>
      <c r="G20" s="2660"/>
      <c r="H20" s="2660"/>
      <c r="I20" s="2660"/>
      <c r="J20" s="2435"/>
      <c r="K20" s="355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c r="H21" s="2660"/>
      <c r="I21" s="2660"/>
      <c r="J21" s="2435"/>
      <c r="K21" s="355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c r="H22" s="2660"/>
      <c r="I22" s="2660"/>
      <c r="J22" s="2435"/>
      <c r="K22" s="355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5"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5"/>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5"/>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6"/>
      <c r="B30" s="302" t="s">
        <v>2217</v>
      </c>
      <c r="C30" s="3577"/>
      <c r="D30" s="3578"/>
      <c r="E30" s="2660"/>
      <c r="F30" s="2660"/>
      <c r="G30" s="2660"/>
      <c r="H30" s="2660"/>
      <c r="I30" s="2660"/>
      <c r="J30" s="2435"/>
      <c r="K30" s="2612"/>
      <c r="L30" s="2609"/>
      <c r="M30" s="2609"/>
      <c r="N30" s="2435"/>
      <c r="O30" s="2446"/>
      <c r="P30" s="2435"/>
      <c r="Q30" s="2435"/>
      <c r="R30" s="2435"/>
      <c r="S30" s="2435"/>
      <c r="T30" s="2435"/>
      <c r="U30" s="2435"/>
      <c r="V30" s="2435"/>
    </row>
    <row r="31" spans="1:28">
      <c r="A31" s="3579" t="s">
        <v>2218</v>
      </c>
      <c r="B31" s="2418"/>
      <c r="C31" s="2321"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80"/>
      <c r="B32" s="2418"/>
      <c r="C32" s="2321"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80"/>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4" t="s">
        <v>3380</v>
      </c>
      <c r="C34" s="2024" t="s">
        <v>3381</v>
      </c>
      <c r="D34" s="2024" t="s">
        <v>3382</v>
      </c>
      <c r="E34" s="2024" t="s">
        <v>3383</v>
      </c>
      <c r="F34" s="2024" t="s">
        <v>3384</v>
      </c>
      <c r="G34" s="2024" t="s">
        <v>43</v>
      </c>
      <c r="H34" s="2024" t="s">
        <v>43</v>
      </c>
      <c r="I34" s="2660"/>
      <c r="J34" s="2435"/>
      <c r="K34" s="2423">
        <f>COUNTIF(B34:H34,"——")</f>
        <v>2</v>
      </c>
      <c r="L34" s="323" t="s">
        <v>2220</v>
      </c>
      <c r="M34" s="323" t="s">
        <v>2221</v>
      </c>
      <c r="N34" s="323" t="s">
        <v>2222</v>
      </c>
      <c r="O34" s="323" t="s">
        <v>2223</v>
      </c>
      <c r="P34" s="323" t="s">
        <v>2224</v>
      </c>
      <c r="Q34" s="323" t="s">
        <v>2225</v>
      </c>
      <c r="R34" s="323" t="s">
        <v>2226</v>
      </c>
      <c r="S34" s="3574" t="s">
        <v>2227</v>
      </c>
      <c r="T34" s="2424" t="str">
        <f>NUMBERSTRING(7-K34,1)&amp;"通"</f>
        <v>五通</v>
      </c>
      <c r="U34" s="2435"/>
      <c r="V34" s="2435"/>
    </row>
    <row r="35" spans="1:30">
      <c r="A35" s="2425"/>
      <c r="B35" s="3581" t="s">
        <v>2228</v>
      </c>
      <c r="C35" s="3581"/>
      <c r="D35" s="3581"/>
      <c r="E35" s="3581"/>
      <c r="F35" s="664">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74"/>
      <c r="T35" s="329" t="str">
        <f>IF(T34="一通",L35,IF(T34="二通",M35,IF(T34="三通",N35,IF(T34="四通",O35,IF(T34="五通",P35,IF(T34="六通",Q35,R35))))))</f>
        <v>通路、通电、通讯、通上水、通下水</v>
      </c>
      <c r="U35" s="2435"/>
      <c r="V35" s="2435"/>
    </row>
    <row r="36" spans="1:30">
      <c r="A36" s="2426"/>
      <c r="B36" s="664" t="s">
        <v>2184</v>
      </c>
      <c r="C36" s="664" t="s">
        <v>2185</v>
      </c>
      <c r="D36" s="664" t="s">
        <v>2183</v>
      </c>
      <c r="E36" s="664" t="s">
        <v>2188</v>
      </c>
      <c r="F36" s="3060"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t="s">
        <v>304</v>
      </c>
      <c r="D37" s="2427"/>
      <c r="E37" s="2427"/>
      <c r="F37" s="2427" t="s">
        <v>304</v>
      </c>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t="s">
        <v>3386</v>
      </c>
      <c r="D38" s="2428"/>
      <c r="E38" s="2428"/>
      <c r="F38" s="2428" t="s">
        <v>3386</v>
      </c>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7"/>
      <c r="M40" s="2447"/>
      <c r="N40" s="2505"/>
      <c r="O40" s="2447"/>
      <c r="P40" s="2435"/>
      <c r="Q40" s="2435"/>
      <c r="R40" s="2435"/>
      <c r="S40" s="2435"/>
      <c r="T40" s="2435"/>
      <c r="U40" s="2435"/>
      <c r="V40" s="2435"/>
    </row>
    <row r="41" spans="1:30">
      <c r="A41" s="2432" t="s">
        <v>2232</v>
      </c>
      <c r="B41" s="1755"/>
      <c r="C41" s="1371"/>
      <c r="D41" s="2368"/>
      <c r="E41" s="2368"/>
      <c r="F41" s="2368"/>
      <c r="G41" s="2368"/>
      <c r="H41" s="2368"/>
      <c r="I41" s="1574"/>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1" customFormat="1">
      <c r="A43" s="1568"/>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1" customFormat="1">
      <c r="A44" s="1568"/>
      <c r="B44" s="1568"/>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1" customFormat="1">
      <c r="A45" s="1568"/>
      <c r="B45" s="1568"/>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1" customFormat="1">
      <c r="A46" s="1568"/>
      <c r="B46" s="1568"/>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1" customFormat="1">
      <c r="A47" s="1568"/>
      <c r="B47" s="1568"/>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1" customFormat="1">
      <c r="A48" s="1568"/>
      <c r="B48" s="1568"/>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1" customFormat="1">
      <c r="A49" s="1568"/>
      <c r="B49" s="1568"/>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1" customFormat="1">
      <c r="A50" s="1568"/>
      <c r="B50" s="1568"/>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1" customFormat="1">
      <c r="A51" s="1568"/>
      <c r="B51" s="1568"/>
      <c r="C51" s="1051"/>
      <c r="D51" s="1051"/>
      <c r="E51" s="1051"/>
      <c r="F51" s="1051"/>
      <c r="G51" s="1051"/>
      <c r="H51" s="1051"/>
      <c r="I51" s="1051"/>
      <c r="J51" s="2433"/>
      <c r="K51" s="2434"/>
      <c r="L51" s="2434"/>
      <c r="M51" s="1051"/>
      <c r="N51" s="1051"/>
      <c r="O51" s="1051"/>
      <c r="P51" s="1051"/>
      <c r="Q51" s="1051"/>
      <c r="R51" s="1051"/>
    </row>
    <row r="52" spans="1:22" s="1741" customFormat="1">
      <c r="A52" s="1568"/>
      <c r="B52" s="1568"/>
      <c r="C52" s="1568"/>
      <c r="D52" s="1568"/>
      <c r="E52" s="1568"/>
      <c r="F52" s="1051"/>
      <c r="G52" s="1568"/>
      <c r="H52" s="1568"/>
      <c r="I52" s="1568"/>
      <c r="J52" s="2436"/>
      <c r="K52" s="2434"/>
      <c r="L52" s="2434"/>
      <c r="M52" s="2434"/>
      <c r="N52" s="1568"/>
      <c r="O52" s="1568"/>
      <c r="P52" s="1568"/>
      <c r="Q52" s="1568"/>
      <c r="R52" s="1568"/>
    </row>
    <row r="53" spans="1:22" s="1741" customFormat="1">
      <c r="A53" s="1568"/>
      <c r="B53" s="1568"/>
      <c r="C53" s="1568"/>
      <c r="D53" s="1568"/>
      <c r="E53" s="1568"/>
      <c r="F53" s="1051"/>
      <c r="G53" s="1568"/>
      <c r="H53" s="1568"/>
      <c r="I53" s="1568"/>
      <c r="J53" s="2436"/>
      <c r="K53" s="2434"/>
      <c r="L53" s="2434"/>
      <c r="M53" s="2434"/>
      <c r="N53" s="1568"/>
      <c r="O53" s="1568"/>
      <c r="P53" s="1568"/>
      <c r="Q53" s="1568"/>
      <c r="R53" s="1568"/>
    </row>
    <row r="54" spans="1:22" s="1741" customFormat="1">
      <c r="A54" s="1568"/>
      <c r="B54" s="1568"/>
      <c r="C54" s="1568"/>
      <c r="D54" s="1568"/>
      <c r="E54" s="1568"/>
      <c r="F54" s="1051"/>
      <c r="G54" s="1568"/>
      <c r="H54" s="1568"/>
      <c r="I54" s="1568"/>
      <c r="J54" s="2436"/>
      <c r="K54" s="2434"/>
      <c r="L54" s="2434"/>
      <c r="M54" s="2434"/>
      <c r="N54" s="1568"/>
      <c r="O54" s="1568"/>
      <c r="P54" s="1568"/>
      <c r="Q54" s="1568"/>
      <c r="R54" s="1568"/>
    </row>
    <row r="55" spans="1:22" s="1741" customFormat="1">
      <c r="A55" s="1568"/>
      <c r="B55" s="1568"/>
      <c r="C55" s="1568"/>
      <c r="D55" s="1568"/>
      <c r="E55" s="1568"/>
      <c r="F55" s="1051"/>
      <c r="G55" s="1568"/>
      <c r="H55" s="1568"/>
      <c r="I55" s="1568"/>
      <c r="J55" s="2436"/>
      <c r="K55" s="2434"/>
      <c r="L55" s="2434"/>
      <c r="M55" s="2434"/>
      <c r="N55" s="1568"/>
      <c r="O55" s="1568"/>
      <c r="P55" s="1568"/>
      <c r="Q55" s="1568"/>
      <c r="R55" s="1568"/>
    </row>
    <row r="56" spans="1:22" s="1741" customFormat="1">
      <c r="A56" s="1568"/>
      <c r="B56" s="1568"/>
      <c r="C56" s="1568"/>
      <c r="D56" s="1568"/>
      <c r="E56" s="1568"/>
      <c r="F56" s="1051"/>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1" width="9.5" style="1571" customWidth="1"/>
    <col min="42" max="45" width="9.5" style="1571" hidden="1" customWidth="1"/>
    <col min="46"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8" t="s">
        <v>1067</v>
      </c>
      <c r="AZ2" s="1049"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133115.90400000001</v>
      </c>
      <c r="B3" s="11">
        <f>IF(C3="否",G5-AT5,G5)</f>
        <v>403045.81000000006</v>
      </c>
      <c r="C3" s="1578" t="s">
        <v>3449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50">
        <f>7212.96+6635.28+6607.41</f>
        <v>20455.650000000001</v>
      </c>
      <c r="AZ3" s="1051"/>
      <c r="BA3" s="1052"/>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4"/>
      <c r="AV5" s="12" t="s">
        <v>1070</v>
      </c>
      <c r="AW5" s="1345"/>
      <c r="AX5" s="1345"/>
      <c r="AY5" s="14" t="s">
        <v>2</v>
      </c>
      <c r="AZ5" s="15">
        <f t="shared" ref="AZ5:BT5" si="1">SUM(AZ13:AZ656)</f>
        <v>59427.91</v>
      </c>
      <c r="BA5" s="15">
        <f t="shared" si="1"/>
        <v>58476.87</v>
      </c>
      <c r="BB5" s="15">
        <f t="shared" si="1"/>
        <v>52974.33</v>
      </c>
      <c r="BC5" s="15">
        <f t="shared" si="1"/>
        <v>5502.54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951.04</v>
      </c>
      <c r="BM5" s="15">
        <f t="shared" si="1"/>
        <v>0</v>
      </c>
      <c r="BN5" s="15">
        <f t="shared" si="1"/>
        <v>0</v>
      </c>
      <c r="BO5" s="15">
        <f t="shared" si="1"/>
        <v>0</v>
      </c>
      <c r="BP5" s="15">
        <f t="shared" si="1"/>
        <v>0</v>
      </c>
      <c r="BQ5" s="15">
        <f t="shared" si="1"/>
        <v>951.04</v>
      </c>
      <c r="BR5" s="15">
        <f t="shared" si="1"/>
        <v>0</v>
      </c>
      <c r="BS5" s="15">
        <f t="shared" si="1"/>
        <v>0</v>
      </c>
      <c r="BT5" s="16">
        <f t="shared" si="1"/>
        <v>0</v>
      </c>
    </row>
    <row r="6" spans="1:72" s="1587" customFormat="1" ht="12.75">
      <c r="A6" s="12" t="s">
        <v>1071</v>
      </c>
      <c r="B6" s="1584"/>
      <c r="C6" s="1584"/>
      <c r="D6" s="1585"/>
      <c r="E6" s="13">
        <f>H6+AC6+AT6</f>
        <v>133115.91</v>
      </c>
      <c r="F6" s="13" t="s">
        <v>0</v>
      </c>
      <c r="G6" s="13" t="s">
        <v>1</v>
      </c>
      <c r="H6" s="17">
        <f>SUMIF(I$12:AB$12,"总值",I6:AB6)</f>
        <v>119851.99</v>
      </c>
      <c r="I6" s="13">
        <f t="shared" ref="I6:AB6" si="2">ROUND($A$3*I5/$B$3,2)</f>
        <v>93707.44</v>
      </c>
      <c r="J6" s="13">
        <f t="shared" si="2"/>
        <v>0</v>
      </c>
      <c r="K6" s="13">
        <f t="shared" si="2"/>
        <v>13194.54</v>
      </c>
      <c r="L6" s="13">
        <f t="shared" si="2"/>
        <v>0</v>
      </c>
      <c r="M6" s="13">
        <f t="shared" si="2"/>
        <v>12950.01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2918.33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1770.86</v>
      </c>
      <c r="AM6" s="13">
        <f t="shared" si="3"/>
        <v>0</v>
      </c>
      <c r="AN6" s="13">
        <f t="shared" si="3"/>
        <v>1147.47</v>
      </c>
      <c r="AO6" s="13">
        <f t="shared" si="3"/>
        <v>0</v>
      </c>
      <c r="AP6" s="13">
        <f t="shared" si="3"/>
        <v>0</v>
      </c>
      <c r="AQ6" s="13">
        <f t="shared" si="3"/>
        <v>0</v>
      </c>
      <c r="AR6" s="13">
        <f t="shared" si="3"/>
        <v>0</v>
      </c>
      <c r="AS6" s="13">
        <f t="shared" si="3"/>
        <v>0</v>
      </c>
      <c r="AT6" s="17">
        <f>IF(C3="是",ROUND($A$3*AT5/$B$3,2),0)</f>
        <v>10345.59</v>
      </c>
      <c r="AU6" s="1586"/>
      <c r="AV6" s="12" t="s">
        <v>1071</v>
      </c>
      <c r="AW6" s="1584"/>
      <c r="AX6" s="1584"/>
      <c r="AY6" s="18">
        <f>IF(AY3&gt;0,AY3,ROUND($A$3*AZ5/$B$3,2))</f>
        <v>20455.650000000001</v>
      </c>
      <c r="AZ6" s="13" t="s">
        <v>2</v>
      </c>
      <c r="BA6" s="13">
        <f>ROUND($AY$6*BA5/$AZ$5,2)</f>
        <v>20128.29</v>
      </c>
      <c r="BB6" s="13">
        <f>ROUND($AY$6*BB5/$AZ$5,2)</f>
        <v>18234.27</v>
      </c>
      <c r="BC6" s="13">
        <f t="shared" ref="BC6:BH6" si="4">ROUND($AY$6*BC5/$AZ$5,2)</f>
        <v>1894.03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327.36</v>
      </c>
      <c r="BM6" s="13">
        <f t="shared" si="5"/>
        <v>0</v>
      </c>
      <c r="BN6" s="13">
        <f t="shared" si="5"/>
        <v>0</v>
      </c>
      <c r="BO6" s="13">
        <f t="shared" si="5"/>
        <v>0</v>
      </c>
      <c r="BP6" s="13">
        <f t="shared" si="5"/>
        <v>0</v>
      </c>
      <c r="BQ6" s="13">
        <f t="shared" si="5"/>
        <v>327.36</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9" t="s">
        <v>1085</v>
      </c>
      <c r="AD8" s="1598"/>
      <c r="AE8" s="1590"/>
      <c r="AF8" s="1358"/>
      <c r="AG8" s="1358"/>
      <c r="AH8" s="1358"/>
      <c r="AI8" s="1358"/>
      <c r="AJ8" s="1358"/>
      <c r="AK8" s="1358"/>
      <c r="AL8" s="1358"/>
      <c r="AM8" s="1358"/>
      <c r="AN8" s="1358"/>
      <c r="AO8" s="1358"/>
      <c r="AP8" s="1358"/>
      <c r="AQ8" s="1358"/>
      <c r="AR8" s="1358"/>
      <c r="AS8" s="1358"/>
      <c r="AT8" s="1070" t="s">
        <v>1086</v>
      </c>
      <c r="AU8" s="1592" t="s">
        <v>1087</v>
      </c>
      <c r="AV8" s="1070"/>
      <c r="AW8" s="1575"/>
      <c r="AX8" s="1070"/>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70"/>
      <c r="H9" s="1600" t="s">
        <v>1090</v>
      </c>
      <c r="I9" s="1601" t="s">
        <v>3451</v>
      </c>
      <c r="J9" s="809"/>
      <c r="K9" s="1601" t="s">
        <v>3454</v>
      </c>
      <c r="L9" s="809"/>
      <c r="M9" s="1601" t="s">
        <v>3454</v>
      </c>
      <c r="N9" s="809"/>
      <c r="O9" s="1601"/>
      <c r="P9" s="809"/>
      <c r="Q9" s="1601"/>
      <c r="R9" s="809"/>
      <c r="S9" s="1601"/>
      <c r="T9" s="809"/>
      <c r="U9" s="1601"/>
      <c r="V9" s="809"/>
      <c r="W9" s="1601"/>
      <c r="X9" s="1602"/>
      <c r="Y9" s="1601"/>
      <c r="Z9" s="809"/>
      <c r="AA9" s="1601"/>
      <c r="AB9" s="809"/>
      <c r="AC9" s="1593"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3"/>
      <c r="AT9" s="1592"/>
      <c r="AU9" s="1592" t="s">
        <v>1093</v>
      </c>
      <c r="AV9" s="1070"/>
      <c r="AW9" s="1575"/>
      <c r="AX9" s="1070"/>
      <c r="AY9" s="25"/>
      <c r="AZ9" s="25" t="s">
        <v>1083</v>
      </c>
      <c r="BA9" s="1604" t="s">
        <v>1094</v>
      </c>
      <c r="BB9" s="1605"/>
      <c r="BC9" s="1088"/>
      <c r="BD9" s="1088"/>
      <c r="BE9" s="1088"/>
      <c r="BF9" s="1088"/>
      <c r="BG9" s="1088"/>
      <c r="BH9" s="1088"/>
      <c r="BI9" s="1088"/>
      <c r="BJ9" s="1088"/>
      <c r="BK9" s="1606"/>
      <c r="BL9" s="12" t="s">
        <v>1095</v>
      </c>
      <c r="BM9" s="1358"/>
      <c r="BN9" s="1595"/>
      <c r="BO9" s="1358"/>
      <c r="BP9" s="1358"/>
      <c r="BQ9" s="1358"/>
      <c r="BR9" s="1358"/>
      <c r="BS9" s="1358"/>
      <c r="BT9" s="23"/>
    </row>
    <row r="10" spans="1:72" s="1599" customFormat="1" ht="12.75">
      <c r="A10" s="1592"/>
      <c r="B10" s="1592"/>
      <c r="C10" s="1592"/>
      <c r="D10" s="1592"/>
      <c r="E10" s="1592"/>
      <c r="F10" s="1592"/>
      <c r="G10" s="1070"/>
      <c r="H10" s="25"/>
      <c r="I10" s="1601" t="s">
        <v>21</v>
      </c>
      <c r="J10" s="809"/>
      <c r="K10" s="1607" t="s">
        <v>21</v>
      </c>
      <c r="L10" s="809"/>
      <c r="M10" s="1607" t="s">
        <v>3340</v>
      </c>
      <c r="N10" s="809"/>
      <c r="O10" s="1607"/>
      <c r="P10" s="809"/>
      <c r="Q10" s="1607"/>
      <c r="R10" s="809"/>
      <c r="S10" s="1607"/>
      <c r="T10" s="809"/>
      <c r="U10" s="1607"/>
      <c r="V10" s="809"/>
      <c r="W10" s="1607"/>
      <c r="X10" s="809"/>
      <c r="Y10" s="1607"/>
      <c r="Z10" s="809"/>
      <c r="AA10" s="1607"/>
      <c r="AB10" s="809"/>
      <c r="AC10" s="1070"/>
      <c r="AD10" s="12" t="s">
        <v>1096</v>
      </c>
      <c r="AE10" s="1608"/>
      <c r="AF10" s="12" t="s">
        <v>1096</v>
      </c>
      <c r="AG10" s="1608"/>
      <c r="AH10" s="12" t="s">
        <v>1097</v>
      </c>
      <c r="AI10" s="1608"/>
      <c r="AJ10" s="12" t="s">
        <v>1097</v>
      </c>
      <c r="AK10" s="1608"/>
      <c r="AL10" s="12" t="s">
        <v>1098</v>
      </c>
      <c r="AM10" s="1076"/>
      <c r="AN10" s="12" t="s">
        <v>1098</v>
      </c>
      <c r="AO10" s="1076"/>
      <c r="AP10" s="12" t="s">
        <v>1099</v>
      </c>
      <c r="AQ10" s="1076"/>
      <c r="AR10" s="12" t="s">
        <v>1099</v>
      </c>
      <c r="AS10" s="1076"/>
      <c r="AT10" s="1592"/>
      <c r="AU10" s="1592"/>
      <c r="AV10" s="1070"/>
      <c r="AW10" s="1575"/>
      <c r="AX10" s="1070"/>
      <c r="AY10" s="25"/>
      <c r="AZ10" s="25"/>
      <c r="BA10" s="1609" t="s">
        <v>1090</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70"/>
      <c r="H11" s="1609"/>
      <c r="I11" s="1612" t="s">
        <v>3452</v>
      </c>
      <c r="J11" s="1613"/>
      <c r="K11" s="1612" t="s">
        <v>3452</v>
      </c>
      <c r="L11" s="1613"/>
      <c r="M11" s="1612" t="s">
        <v>3340</v>
      </c>
      <c r="N11" s="1613"/>
      <c r="O11" s="1612"/>
      <c r="P11" s="1613"/>
      <c r="Q11" s="1612"/>
      <c r="R11" s="1613"/>
      <c r="S11" s="1612"/>
      <c r="T11" s="1613"/>
      <c r="U11" s="1612"/>
      <c r="V11" s="1613"/>
      <c r="W11" s="1612"/>
      <c r="X11" s="1613"/>
      <c r="Y11" s="1612"/>
      <c r="Z11" s="1613"/>
      <c r="AA11" s="1612"/>
      <c r="AB11" s="1613"/>
      <c r="AC11" s="1070"/>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70"/>
      <c r="AW11" s="1575"/>
      <c r="AX11" s="1070"/>
      <c r="AY11" s="25"/>
      <c r="AZ11" s="25"/>
      <c r="BA11" s="25"/>
      <c r="BB11" s="1597" t="str">
        <f>I10</f>
        <v>办公</v>
      </c>
      <c r="BC11" s="1597" t="str">
        <f>K10</f>
        <v>办公</v>
      </c>
      <c r="BD11" s="1597" t="str">
        <f>M10</f>
        <v>车库</v>
      </c>
      <c r="BE11" s="1597">
        <f>O10</f>
        <v>0</v>
      </c>
      <c r="BF11" s="1597">
        <f>Q10</f>
        <v>0</v>
      </c>
      <c r="BG11" s="1597">
        <f>S10</f>
        <v>0</v>
      </c>
      <c r="BH11" s="1597">
        <f>U10</f>
        <v>0</v>
      </c>
      <c r="BI11" s="1597">
        <f>W10</f>
        <v>0</v>
      </c>
      <c r="BJ11" s="1597">
        <f>Y10</f>
        <v>0</v>
      </c>
      <c r="BK11" s="1597">
        <f>AA10</f>
        <v>0</v>
      </c>
      <c r="BL11" s="1070"/>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t="str">
        <f>I11</f>
        <v>科研用房</v>
      </c>
      <c r="BC12" s="1622" t="str">
        <f>K11</f>
        <v>科研用房</v>
      </c>
      <c r="BD12" s="1622" t="str">
        <f>M11</f>
        <v>车库</v>
      </c>
      <c r="BE12" s="1597">
        <f>O11</f>
        <v>0</v>
      </c>
      <c r="BF12" s="1597">
        <f>Q11</f>
        <v>0</v>
      </c>
      <c r="BG12" s="1597">
        <f>S11</f>
        <v>0</v>
      </c>
      <c r="BH12" s="1597">
        <f>U11</f>
        <v>0</v>
      </c>
      <c r="BI12" s="1597">
        <f>W11</f>
        <v>0</v>
      </c>
      <c r="BJ12" s="1597">
        <f>Y11</f>
        <v>0</v>
      </c>
      <c r="BK12" s="1597">
        <f>AA11</f>
        <v>0</v>
      </c>
      <c r="BL12" s="1070"/>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1"/>
      <c r="B13" s="3475" t="s">
        <v>3447</v>
      </c>
      <c r="C13" s="1051" t="str">
        <f>面积表!A3</f>
        <v>1#</v>
      </c>
      <c r="D13" s="1623" t="s">
        <v>3450</v>
      </c>
      <c r="E13" s="13">
        <f>IF($C$3="是",ROUND($A$3*G13/$B$3,2),ROUND($A$3*(G13-AT13)/$B$3,2))</f>
        <v>6536.34</v>
      </c>
      <c r="F13" s="29"/>
      <c r="G13" s="30">
        <f>H13+AC13+AT13</f>
        <v>19790.61</v>
      </c>
      <c r="H13" s="17">
        <f>SUMIF(I$12:AB$12,"总值",I13:AB13)</f>
        <v>19495.690000000002</v>
      </c>
      <c r="I13" s="1624">
        <f>面积表!B3</f>
        <v>17658.11</v>
      </c>
      <c r="J13" s="1624"/>
      <c r="K13" s="1624">
        <f>面积表!C3</f>
        <v>1837.58</v>
      </c>
      <c r="L13" s="1624"/>
      <c r="M13" s="1624"/>
      <c r="N13" s="1624"/>
      <c r="O13" s="1624"/>
      <c r="P13" s="1624"/>
      <c r="Q13" s="1624"/>
      <c r="R13" s="1624"/>
      <c r="S13" s="1624"/>
      <c r="T13" s="1624"/>
      <c r="U13" s="1624"/>
      <c r="V13" s="1624"/>
      <c r="W13" s="1624"/>
      <c r="X13" s="1624"/>
      <c r="Y13" s="1624"/>
      <c r="Z13" s="1624"/>
      <c r="AA13" s="1624"/>
      <c r="AB13" s="1624"/>
      <c r="AC13" s="13">
        <f>SUMIF(AD$12:AS$12,"总值",AD13:AS13)</f>
        <v>294.92</v>
      </c>
      <c r="AD13" s="1625"/>
      <c r="AE13" s="1625"/>
      <c r="AF13" s="1625"/>
      <c r="AG13" s="1625"/>
      <c r="AH13" s="1625"/>
      <c r="AI13" s="1625"/>
      <c r="AJ13" s="1625"/>
      <c r="AK13" s="1625"/>
      <c r="AL13" s="1625">
        <f>面积表!D3</f>
        <v>294.92</v>
      </c>
      <c r="AM13" s="1625"/>
      <c r="AN13" s="1625"/>
      <c r="AO13" s="1625"/>
      <c r="AP13" s="1625"/>
      <c r="AQ13" s="1625"/>
      <c r="AR13" s="1625"/>
      <c r="AS13" s="1625"/>
      <c r="AT13" s="1626"/>
      <c r="AU13" s="1627"/>
      <c r="AV13" s="8">
        <f t="shared" ref="AV13:AX17" si="6">A13</f>
        <v>0</v>
      </c>
      <c r="AW13" s="8" t="str">
        <f t="shared" si="6"/>
        <v>现房</v>
      </c>
      <c r="AX13" s="8" t="str">
        <f t="shared" si="6"/>
        <v>1#</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1"/>
      <c r="B14" s="3475" t="s">
        <v>3447</v>
      </c>
      <c r="C14" s="1051" t="str">
        <f>面积表!A4</f>
        <v>2#</v>
      </c>
      <c r="D14" s="1623" t="s">
        <v>3450</v>
      </c>
      <c r="E14" s="13">
        <f>IF($C$3="是",ROUND($A$3*G14/$B$3,2),ROUND($A$3*(G14-AT14)/$B$3,2))</f>
        <v>6534.68</v>
      </c>
      <c r="F14" s="29"/>
      <c r="G14" s="30">
        <f>H14+AC14+AT14</f>
        <v>19785.59</v>
      </c>
      <c r="H14" s="17">
        <f>SUMIF(I$12:AB$12,"总值",I14:AB14)</f>
        <v>19490.670000000002</v>
      </c>
      <c r="I14" s="1624">
        <f>面积表!B4</f>
        <v>17658.11</v>
      </c>
      <c r="J14" s="1624"/>
      <c r="K14" s="1624">
        <f>面积表!C4</f>
        <v>1832.56</v>
      </c>
      <c r="L14" s="1624"/>
      <c r="M14" s="1624"/>
      <c r="N14" s="1624"/>
      <c r="O14" s="1624"/>
      <c r="P14" s="1624"/>
      <c r="Q14" s="1624"/>
      <c r="R14" s="1624"/>
      <c r="S14" s="1624"/>
      <c r="T14" s="1624"/>
      <c r="U14" s="1624"/>
      <c r="V14" s="1624"/>
      <c r="W14" s="1624"/>
      <c r="X14" s="1624"/>
      <c r="Y14" s="1624"/>
      <c r="Z14" s="1624"/>
      <c r="AA14" s="1624"/>
      <c r="AB14" s="1624"/>
      <c r="AC14" s="13">
        <f>SUMIF(AD$12:AS$12,"总值",AD14:AS14)</f>
        <v>294.92</v>
      </c>
      <c r="AD14" s="1625"/>
      <c r="AE14" s="1625"/>
      <c r="AF14" s="1625"/>
      <c r="AG14" s="1625"/>
      <c r="AH14" s="1625"/>
      <c r="AI14" s="1625"/>
      <c r="AJ14" s="1625"/>
      <c r="AK14" s="1625"/>
      <c r="AL14" s="1625">
        <f>面积表!D4</f>
        <v>294.92</v>
      </c>
      <c r="AM14" s="1625"/>
      <c r="AN14" s="1625"/>
      <c r="AO14" s="1625"/>
      <c r="AP14" s="1625"/>
      <c r="AQ14" s="1625"/>
      <c r="AR14" s="1625"/>
      <c r="AS14" s="1625"/>
      <c r="AT14" s="1626"/>
      <c r="AU14" s="1627"/>
      <c r="AV14" s="8">
        <f t="shared" si="6"/>
        <v>0</v>
      </c>
      <c r="AW14" s="8" t="str">
        <f t="shared" si="6"/>
        <v>现房</v>
      </c>
      <c r="AX14" s="8" t="str">
        <f t="shared" si="6"/>
        <v>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1"/>
      <c r="B15" s="3475" t="s">
        <v>3447</v>
      </c>
      <c r="C15" s="1051" t="str">
        <f>面积表!A5</f>
        <v>3#</v>
      </c>
      <c r="D15" s="1623" t="s">
        <v>3450</v>
      </c>
      <c r="E15" s="13">
        <f>IF($C$3="是",ROUND($A$3*G15/$B$3,2),ROUND($A$3*(G15-AT15)/$B$3,2))</f>
        <v>6537.86</v>
      </c>
      <c r="F15" s="29"/>
      <c r="G15" s="30">
        <f>H15+AC15+AT15</f>
        <v>19795.21</v>
      </c>
      <c r="H15" s="17">
        <f>SUMIF(I$12:AB$12,"总值",I15:AB15)</f>
        <v>19500.29</v>
      </c>
      <c r="I15" s="1624">
        <f>面积表!B5</f>
        <v>17658.11</v>
      </c>
      <c r="J15" s="1624"/>
      <c r="K15" s="1624">
        <f>面积表!C5</f>
        <v>1842.18</v>
      </c>
      <c r="L15" s="1624"/>
      <c r="M15" s="1624"/>
      <c r="N15" s="1624"/>
      <c r="O15" s="1624"/>
      <c r="P15" s="1624"/>
      <c r="Q15" s="1624"/>
      <c r="R15" s="1624"/>
      <c r="S15" s="1624"/>
      <c r="T15" s="1624"/>
      <c r="U15" s="1624"/>
      <c r="V15" s="1624"/>
      <c r="W15" s="1624"/>
      <c r="X15" s="1624"/>
      <c r="Y15" s="1624"/>
      <c r="Z15" s="1624"/>
      <c r="AA15" s="1624"/>
      <c r="AB15" s="1624"/>
      <c r="AC15" s="13">
        <f>SUMIF(AD$12:AS$12,"总值",AD15:AS15)</f>
        <v>294.92</v>
      </c>
      <c r="AD15" s="1625"/>
      <c r="AE15" s="1625"/>
      <c r="AF15" s="1625"/>
      <c r="AG15" s="1625"/>
      <c r="AH15" s="1625"/>
      <c r="AI15" s="1625"/>
      <c r="AJ15" s="1625"/>
      <c r="AK15" s="1625"/>
      <c r="AL15" s="1625">
        <f>面积表!D5</f>
        <v>294.92</v>
      </c>
      <c r="AM15" s="1625"/>
      <c r="AN15" s="1625"/>
      <c r="AO15" s="1625"/>
      <c r="AP15" s="1625"/>
      <c r="AQ15" s="1625"/>
      <c r="AR15" s="1625"/>
      <c r="AS15" s="1625"/>
      <c r="AT15" s="1626"/>
      <c r="AU15" s="1627"/>
      <c r="AV15" s="8">
        <f t="shared" si="6"/>
        <v>0</v>
      </c>
      <c r="AW15" s="8" t="str">
        <f t="shared" si="6"/>
        <v>现房</v>
      </c>
      <c r="AX15" s="8" t="str">
        <f t="shared" si="6"/>
        <v>3#</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1"/>
      <c r="B16" s="3475" t="s">
        <v>3447</v>
      </c>
      <c r="C16" s="1051" t="str">
        <f>面积表!A6</f>
        <v>4#</v>
      </c>
      <c r="D16" s="1623" t="s">
        <v>3450</v>
      </c>
      <c r="E16" s="13">
        <f>IF($C$3="是",ROUND($A$3*G16/$B$3,2),ROUND($A$3*(G16-AT16)/$B$3,2))</f>
        <v>4434.99</v>
      </c>
      <c r="F16" s="29"/>
      <c r="G16" s="30">
        <f>H16+AC16+AT16</f>
        <v>13428.19</v>
      </c>
      <c r="H16" s="17">
        <f>SUMIF(I$12:AB$12,"总值",I16:AB16)</f>
        <v>13135.75</v>
      </c>
      <c r="I16" s="1624">
        <f>面积表!B6</f>
        <v>11307.49</v>
      </c>
      <c r="J16" s="1624"/>
      <c r="K16" s="1624">
        <f>面积表!C6</f>
        <v>1828.26</v>
      </c>
      <c r="L16" s="1624"/>
      <c r="M16" s="1624"/>
      <c r="N16" s="1624"/>
      <c r="O16" s="1624"/>
      <c r="P16" s="1624"/>
      <c r="Q16" s="1624"/>
      <c r="R16" s="1624"/>
      <c r="S16" s="1624"/>
      <c r="T16" s="1624"/>
      <c r="U16" s="1624"/>
      <c r="V16" s="1624"/>
      <c r="W16" s="1624"/>
      <c r="X16" s="1624"/>
      <c r="Y16" s="1624"/>
      <c r="Z16" s="1624"/>
      <c r="AA16" s="1624"/>
      <c r="AB16" s="1624"/>
      <c r="AC16" s="13">
        <f>SUMIF(AD$12:AS$12,"总值",AD16:AS16)</f>
        <v>292.44</v>
      </c>
      <c r="AD16" s="1625"/>
      <c r="AE16" s="1625"/>
      <c r="AF16" s="1625"/>
      <c r="AG16" s="1625"/>
      <c r="AH16" s="1625"/>
      <c r="AI16" s="1625"/>
      <c r="AJ16" s="1625"/>
      <c r="AK16" s="1625"/>
      <c r="AL16" s="1625">
        <f>面积表!D6</f>
        <v>292.44</v>
      </c>
      <c r="AM16" s="1625"/>
      <c r="AN16" s="1625"/>
      <c r="AO16" s="1625"/>
      <c r="AP16" s="1625"/>
      <c r="AQ16" s="1625"/>
      <c r="AR16" s="1625"/>
      <c r="AS16" s="1625"/>
      <c r="AT16" s="1626"/>
      <c r="AU16" s="1627"/>
      <c r="AV16" s="8">
        <f t="shared" si="6"/>
        <v>0</v>
      </c>
      <c r="AW16" s="8" t="str">
        <f t="shared" si="6"/>
        <v>现房</v>
      </c>
      <c r="AX16" s="8" t="str">
        <f t="shared" si="6"/>
        <v>4#</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1"/>
      <c r="B17" s="3475" t="s">
        <v>3447</v>
      </c>
      <c r="C17" s="1051" t="str">
        <f>面积表!A7</f>
        <v>5#</v>
      </c>
      <c r="D17" s="1623" t="s">
        <v>3450</v>
      </c>
      <c r="E17" s="13">
        <f>IF($C$3="是",ROUND($A$3*G17/$B$3,2),ROUND($A$3*(G17-AT17)/$B$3,2))</f>
        <v>6534.25</v>
      </c>
      <c r="F17" s="29"/>
      <c r="G17" s="30">
        <f>H17+AC17+AT17</f>
        <v>19784.27</v>
      </c>
      <c r="H17" s="17">
        <f>SUMIF(I$12:AB$12,"总值",I17:AB17)</f>
        <v>19489.350000000002</v>
      </c>
      <c r="I17" s="1624">
        <f>面积表!B7</f>
        <v>17658.11</v>
      </c>
      <c r="J17" s="1624"/>
      <c r="K17" s="1624">
        <f>面积表!C7</f>
        <v>1831.24</v>
      </c>
      <c r="L17" s="1624"/>
      <c r="M17" s="1624"/>
      <c r="N17" s="1624"/>
      <c r="O17" s="1624"/>
      <c r="P17" s="1624"/>
      <c r="Q17" s="1624"/>
      <c r="R17" s="1624"/>
      <c r="S17" s="1624"/>
      <c r="T17" s="1624"/>
      <c r="U17" s="1624"/>
      <c r="V17" s="1624"/>
      <c r="W17" s="1624"/>
      <c r="X17" s="1624"/>
      <c r="Y17" s="1624"/>
      <c r="Z17" s="1624"/>
      <c r="AA17" s="1624"/>
      <c r="AB17" s="1624"/>
      <c r="AC17" s="13">
        <f>SUMIF(AD$12:AS$12,"总值",AD17:AS17)</f>
        <v>294.92</v>
      </c>
      <c r="AD17" s="1625"/>
      <c r="AE17" s="1625"/>
      <c r="AF17" s="1625"/>
      <c r="AG17" s="1625"/>
      <c r="AH17" s="1625"/>
      <c r="AI17" s="1625"/>
      <c r="AJ17" s="1625"/>
      <c r="AK17" s="1625"/>
      <c r="AL17" s="1625">
        <f>面积表!D7</f>
        <v>294.92</v>
      </c>
      <c r="AM17" s="1625"/>
      <c r="AN17" s="1625"/>
      <c r="AO17" s="1625"/>
      <c r="AP17" s="1625"/>
      <c r="AQ17" s="1625"/>
      <c r="AR17" s="1625"/>
      <c r="AS17" s="1625"/>
      <c r="AT17" s="1626"/>
      <c r="AU17" s="1627"/>
      <c r="AV17" s="8">
        <f t="shared" si="6"/>
        <v>0</v>
      </c>
      <c r="AW17" s="8" t="str">
        <f t="shared" si="6"/>
        <v>现房</v>
      </c>
      <c r="AX17" s="8" t="str">
        <f t="shared" si="6"/>
        <v>5#</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76" t="s">
        <v>3448</v>
      </c>
      <c r="C18" s="1051" t="str">
        <f>面积表!A8</f>
        <v>6#</v>
      </c>
      <c r="D18" s="1628" t="s">
        <v>3449</v>
      </c>
      <c r="E18" s="32">
        <f t="shared" ref="E18:E112" si="7">IF($C$3="是",ROUND($A$3*G18/$B$3,2),ROUND($A$3*(G18-AT18)/$B$3,2))</f>
        <v>6535.31</v>
      </c>
      <c r="F18" s="33"/>
      <c r="G18" s="34">
        <f t="shared" ref="G18:G109" si="8">H18+AC18+AT18</f>
        <v>19787.48</v>
      </c>
      <c r="H18" s="35">
        <f t="shared" ref="H18:H109" si="9">SUMIF(I$12:AB$12,"总值",I18:AB18)</f>
        <v>19492.560000000001</v>
      </c>
      <c r="I18" s="1624">
        <f>面积表!B8</f>
        <v>17658.11</v>
      </c>
      <c r="J18" s="36"/>
      <c r="K18" s="1624">
        <f>面积表!C8</f>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1625">
        <f>面积表!D8</f>
        <v>294.92</v>
      </c>
      <c r="AM18" s="37"/>
      <c r="AN18" s="37"/>
      <c r="AO18" s="37"/>
      <c r="AP18" s="37"/>
      <c r="AQ18" s="37"/>
      <c r="AR18" s="37"/>
      <c r="AS18" s="37"/>
      <c r="AT18" s="38"/>
      <c r="AU18" s="1629"/>
      <c r="AV18" s="1341">
        <f t="shared" ref="AV18:AV112" si="11">A18</f>
        <v>0</v>
      </c>
      <c r="AW18" s="1341" t="str">
        <f t="shared" ref="AW18:AW112" si="12">B18</f>
        <v>在建</v>
      </c>
      <c r="AX18" s="1341" t="str">
        <f t="shared" ref="AX18:AX112" si="13">C18</f>
        <v>6#</v>
      </c>
      <c r="AY18" s="39">
        <f t="shared" ref="AY18:AY109" si="14">ROUND($AY$6*AZ18/$AZ$5,2)</f>
        <v>6811.04</v>
      </c>
      <c r="AZ18" s="32">
        <f t="shared" ref="AZ18:AZ109" si="15">BA18+BL18</f>
        <v>19787.48</v>
      </c>
      <c r="BA18" s="32">
        <f t="shared" ref="BA18:BA109" si="16">SUM(BB18:BK18)</f>
        <v>19492.560000000001</v>
      </c>
      <c r="BB18" s="32">
        <f t="shared" ref="BB18:BB109" si="17">IF($D18="是",I18-J18,0)</f>
        <v>17658.11</v>
      </c>
      <c r="BC18" s="32">
        <f t="shared" ref="BC18:BC109" si="18">IF($D18="是",K18-L18,0)</f>
        <v>1834.45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294.92</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294.92</v>
      </c>
      <c r="BR18" s="32">
        <f t="shared" ref="BR18:BR109" si="33">IF($D18="是",AN18-AO18,0)</f>
        <v>0</v>
      </c>
      <c r="BS18" s="32">
        <f t="shared" ref="BS18:BS109" si="34">IF($D18="是",AP18-AQ18,0)</f>
        <v>0</v>
      </c>
      <c r="BT18" s="40">
        <f t="shared" ref="BT18:BT109" si="35">IF($D18="是",AR18-AS18,0)</f>
        <v>0</v>
      </c>
    </row>
    <row r="19" spans="1:72">
      <c r="A19" s="6"/>
      <c r="B19" s="3475" t="s">
        <v>3447</v>
      </c>
      <c r="C19" s="1051" t="str">
        <f>面积表!A9</f>
        <v>7#</v>
      </c>
      <c r="D19" s="1623" t="s">
        <v>3450</v>
      </c>
      <c r="E19" s="32">
        <f t="shared" si="7"/>
        <v>4647.8900000000003</v>
      </c>
      <c r="F19" s="33"/>
      <c r="G19" s="34">
        <f t="shared" si="8"/>
        <v>14072.79</v>
      </c>
      <c r="H19" s="35">
        <f t="shared" si="9"/>
        <v>13780.35</v>
      </c>
      <c r="I19" s="1624">
        <f>面积表!B9</f>
        <v>11958.17</v>
      </c>
      <c r="J19" s="36"/>
      <c r="K19" s="1624">
        <f>面积表!C9</f>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1625">
        <f>面积表!D9</f>
        <v>292.44</v>
      </c>
      <c r="AM19" s="37"/>
      <c r="AN19" s="37"/>
      <c r="AO19" s="37"/>
      <c r="AP19" s="37"/>
      <c r="AQ19" s="37"/>
      <c r="AR19" s="37"/>
      <c r="AS19" s="37"/>
      <c r="AT19" s="38"/>
      <c r="AU19" s="1629"/>
      <c r="AV19" s="1341">
        <f t="shared" si="11"/>
        <v>0</v>
      </c>
      <c r="AW19" s="1341" t="str">
        <f t="shared" si="12"/>
        <v>现房</v>
      </c>
      <c r="AX19" s="1341" t="str">
        <f t="shared" si="13"/>
        <v>7#</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476" t="s">
        <v>3447</v>
      </c>
      <c r="C20" s="1051" t="str">
        <f>面积表!A10</f>
        <v>8#</v>
      </c>
      <c r="D20" s="1623" t="s">
        <v>3450</v>
      </c>
      <c r="E20" s="32">
        <f t="shared" si="7"/>
        <v>6657.14</v>
      </c>
      <c r="F20" s="33"/>
      <c r="G20" s="34">
        <f t="shared" si="8"/>
        <v>20156.37</v>
      </c>
      <c r="H20" s="35">
        <f t="shared" si="9"/>
        <v>19861.53</v>
      </c>
      <c r="I20" s="1624">
        <f>面积表!B10</f>
        <v>18018.59</v>
      </c>
      <c r="J20" s="36"/>
      <c r="K20" s="1624">
        <f>面积表!C10</f>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1625">
        <f>面积表!D10</f>
        <v>294.83999999999997</v>
      </c>
      <c r="AM20" s="37"/>
      <c r="AN20" s="37"/>
      <c r="AO20" s="37"/>
      <c r="AP20" s="37"/>
      <c r="AQ20" s="37"/>
      <c r="AR20" s="37"/>
      <c r="AS20" s="37"/>
      <c r="AT20" s="38"/>
      <c r="AU20" s="1629"/>
      <c r="AV20" s="1341">
        <f t="shared" si="11"/>
        <v>0</v>
      </c>
      <c r="AW20" s="1341" t="str">
        <f t="shared" si="12"/>
        <v>现房</v>
      </c>
      <c r="AX20" s="1341"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475" t="s">
        <v>3447</v>
      </c>
      <c r="C21" s="1051" t="str">
        <f>面积表!A11</f>
        <v>9#</v>
      </c>
      <c r="D21" s="1623" t="s">
        <v>3450</v>
      </c>
      <c r="E21" s="32">
        <f t="shared" si="7"/>
        <v>6535.95</v>
      </c>
      <c r="F21" s="33"/>
      <c r="G21" s="34">
        <f t="shared" si="8"/>
        <v>19789.43</v>
      </c>
      <c r="H21" s="35">
        <f t="shared" si="9"/>
        <v>19494.510000000002</v>
      </c>
      <c r="I21" s="1624">
        <f>面积表!B11</f>
        <v>17658.11</v>
      </c>
      <c r="J21" s="36"/>
      <c r="K21" s="1624">
        <f>面积表!C11</f>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1625">
        <f>面积表!D11</f>
        <v>294.92</v>
      </c>
      <c r="AM21" s="37"/>
      <c r="AN21" s="37"/>
      <c r="AO21" s="37"/>
      <c r="AP21" s="37"/>
      <c r="AQ21" s="37"/>
      <c r="AR21" s="37"/>
      <c r="AS21" s="37"/>
      <c r="AT21" s="38"/>
      <c r="AU21" s="1629"/>
      <c r="AV21" s="1341">
        <f t="shared" si="11"/>
        <v>0</v>
      </c>
      <c r="AW21" s="1341" t="str">
        <f t="shared" si="12"/>
        <v>现房</v>
      </c>
      <c r="AX21" s="1341" t="str">
        <f t="shared" si="13"/>
        <v>9#</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476" t="s">
        <v>3448</v>
      </c>
      <c r="C22" s="1051" t="str">
        <f>面积表!A12</f>
        <v>10#</v>
      </c>
      <c r="D22" s="1628" t="s">
        <v>3449</v>
      </c>
      <c r="E22" s="32">
        <f t="shared" si="7"/>
        <v>6556.88</v>
      </c>
      <c r="F22" s="33"/>
      <c r="G22" s="34">
        <f t="shared" si="8"/>
        <v>19852.79</v>
      </c>
      <c r="H22" s="35">
        <f t="shared" si="9"/>
        <v>19491.59</v>
      </c>
      <c r="I22" s="1624">
        <f>面积表!B12</f>
        <v>17658.11</v>
      </c>
      <c r="J22" s="36"/>
      <c r="K22" s="1624">
        <f>面积表!C12</f>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1625">
        <f>面积表!D12</f>
        <v>361.2</v>
      </c>
      <c r="AM22" s="37"/>
      <c r="AN22" s="37"/>
      <c r="AO22" s="37"/>
      <c r="AP22" s="37"/>
      <c r="AQ22" s="37"/>
      <c r="AR22" s="37"/>
      <c r="AS22" s="37"/>
      <c r="AT22" s="38"/>
      <c r="AU22" s="1629"/>
      <c r="AV22" s="1341">
        <f t="shared" si="11"/>
        <v>0</v>
      </c>
      <c r="AW22" s="1341" t="str">
        <f t="shared" si="12"/>
        <v>在建</v>
      </c>
      <c r="AX22" s="1341" t="str">
        <f t="shared" si="13"/>
        <v>10#</v>
      </c>
      <c r="AY22" s="39">
        <f t="shared" si="14"/>
        <v>6833.52</v>
      </c>
      <c r="AZ22" s="32">
        <f t="shared" si="15"/>
        <v>19852.79</v>
      </c>
      <c r="BA22" s="32">
        <f t="shared" si="16"/>
        <v>19491.59</v>
      </c>
      <c r="BB22" s="32">
        <f t="shared" si="17"/>
        <v>17658.11</v>
      </c>
      <c r="BC22" s="32">
        <f t="shared" si="18"/>
        <v>1833.48</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361.2</v>
      </c>
      <c r="BM22" s="32">
        <f t="shared" si="28"/>
        <v>0</v>
      </c>
      <c r="BN22" s="32">
        <f t="shared" si="29"/>
        <v>0</v>
      </c>
      <c r="BO22" s="32">
        <f t="shared" si="30"/>
        <v>0</v>
      </c>
      <c r="BP22" s="32">
        <f t="shared" si="31"/>
        <v>0</v>
      </c>
      <c r="BQ22" s="32">
        <f t="shared" si="32"/>
        <v>361.2</v>
      </c>
      <c r="BR22" s="32">
        <f t="shared" si="33"/>
        <v>0</v>
      </c>
      <c r="BS22" s="32">
        <f t="shared" si="34"/>
        <v>0</v>
      </c>
      <c r="BT22" s="40">
        <f t="shared" si="35"/>
        <v>0</v>
      </c>
    </row>
    <row r="23" spans="1:72">
      <c r="A23" s="6"/>
      <c r="B23" s="3475" t="s">
        <v>3447</v>
      </c>
      <c r="C23" s="1051" t="str">
        <f>面积表!A13</f>
        <v>11#</v>
      </c>
      <c r="D23" s="1623" t="s">
        <v>3450</v>
      </c>
      <c r="E23" s="32">
        <f t="shared" si="7"/>
        <v>6659.63</v>
      </c>
      <c r="F23" s="33"/>
      <c r="G23" s="34">
        <f t="shared" si="8"/>
        <v>20163.89</v>
      </c>
      <c r="H23" s="35">
        <f t="shared" si="9"/>
        <v>19866.98</v>
      </c>
      <c r="I23" s="1624">
        <f>面积表!B13</f>
        <v>18018.59</v>
      </c>
      <c r="J23" s="36"/>
      <c r="K23" s="1624">
        <f>面积表!C13</f>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1625">
        <f>面积表!D13</f>
        <v>296.91000000000003</v>
      </c>
      <c r="AM23" s="37"/>
      <c r="AN23" s="37"/>
      <c r="AO23" s="37"/>
      <c r="AP23" s="37"/>
      <c r="AQ23" s="37"/>
      <c r="AR23" s="37"/>
      <c r="AS23" s="37"/>
      <c r="AT23" s="38"/>
      <c r="AU23" s="1629"/>
      <c r="AV23" s="1341">
        <f t="shared" si="11"/>
        <v>0</v>
      </c>
      <c r="AW23" s="1341" t="str">
        <f t="shared" si="12"/>
        <v>现房</v>
      </c>
      <c r="AX23" s="1341" t="str">
        <f t="shared" si="13"/>
        <v>11#</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475" t="s">
        <v>3447</v>
      </c>
      <c r="C24" s="1051" t="str">
        <f>面积表!A14</f>
        <v>12#</v>
      </c>
      <c r="D24" s="1623" t="s">
        <v>3450</v>
      </c>
      <c r="E24" s="32">
        <f t="shared" si="7"/>
        <v>6534.23</v>
      </c>
      <c r="F24" s="33"/>
      <c r="G24" s="34">
        <f t="shared" si="8"/>
        <v>19784.219999999998</v>
      </c>
      <c r="H24" s="35">
        <f t="shared" si="9"/>
        <v>19489.3</v>
      </c>
      <c r="I24" s="1624">
        <f>面积表!B14</f>
        <v>17658.11</v>
      </c>
      <c r="J24" s="36"/>
      <c r="K24" s="1624">
        <f>面积表!C14</f>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1625">
        <f>面积表!D14</f>
        <v>294.92</v>
      </c>
      <c r="AM24" s="37"/>
      <c r="AN24" s="37"/>
      <c r="AO24" s="37"/>
      <c r="AP24" s="37"/>
      <c r="AQ24" s="37"/>
      <c r="AR24" s="37"/>
      <c r="AS24" s="37"/>
      <c r="AT24" s="38"/>
      <c r="AU24" s="1629"/>
      <c r="AV24" s="1341">
        <f t="shared" si="11"/>
        <v>0</v>
      </c>
      <c r="AW24" s="1341" t="str">
        <f t="shared" si="12"/>
        <v>现房</v>
      </c>
      <c r="AX24" s="1341" t="str">
        <f t="shared" si="13"/>
        <v>12#</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475" t="s">
        <v>3447</v>
      </c>
      <c r="C25" s="1051" t="str">
        <f>面积表!A15</f>
        <v>13#</v>
      </c>
      <c r="D25" s="1623" t="s">
        <v>3450</v>
      </c>
      <c r="E25" s="32">
        <f t="shared" si="7"/>
        <v>4647.88</v>
      </c>
      <c r="F25" s="33"/>
      <c r="G25" s="34">
        <f t="shared" si="8"/>
        <v>14072.76</v>
      </c>
      <c r="H25" s="35">
        <f t="shared" si="9"/>
        <v>13780.32</v>
      </c>
      <c r="I25" s="1624">
        <f>面积表!B15</f>
        <v>11958.17</v>
      </c>
      <c r="J25" s="36"/>
      <c r="K25" s="1624">
        <f>面积表!C15</f>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1625">
        <f>面积表!D15</f>
        <v>292.44</v>
      </c>
      <c r="AM25" s="37"/>
      <c r="AN25" s="37"/>
      <c r="AO25" s="37"/>
      <c r="AP25" s="37"/>
      <c r="AQ25" s="37"/>
      <c r="AR25" s="37"/>
      <c r="AS25" s="37"/>
      <c r="AT25" s="38"/>
      <c r="AU25" s="1629"/>
      <c r="AV25" s="1341">
        <f t="shared" si="11"/>
        <v>0</v>
      </c>
      <c r="AW25" s="1341" t="str">
        <f t="shared" si="12"/>
        <v>现房</v>
      </c>
      <c r="AX25" s="1341" t="str">
        <f t="shared" si="13"/>
        <v>13#</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475" t="s">
        <v>3447</v>
      </c>
      <c r="C26" s="1051" t="str">
        <f>面积表!A16</f>
        <v>14#</v>
      </c>
      <c r="D26" s="1623" t="s">
        <v>3450</v>
      </c>
      <c r="E26" s="32">
        <f t="shared" si="7"/>
        <v>6655.48</v>
      </c>
      <c r="F26" s="33"/>
      <c r="G26" s="34">
        <f t="shared" si="8"/>
        <v>20151.350000000002</v>
      </c>
      <c r="H26" s="35">
        <f t="shared" si="9"/>
        <v>19856.510000000002</v>
      </c>
      <c r="I26" s="1624">
        <f>面积表!B16</f>
        <v>18018.59</v>
      </c>
      <c r="J26" s="36"/>
      <c r="K26" s="1624">
        <f>面积表!C16</f>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1625">
        <f>面积表!D16</f>
        <v>294.83999999999997</v>
      </c>
      <c r="AM26" s="37"/>
      <c r="AN26" s="37"/>
      <c r="AO26" s="37"/>
      <c r="AP26" s="37"/>
      <c r="AQ26" s="37"/>
      <c r="AR26" s="37"/>
      <c r="AS26" s="37"/>
      <c r="AT26" s="38"/>
      <c r="AU26" s="1629"/>
      <c r="AV26" s="1341">
        <f t="shared" si="11"/>
        <v>0</v>
      </c>
      <c r="AW26" s="1341" t="str">
        <f t="shared" si="12"/>
        <v>现房</v>
      </c>
      <c r="AX26" s="1341" t="str">
        <f t="shared" si="13"/>
        <v>14#</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75" t="s">
        <v>3447</v>
      </c>
      <c r="C27" s="1051" t="str">
        <f>面积表!A17</f>
        <v>15#</v>
      </c>
      <c r="D27" s="1623" t="s">
        <v>3450</v>
      </c>
      <c r="E27" s="32">
        <f t="shared" si="7"/>
        <v>4572.3999999999996</v>
      </c>
      <c r="F27" s="33"/>
      <c r="G27" s="34">
        <f t="shared" si="8"/>
        <v>13844.220000000001</v>
      </c>
      <c r="H27" s="35">
        <f t="shared" si="9"/>
        <v>13551.78</v>
      </c>
      <c r="I27" s="1624">
        <f>面积表!B17</f>
        <v>11728.85</v>
      </c>
      <c r="J27" s="36"/>
      <c r="K27" s="1624">
        <f>面积表!C17</f>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1625">
        <f>面积表!D17</f>
        <v>292.44</v>
      </c>
      <c r="AM27" s="37"/>
      <c r="AN27" s="37"/>
      <c r="AO27" s="37"/>
      <c r="AP27" s="37"/>
      <c r="AQ27" s="37"/>
      <c r="AR27" s="37"/>
      <c r="AS27" s="37"/>
      <c r="AT27" s="38"/>
      <c r="AU27" s="1629"/>
      <c r="AV27" s="1341">
        <f t="shared" si="11"/>
        <v>0</v>
      </c>
      <c r="AW27" s="1341" t="str">
        <f t="shared" si="12"/>
        <v>现房</v>
      </c>
      <c r="AX27" s="1341" t="str">
        <f t="shared" si="13"/>
        <v>15#</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476" t="s">
        <v>3448</v>
      </c>
      <c r="C28" s="1051" t="str">
        <f>面积表!A18</f>
        <v>16#</v>
      </c>
      <c r="D28" s="1628" t="s">
        <v>3449</v>
      </c>
      <c r="E28" s="32">
        <f t="shared" si="7"/>
        <v>6535.36</v>
      </c>
      <c r="F28" s="33"/>
      <c r="G28" s="34">
        <f t="shared" si="8"/>
        <v>19787.64</v>
      </c>
      <c r="H28" s="35">
        <f t="shared" si="9"/>
        <v>19492.72</v>
      </c>
      <c r="I28" s="1624">
        <f>面积表!B18</f>
        <v>17658.11</v>
      </c>
      <c r="J28" s="36"/>
      <c r="K28" s="1624">
        <f>面积表!C18</f>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1625">
        <f>面积表!D18</f>
        <v>294.92</v>
      </c>
      <c r="AM28" s="37"/>
      <c r="AN28" s="37"/>
      <c r="AO28" s="37"/>
      <c r="AP28" s="37"/>
      <c r="AQ28" s="37"/>
      <c r="AR28" s="37"/>
      <c r="AS28" s="37"/>
      <c r="AT28" s="38"/>
      <c r="AU28" s="1629"/>
      <c r="AV28" s="1341">
        <f t="shared" si="11"/>
        <v>0</v>
      </c>
      <c r="AW28" s="1341" t="str">
        <f t="shared" si="12"/>
        <v>在建</v>
      </c>
      <c r="AX28" s="1341" t="str">
        <f t="shared" si="13"/>
        <v>16#</v>
      </c>
      <c r="AY28" s="39">
        <f t="shared" si="14"/>
        <v>6811.09</v>
      </c>
      <c r="AZ28" s="32">
        <f t="shared" si="15"/>
        <v>19787.64</v>
      </c>
      <c r="BA28" s="32">
        <f t="shared" si="16"/>
        <v>19492.72</v>
      </c>
      <c r="BB28" s="32">
        <f t="shared" si="17"/>
        <v>17658.11</v>
      </c>
      <c r="BC28" s="32">
        <f t="shared" si="18"/>
        <v>1834.61</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294.92</v>
      </c>
      <c r="BM28" s="32">
        <f t="shared" si="28"/>
        <v>0</v>
      </c>
      <c r="BN28" s="32">
        <f t="shared" si="29"/>
        <v>0</v>
      </c>
      <c r="BO28" s="32">
        <f t="shared" si="30"/>
        <v>0</v>
      </c>
      <c r="BP28" s="32">
        <f t="shared" si="31"/>
        <v>0</v>
      </c>
      <c r="BQ28" s="32">
        <f t="shared" si="32"/>
        <v>294.92</v>
      </c>
      <c r="BR28" s="32">
        <f t="shared" si="33"/>
        <v>0</v>
      </c>
      <c r="BS28" s="32">
        <f t="shared" si="34"/>
        <v>0</v>
      </c>
      <c r="BT28" s="40">
        <f t="shared" si="35"/>
        <v>0</v>
      </c>
    </row>
    <row r="29" spans="1:72">
      <c r="A29" s="6"/>
      <c r="B29" s="3475" t="s">
        <v>3447</v>
      </c>
      <c r="C29" s="1051" t="str">
        <f>面积表!A19</f>
        <v>17#</v>
      </c>
      <c r="D29" s="1623" t="s">
        <v>3450</v>
      </c>
      <c r="E29" s="32">
        <f t="shared" si="7"/>
        <v>4649.9799999999996</v>
      </c>
      <c r="F29" s="33"/>
      <c r="G29" s="34">
        <f t="shared" si="8"/>
        <v>14079.11</v>
      </c>
      <c r="H29" s="35">
        <f t="shared" si="9"/>
        <v>13786.67</v>
      </c>
      <c r="I29" s="1624">
        <f>面积表!B19</f>
        <v>11958.17</v>
      </c>
      <c r="J29" s="36"/>
      <c r="K29" s="1624">
        <f>面积表!C19</f>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1625">
        <f>面积表!D19</f>
        <v>292.44</v>
      </c>
      <c r="AM29" s="37"/>
      <c r="AN29" s="37"/>
      <c r="AO29" s="37"/>
      <c r="AP29" s="37"/>
      <c r="AQ29" s="37"/>
      <c r="AR29" s="37"/>
      <c r="AS29" s="37"/>
      <c r="AT29" s="38"/>
      <c r="AU29" s="1629"/>
      <c r="AV29" s="1341">
        <f t="shared" si="11"/>
        <v>0</v>
      </c>
      <c r="AW29" s="1341" t="str">
        <f t="shared" si="12"/>
        <v>现房</v>
      </c>
      <c r="AX29" s="1341" t="str">
        <f t="shared" si="13"/>
        <v>17#</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475" t="s">
        <v>3447</v>
      </c>
      <c r="C30" s="1051" t="str">
        <f>面积表!A20</f>
        <v>18#</v>
      </c>
      <c r="D30" s="1623" t="s">
        <v>3450</v>
      </c>
      <c r="E30" s="32">
        <f t="shared" si="7"/>
        <v>4611.6499999999996</v>
      </c>
      <c r="F30" s="33"/>
      <c r="G30" s="34">
        <f t="shared" si="8"/>
        <v>13963.08</v>
      </c>
      <c r="H30" s="35">
        <f t="shared" si="9"/>
        <v>13670.64</v>
      </c>
      <c r="I30" s="1624">
        <f>面积表!B20</f>
        <v>11836</v>
      </c>
      <c r="J30" s="36"/>
      <c r="K30" s="1624">
        <f>面积表!C20</f>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1625">
        <f>面积表!D20</f>
        <v>292.44</v>
      </c>
      <c r="AM30" s="37"/>
      <c r="AN30" s="37"/>
      <c r="AO30" s="37"/>
      <c r="AP30" s="37"/>
      <c r="AQ30" s="37"/>
      <c r="AR30" s="37"/>
      <c r="AS30" s="37"/>
      <c r="AT30" s="38"/>
      <c r="AU30" s="1629"/>
      <c r="AV30" s="1341">
        <f t="shared" si="11"/>
        <v>0</v>
      </c>
      <c r="AW30" s="1341" t="str">
        <f t="shared" si="12"/>
        <v>现房</v>
      </c>
      <c r="AX30" s="1341" t="str">
        <f t="shared" si="13"/>
        <v>18#</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475" t="s">
        <v>3447</v>
      </c>
      <c r="C31" s="1051" t="str">
        <f>面积表!A21</f>
        <v>地下车库</v>
      </c>
      <c r="D31" s="1623" t="s">
        <v>3450</v>
      </c>
      <c r="E31" s="32">
        <f t="shared" si="7"/>
        <v>26738</v>
      </c>
      <c r="F31" s="33"/>
      <c r="G31" s="34">
        <f t="shared" si="8"/>
        <v>80956.81</v>
      </c>
      <c r="H31" s="35">
        <f t="shared" si="9"/>
        <v>46158.36</v>
      </c>
      <c r="I31" s="1624"/>
      <c r="J31" s="36"/>
      <c r="K31" s="1624">
        <f>面积表!C21</f>
        <v>6948.57</v>
      </c>
      <c r="L31" s="36"/>
      <c r="M31" s="36">
        <f>面积表!E21</f>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f>面积表!D21</f>
        <v>3474.28</v>
      </c>
      <c r="AO31" s="37"/>
      <c r="AP31" s="37"/>
      <c r="AQ31" s="37"/>
      <c r="AR31" s="37"/>
      <c r="AS31" s="37"/>
      <c r="AT31" s="38">
        <f>面积表!G21</f>
        <v>31324.17</v>
      </c>
      <c r="AU31" s="1629"/>
      <c r="AV31" s="1341">
        <f t="shared" si="11"/>
        <v>0</v>
      </c>
      <c r="AW31" s="1341" t="str">
        <f t="shared" si="12"/>
        <v>现房</v>
      </c>
      <c r="AX31" s="1341" t="str">
        <f t="shared" si="13"/>
        <v>地下车库</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5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5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22" workbookViewId="0">
      <selection activeCell="P46" sqref="P46"/>
    </sheetView>
  </sheetViews>
  <sheetFormatPr defaultRowHeight="13.5"/>
  <cols>
    <col min="2" max="2" width="12.25" customWidth="1"/>
    <col min="6" max="6" width="11.375" customWidth="1"/>
    <col min="7" max="7" width="11.625" bestFit="1" customWidth="1"/>
    <col min="9" max="9" width="11.75" customWidth="1"/>
    <col min="13" max="13" width="10.5" bestFit="1" customWidth="1"/>
  </cols>
  <sheetData>
    <row r="2" spans="1:13">
      <c r="A2" s="3458"/>
      <c r="B2" s="3459" t="s">
        <v>3387</v>
      </c>
      <c r="C2" s="3459" t="s">
        <v>3388</v>
      </c>
      <c r="D2" s="3459" t="s">
        <v>3389</v>
      </c>
      <c r="E2" s="3458" t="s">
        <v>3390</v>
      </c>
      <c r="F2" s="3460" t="s">
        <v>3391</v>
      </c>
      <c r="G2" s="3459" t="s">
        <v>3392</v>
      </c>
      <c r="H2" s="3459" t="s">
        <v>3393</v>
      </c>
      <c r="I2" s="3459" t="s">
        <v>3394</v>
      </c>
      <c r="J2" s="3459" t="s">
        <v>3395</v>
      </c>
    </row>
    <row r="3" spans="1:13">
      <c r="A3" s="3459" t="s">
        <v>3396</v>
      </c>
      <c r="B3">
        <v>17658.11</v>
      </c>
      <c r="C3">
        <v>1837.58</v>
      </c>
      <c r="D3">
        <v>294.92</v>
      </c>
      <c r="F3">
        <f t="shared" ref="F3:F20" si="0">SUM(B3:E3)</f>
        <v>19790.61</v>
      </c>
      <c r="H3" s="3461" t="s">
        <v>3397</v>
      </c>
      <c r="I3" s="3461" t="s">
        <v>3398</v>
      </c>
      <c r="J3">
        <v>9</v>
      </c>
    </row>
    <row r="4" spans="1:13">
      <c r="A4" s="3459" t="s">
        <v>3399</v>
      </c>
      <c r="B4">
        <v>17658.11</v>
      </c>
      <c r="C4">
        <v>1832.56</v>
      </c>
      <c r="D4">
        <v>294.92</v>
      </c>
      <c r="F4">
        <f t="shared" si="0"/>
        <v>19785.59</v>
      </c>
      <c r="H4" s="3461" t="s">
        <v>3397</v>
      </c>
      <c r="I4" s="3461" t="s">
        <v>3398</v>
      </c>
      <c r="J4">
        <v>9</v>
      </c>
    </row>
    <row r="5" spans="1:13">
      <c r="A5" s="3462" t="s">
        <v>3400</v>
      </c>
      <c r="B5">
        <v>17658.11</v>
      </c>
      <c r="C5">
        <v>1842.18</v>
      </c>
      <c r="D5">
        <v>294.92</v>
      </c>
      <c r="F5">
        <f t="shared" si="0"/>
        <v>19795.21</v>
      </c>
      <c r="H5" s="3461" t="s">
        <v>3397</v>
      </c>
      <c r="I5" s="3461" t="s">
        <v>3401</v>
      </c>
      <c r="J5">
        <v>9</v>
      </c>
    </row>
    <row r="6" spans="1:13">
      <c r="A6" s="3463" t="s">
        <v>3402</v>
      </c>
      <c r="B6">
        <v>11307.49</v>
      </c>
      <c r="C6">
        <v>1828.26</v>
      </c>
      <c r="D6">
        <v>292.44</v>
      </c>
      <c r="F6">
        <f t="shared" si="0"/>
        <v>13428.19</v>
      </c>
      <c r="H6" s="3461" t="s">
        <v>3397</v>
      </c>
      <c r="I6" s="3461" t="s">
        <v>3401</v>
      </c>
      <c r="J6">
        <v>6</v>
      </c>
    </row>
    <row r="7" spans="1:13">
      <c r="A7" s="3459" t="s">
        <v>3403</v>
      </c>
      <c r="B7">
        <v>17658.11</v>
      </c>
      <c r="C7">
        <v>1831.24</v>
      </c>
      <c r="D7">
        <v>294.92</v>
      </c>
      <c r="F7">
        <f t="shared" si="0"/>
        <v>19784.27</v>
      </c>
      <c r="H7" s="3461" t="s">
        <v>3397</v>
      </c>
      <c r="I7" s="3461" t="s">
        <v>3401</v>
      </c>
      <c r="J7">
        <v>9</v>
      </c>
      <c r="M7">
        <f>F7*15000</f>
        <v>296764050</v>
      </c>
    </row>
    <row r="8" spans="1:13">
      <c r="A8" s="3464" t="s">
        <v>3404</v>
      </c>
      <c r="B8" s="3465">
        <v>17658.11</v>
      </c>
      <c r="C8" s="3465">
        <v>1834.45</v>
      </c>
      <c r="D8" s="3465">
        <v>294.92</v>
      </c>
      <c r="E8" s="3465"/>
      <c r="F8" s="3465">
        <f t="shared" si="0"/>
        <v>19787.48</v>
      </c>
      <c r="G8" s="3465"/>
      <c r="H8" s="3466" t="s">
        <v>3405</v>
      </c>
      <c r="I8" s="3466" t="s">
        <v>3401</v>
      </c>
      <c r="J8">
        <v>9</v>
      </c>
    </row>
    <row r="9" spans="1:13">
      <c r="A9" s="3463" t="s">
        <v>3406</v>
      </c>
      <c r="B9">
        <v>11958.17</v>
      </c>
      <c r="C9">
        <v>1822.18</v>
      </c>
      <c r="D9">
        <v>292.44</v>
      </c>
      <c r="F9">
        <f t="shared" si="0"/>
        <v>14072.79</v>
      </c>
      <c r="H9" s="3461" t="s">
        <v>3397</v>
      </c>
      <c r="I9" s="3461" t="s">
        <v>3401</v>
      </c>
      <c r="J9">
        <v>6</v>
      </c>
    </row>
    <row r="10" spans="1:13">
      <c r="A10" s="3467" t="s">
        <v>3407</v>
      </c>
      <c r="B10" s="3468">
        <v>18018.59</v>
      </c>
      <c r="C10" s="3468">
        <v>1842.94</v>
      </c>
      <c r="D10" s="3468">
        <v>294.83999999999997</v>
      </c>
      <c r="E10" s="3468"/>
      <c r="F10" s="3468">
        <f t="shared" si="0"/>
        <v>20156.37</v>
      </c>
      <c r="G10" s="3468"/>
      <c r="H10" s="3469" t="s">
        <v>3397</v>
      </c>
      <c r="I10" s="3469" t="s">
        <v>3408</v>
      </c>
      <c r="J10">
        <v>9</v>
      </c>
    </row>
    <row r="11" spans="1:13">
      <c r="A11" s="3459" t="s">
        <v>3409</v>
      </c>
      <c r="B11">
        <v>17658.11</v>
      </c>
      <c r="C11">
        <v>1836.4</v>
      </c>
      <c r="D11">
        <v>294.92</v>
      </c>
      <c r="F11">
        <f t="shared" si="0"/>
        <v>19789.43</v>
      </c>
      <c r="H11" s="3461" t="s">
        <v>3397</v>
      </c>
      <c r="I11" s="3461" t="s">
        <v>3401</v>
      </c>
      <c r="J11">
        <v>9</v>
      </c>
      <c r="M11">
        <f>F11*15000</f>
        <v>296841450</v>
      </c>
    </row>
    <row r="12" spans="1:13">
      <c r="A12" s="3464" t="s">
        <v>3410</v>
      </c>
      <c r="B12" s="3465">
        <v>17658.11</v>
      </c>
      <c r="C12" s="3465">
        <v>1833.48</v>
      </c>
      <c r="D12" s="3465">
        <v>361.2</v>
      </c>
      <c r="E12" s="3465"/>
      <c r="F12" s="3465">
        <f t="shared" si="0"/>
        <v>19852.79</v>
      </c>
      <c r="G12" s="3465"/>
      <c r="H12" s="3466" t="s">
        <v>3411</v>
      </c>
      <c r="I12" s="3461" t="s">
        <v>3412</v>
      </c>
      <c r="J12">
        <v>9</v>
      </c>
    </row>
    <row r="13" spans="1:13">
      <c r="A13" s="3462" t="s">
        <v>3413</v>
      </c>
      <c r="B13">
        <v>18018.59</v>
      </c>
      <c r="C13">
        <v>1848.39</v>
      </c>
      <c r="D13">
        <v>296.91000000000003</v>
      </c>
      <c r="F13">
        <f t="shared" si="0"/>
        <v>20163.89</v>
      </c>
      <c r="H13" s="3461" t="s">
        <v>3414</v>
      </c>
      <c r="I13" s="3461" t="s">
        <v>3415</v>
      </c>
      <c r="J13">
        <v>9</v>
      </c>
    </row>
    <row r="14" spans="1:13">
      <c r="A14" s="3462" t="s">
        <v>3416</v>
      </c>
      <c r="B14" s="3470">
        <v>17658.11</v>
      </c>
      <c r="C14" s="3470">
        <v>1831.19</v>
      </c>
      <c r="D14" s="3470">
        <v>294.92</v>
      </c>
      <c r="E14" s="3470"/>
      <c r="F14" s="3470">
        <f t="shared" si="0"/>
        <v>19784.219999999998</v>
      </c>
      <c r="G14" s="3470"/>
      <c r="H14" s="3461" t="s">
        <v>3414</v>
      </c>
      <c r="I14" s="3461" t="s">
        <v>3415</v>
      </c>
      <c r="J14">
        <v>9</v>
      </c>
      <c r="L14" s="3471" t="s">
        <v>3417</v>
      </c>
    </row>
    <row r="15" spans="1:13">
      <c r="A15" s="3463" t="s">
        <v>3418</v>
      </c>
      <c r="B15">
        <v>11958.17</v>
      </c>
      <c r="C15">
        <v>1822.15</v>
      </c>
      <c r="D15">
        <v>292.44</v>
      </c>
      <c r="F15">
        <f t="shared" si="0"/>
        <v>14072.76</v>
      </c>
      <c r="H15" s="3461" t="s">
        <v>3414</v>
      </c>
      <c r="I15" s="3461" t="s">
        <v>3415</v>
      </c>
      <c r="J15">
        <v>6</v>
      </c>
    </row>
    <row r="16" spans="1:13">
      <c r="A16" s="3463" t="s">
        <v>3419</v>
      </c>
      <c r="B16">
        <v>18018.59</v>
      </c>
      <c r="C16">
        <v>1837.92</v>
      </c>
      <c r="D16">
        <v>294.83999999999997</v>
      </c>
      <c r="F16">
        <f t="shared" si="0"/>
        <v>20151.350000000002</v>
      </c>
      <c r="H16" s="3461" t="s">
        <v>3414</v>
      </c>
      <c r="I16" s="3461" t="s">
        <v>3415</v>
      </c>
      <c r="J16">
        <v>9</v>
      </c>
    </row>
    <row r="17" spans="1:11">
      <c r="A17" s="3472" t="s">
        <v>3420</v>
      </c>
      <c r="B17">
        <v>11728.85</v>
      </c>
      <c r="C17">
        <v>1822.93</v>
      </c>
      <c r="D17">
        <v>292.44</v>
      </c>
      <c r="F17">
        <f t="shared" si="0"/>
        <v>13844.220000000001</v>
      </c>
      <c r="H17" s="3461" t="s">
        <v>3397</v>
      </c>
      <c r="I17" s="3461" t="s">
        <v>3421</v>
      </c>
      <c r="J17">
        <v>6</v>
      </c>
    </row>
    <row r="18" spans="1:11">
      <c r="A18" s="3464" t="s">
        <v>3422</v>
      </c>
      <c r="B18" s="3465">
        <v>17658.11</v>
      </c>
      <c r="C18" s="3465">
        <v>1834.61</v>
      </c>
      <c r="D18" s="3465">
        <v>294.92</v>
      </c>
      <c r="E18" s="3465"/>
      <c r="F18" s="3465">
        <f t="shared" si="0"/>
        <v>19787.64</v>
      </c>
      <c r="G18" s="3465"/>
      <c r="H18" s="3466" t="s">
        <v>3405</v>
      </c>
      <c r="I18" s="3461" t="s">
        <v>3423</v>
      </c>
      <c r="J18">
        <v>9</v>
      </c>
    </row>
    <row r="19" spans="1:11">
      <c r="A19" s="3463" t="s">
        <v>3424</v>
      </c>
      <c r="B19">
        <v>11958.17</v>
      </c>
      <c r="C19">
        <v>1828.5</v>
      </c>
      <c r="D19">
        <v>292.44</v>
      </c>
      <c r="F19">
        <f t="shared" si="0"/>
        <v>14079.11</v>
      </c>
      <c r="H19" s="3461" t="s">
        <v>3397</v>
      </c>
      <c r="I19" s="3461" t="s">
        <v>3401</v>
      </c>
      <c r="J19">
        <v>6</v>
      </c>
    </row>
    <row r="20" spans="1:11">
      <c r="A20" s="3472" t="s">
        <v>3425</v>
      </c>
      <c r="B20">
        <v>11836</v>
      </c>
      <c r="C20">
        <v>1834.64</v>
      </c>
      <c r="D20">
        <v>292.44</v>
      </c>
      <c r="F20">
        <f t="shared" si="0"/>
        <v>13963.08</v>
      </c>
      <c r="H20" s="3461" t="s">
        <v>3397</v>
      </c>
      <c r="I20" s="3461" t="s">
        <v>3421</v>
      </c>
      <c r="J20">
        <v>6</v>
      </c>
    </row>
    <row r="21" spans="1:11">
      <c r="A21" s="3459" t="s">
        <v>3426</v>
      </c>
      <c r="C21">
        <f>ROUND(F21*C23,2)</f>
        <v>6948.57</v>
      </c>
      <c r="D21">
        <f>ROUND(F21*D23,2)</f>
        <v>3474.28</v>
      </c>
      <c r="E21">
        <f>ROUND(F21*E23,2)</f>
        <v>39209.79</v>
      </c>
      <c r="F21">
        <v>49632.639999999999</v>
      </c>
      <c r="G21">
        <v>31324.17</v>
      </c>
      <c r="H21" s="3461" t="s">
        <v>3397</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466" t="s">
        <v>3427</v>
      </c>
    </row>
    <row r="25" spans="1:11">
      <c r="A25" s="3461" t="s">
        <v>3428</v>
      </c>
      <c r="B25" s="3461" t="s">
        <v>3429</v>
      </c>
    </row>
    <row r="26" spans="1:11">
      <c r="C26" s="3461" t="s">
        <v>3430</v>
      </c>
      <c r="D26" s="3461" t="s">
        <v>3431</v>
      </c>
      <c r="E26" s="3461" t="s">
        <v>3432</v>
      </c>
      <c r="F26" s="3473" t="s">
        <v>3433</v>
      </c>
      <c r="I26" s="3461" t="s">
        <v>3434</v>
      </c>
    </row>
    <row r="27" spans="1:11">
      <c r="A27" s="3461">
        <v>10</v>
      </c>
      <c r="B27" s="3461" t="s">
        <v>3415</v>
      </c>
      <c r="C27">
        <f>B5+B6+B7+B9+B11+B13+B14+B15+B16+B19</f>
        <v>153851.62</v>
      </c>
      <c r="D27">
        <f>C5+C6+C7+C9+C11+C13+C14+C15+C16+C19</f>
        <v>18328.41</v>
      </c>
      <c r="E27">
        <f>SUM(C27:D27)</f>
        <v>172180.03</v>
      </c>
      <c r="F27" s="3474">
        <v>14000</v>
      </c>
      <c r="G27">
        <f>F27*E27</f>
        <v>2410520420</v>
      </c>
      <c r="I27">
        <f>ROUND(F38*0.5,1)</f>
        <v>14.2</v>
      </c>
      <c r="J27">
        <f>I27*E27</f>
        <v>2444956.426</v>
      </c>
    </row>
    <row r="28" spans="1:11">
      <c r="A28">
        <v>2</v>
      </c>
      <c r="B28" s="3461" t="s">
        <v>3435</v>
      </c>
      <c r="C28">
        <f>B3+B4</f>
        <v>35316.22</v>
      </c>
      <c r="D28">
        <f>C3+C4</f>
        <v>3670.14</v>
      </c>
      <c r="E28">
        <f>SUM(C28:D28)</f>
        <v>38986.36</v>
      </c>
      <c r="F28" s="3474">
        <v>4000</v>
      </c>
      <c r="G28">
        <f t="shared" ref="G28:G31" si="1">F28*E28</f>
        <v>155945440</v>
      </c>
      <c r="I28">
        <v>3</v>
      </c>
      <c r="J28">
        <f t="shared" ref="J28:J31" si="2">I28*E28</f>
        <v>116959.08</v>
      </c>
    </row>
    <row r="29" spans="1:11">
      <c r="A29">
        <v>2</v>
      </c>
      <c r="B29" s="3461" t="s">
        <v>3436</v>
      </c>
      <c r="C29">
        <f>B17+B20</f>
        <v>23564.85</v>
      </c>
      <c r="D29">
        <f>C17+C20</f>
        <v>3657.57</v>
      </c>
      <c r="E29">
        <f>SUM(C29:D29)</f>
        <v>27222.42</v>
      </c>
      <c r="F29" s="3474">
        <f>F28</f>
        <v>4000</v>
      </c>
      <c r="G29">
        <f t="shared" si="1"/>
        <v>108889680</v>
      </c>
      <c r="I29">
        <f>I28</f>
        <v>3</v>
      </c>
      <c r="J29">
        <f t="shared" si="2"/>
        <v>81667.259999999995</v>
      </c>
    </row>
    <row r="30" spans="1:11">
      <c r="B30" s="3461" t="s">
        <v>3423</v>
      </c>
      <c r="E30">
        <f>SUM(C30:D30)</f>
        <v>0</v>
      </c>
      <c r="F30" s="3474">
        <f>F28</f>
        <v>4000</v>
      </c>
      <c r="G30">
        <f t="shared" si="1"/>
        <v>0</v>
      </c>
      <c r="I30">
        <f>I28</f>
        <v>3</v>
      </c>
      <c r="J30">
        <f t="shared" si="2"/>
        <v>0</v>
      </c>
    </row>
    <row r="31" spans="1:11">
      <c r="B31" s="3461" t="s">
        <v>3426</v>
      </c>
      <c r="D31">
        <f>C21</f>
        <v>6948.57</v>
      </c>
      <c r="E31">
        <f>SUM(C31:D31)</f>
        <v>6948.57</v>
      </c>
      <c r="F31" s="3474">
        <f>F28</f>
        <v>4000</v>
      </c>
      <c r="G31">
        <f t="shared" si="1"/>
        <v>27794280</v>
      </c>
      <c r="I31">
        <v>1.5</v>
      </c>
      <c r="J31">
        <f t="shared" si="2"/>
        <v>10422.855</v>
      </c>
    </row>
    <row r="32" spans="1:11">
      <c r="A32">
        <f>SUM(A27:A31)</f>
        <v>14</v>
      </c>
      <c r="E32">
        <f>SUM(E27:E31)</f>
        <v>245337.38</v>
      </c>
      <c r="F32" s="3471">
        <f>ROUND(G32/E32,0)</f>
        <v>11018</v>
      </c>
      <c r="G32">
        <f>SUM(G27:G31)</f>
        <v>2703149820</v>
      </c>
      <c r="J32">
        <f>SUM(J27:J31)</f>
        <v>2654005.6209999998</v>
      </c>
      <c r="K32" s="3474">
        <f>J32/E32</f>
        <v>10.81777925972797</v>
      </c>
    </row>
    <row r="33" spans="1:17">
      <c r="F33" s="3471"/>
    </row>
    <row r="35" spans="1:17">
      <c r="B35" s="3461" t="s">
        <v>3437</v>
      </c>
      <c r="E35" s="3461" t="s">
        <v>3438</v>
      </c>
    </row>
    <row r="36" spans="1:17">
      <c r="B36" s="3461" t="s">
        <v>3439</v>
      </c>
      <c r="C36">
        <v>6200</v>
      </c>
      <c r="D36" s="3461" t="s">
        <v>3440</v>
      </c>
      <c r="E36" s="3461" t="s">
        <v>3441</v>
      </c>
      <c r="F36">
        <f>C37*6+C38*4</f>
        <v>24000</v>
      </c>
    </row>
    <row r="37" spans="1:17">
      <c r="B37" s="3461" t="s">
        <v>3442</v>
      </c>
      <c r="C37">
        <v>2800</v>
      </c>
      <c r="D37" s="3461" t="s">
        <v>3443</v>
      </c>
      <c r="E37" s="3461" t="s">
        <v>3437</v>
      </c>
      <c r="F37">
        <f>F36*C36*12</f>
        <v>1785600000</v>
      </c>
    </row>
    <row r="38" spans="1:17">
      <c r="B38" s="3461" t="s">
        <v>3444</v>
      </c>
      <c r="C38">
        <v>1800</v>
      </c>
      <c r="D38" s="3461" t="s">
        <v>3443</v>
      </c>
      <c r="E38" s="3461" t="s">
        <v>3445</v>
      </c>
      <c r="F38">
        <f>F37/365/E27</f>
        <v>28.412440133275314</v>
      </c>
    </row>
    <row r="39" spans="1:17">
      <c r="B39" s="3461" t="s">
        <v>3446</v>
      </c>
      <c r="C39">
        <v>10</v>
      </c>
    </row>
    <row r="41" spans="1:17">
      <c r="A41" s="3461" t="s">
        <v>3551</v>
      </c>
      <c r="B41" s="3461" t="s">
        <v>3552</v>
      </c>
    </row>
    <row r="42" spans="1:17">
      <c r="C42" s="3461" t="s">
        <v>3553</v>
      </c>
      <c r="D42" s="3461" t="s">
        <v>3554</v>
      </c>
      <c r="E42" s="3461" t="s">
        <v>3555</v>
      </c>
      <c r="F42" s="3461" t="s">
        <v>3556</v>
      </c>
      <c r="I42" s="3461" t="s">
        <v>3557</v>
      </c>
      <c r="P42" s="3461" t="s">
        <v>3558</v>
      </c>
    </row>
    <row r="43" spans="1:17">
      <c r="B43" s="3461" t="s">
        <v>3559</v>
      </c>
      <c r="E43">
        <f>SUM(C43:D43)</f>
        <v>0</v>
      </c>
      <c r="F43">
        <v>15000</v>
      </c>
      <c r="G43">
        <f>F43*E43</f>
        <v>0</v>
      </c>
      <c r="I43">
        <f>ROUND(F52*0.5,1)</f>
        <v>14.6</v>
      </c>
      <c r="J43">
        <f>I43*E43</f>
        <v>0</v>
      </c>
      <c r="P43" s="3501">
        <v>0.99</v>
      </c>
      <c r="Q43">
        <f>P43*E43</f>
        <v>0</v>
      </c>
    </row>
    <row r="44" spans="1:17">
      <c r="A44">
        <v>1</v>
      </c>
      <c r="B44" s="3461" t="s">
        <v>3559</v>
      </c>
      <c r="C44">
        <f>B8</f>
        <v>17658.11</v>
      </c>
      <c r="D44">
        <f>C8</f>
        <v>1834.45</v>
      </c>
      <c r="E44">
        <f>SUM(C44:D44)</f>
        <v>19492.560000000001</v>
      </c>
      <c r="F44" s="3474">
        <v>14000</v>
      </c>
      <c r="G44">
        <f t="shared" ref="G44:G46" si="3">F44*E44</f>
        <v>272895840</v>
      </c>
      <c r="I44">
        <f>I43</f>
        <v>14.6</v>
      </c>
      <c r="J44">
        <f t="shared" ref="J44:J47" si="4">I44*E44</f>
        <v>284591.37599999999</v>
      </c>
      <c r="L44" s="3471">
        <f>L8</f>
        <v>0</v>
      </c>
      <c r="P44" s="3501">
        <v>0.99</v>
      </c>
      <c r="Q44">
        <f>P44*E44</f>
        <v>19297.634400000003</v>
      </c>
    </row>
    <row r="45" spans="1:17">
      <c r="B45" s="3461" t="s">
        <v>3560</v>
      </c>
      <c r="G45">
        <f t="shared" si="3"/>
        <v>0</v>
      </c>
      <c r="I45">
        <v>3</v>
      </c>
      <c r="J45">
        <f t="shared" si="4"/>
        <v>0</v>
      </c>
    </row>
    <row r="46" spans="1:17">
      <c r="A46">
        <v>2</v>
      </c>
      <c r="B46" s="3461" t="s">
        <v>3561</v>
      </c>
      <c r="C46">
        <f>B12+B18</f>
        <v>35316.22</v>
      </c>
      <c r="D46">
        <f>C12+C18</f>
        <v>3668.09</v>
      </c>
      <c r="E46">
        <f>SUM(C46:D46)</f>
        <v>38984.31</v>
      </c>
      <c r="F46" s="3502">
        <v>4000</v>
      </c>
      <c r="G46">
        <f t="shared" si="3"/>
        <v>155937240</v>
      </c>
      <c r="I46">
        <f>I45</f>
        <v>3</v>
      </c>
      <c r="J46">
        <f t="shared" si="4"/>
        <v>116952.93</v>
      </c>
      <c r="P46" s="3501">
        <v>0.99</v>
      </c>
      <c r="Q46">
        <f>P46*E46</f>
        <v>38594.466899999999</v>
      </c>
    </row>
    <row r="47" spans="1:17">
      <c r="E47">
        <f>SUM(E43:E46)</f>
        <v>58476.869999999995</v>
      </c>
      <c r="F47">
        <f>ROUND(G47/E47,0)</f>
        <v>7333</v>
      </c>
      <c r="G47">
        <f>SUM(G43:G46)</f>
        <v>428833080</v>
      </c>
      <c r="J47">
        <f t="shared" si="4"/>
        <v>0</v>
      </c>
      <c r="P47" s="3474">
        <f>ROUND(Q47/E47,2)</f>
        <v>0.99</v>
      </c>
      <c r="Q47">
        <f>Q43+Q44+Q46</f>
        <v>57892.101300000002</v>
      </c>
    </row>
    <row r="48" spans="1:17">
      <c r="J48">
        <f>SUM(J43:J47)</f>
        <v>401544.30599999998</v>
      </c>
      <c r="K48" s="3474">
        <f>J48/E47</f>
        <v>6.8667202263048619</v>
      </c>
    </row>
    <row r="49" spans="4:7">
      <c r="E49" s="3461" t="s">
        <v>3562</v>
      </c>
    </row>
    <row r="50" spans="4:7">
      <c r="D50" s="3461"/>
      <c r="E50" s="3461" t="s">
        <v>3563</v>
      </c>
      <c r="F50">
        <f>C37*1</f>
        <v>2800</v>
      </c>
      <c r="G50" s="3461" t="s">
        <v>3564</v>
      </c>
    </row>
    <row r="51" spans="4:7">
      <c r="E51" s="3461" t="s">
        <v>654</v>
      </c>
      <c r="F51">
        <f>F50*C36*12</f>
        <v>208320000</v>
      </c>
    </row>
    <row r="52" spans="4:7">
      <c r="E52" s="3461" t="s">
        <v>3565</v>
      </c>
      <c r="F52">
        <f>F51/365/(E43+E44)</f>
        <v>29.279875297415895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7"/>
      <c r="C1" s="1137"/>
      <c r="D1" s="1137"/>
      <c r="E1" s="1137"/>
      <c r="F1" s="1137"/>
      <c r="G1" s="1137"/>
      <c r="H1" s="1137"/>
      <c r="I1" s="1137"/>
      <c r="J1" s="1137"/>
      <c r="K1" s="1137"/>
      <c r="L1" s="1137"/>
      <c r="M1" s="1137"/>
      <c r="N1" s="1137"/>
      <c r="O1" s="1137"/>
      <c r="P1" s="1137"/>
    </row>
    <row r="2" spans="1:16" ht="15">
      <c r="A2" s="3591" t="s">
        <v>1130</v>
      </c>
      <c r="B2" s="3591"/>
      <c r="C2" s="3591"/>
      <c r="D2" s="796" t="s">
        <v>1106</v>
      </c>
      <c r="E2" s="1637" t="s">
        <v>1107</v>
      </c>
      <c r="F2" s="2655"/>
      <c r="G2" s="2646"/>
      <c r="H2" s="2647"/>
      <c r="I2" s="2323" t="s">
        <v>1131</v>
      </c>
      <c r="J2" s="2655"/>
      <c r="K2" s="2655"/>
      <c r="L2" s="2655"/>
      <c r="M2" s="2655"/>
      <c r="N2" s="2657"/>
      <c r="O2" s="2655"/>
      <c r="P2" s="2655"/>
    </row>
    <row r="3" spans="1:16" ht="15.75" thickBot="1">
      <c r="A3" s="3592" t="s">
        <v>1104</v>
      </c>
      <c r="B3" s="3592"/>
      <c r="C3" s="3592"/>
      <c r="D3" s="43">
        <f>'数据-基础表'!AY6</f>
        <v>20455.650000000001</v>
      </c>
      <c r="E3" s="43">
        <f>'数据-基础表'!AZ5</f>
        <v>59427.91</v>
      </c>
      <c r="F3" s="2655"/>
      <c r="G3" s="1143"/>
      <c r="H3" s="1026" t="s">
        <v>1105</v>
      </c>
      <c r="I3" s="855">
        <f>ROUND('数据-基础表'!B3/'数据-基础表'!A3,2)</f>
        <v>3.03</v>
      </c>
      <c r="J3" s="2655"/>
      <c r="K3" s="2655"/>
      <c r="L3" s="2655"/>
      <c r="M3" s="2655"/>
      <c r="N3" s="2657"/>
      <c r="O3" s="2655"/>
      <c r="P3" s="2655"/>
    </row>
    <row r="4" spans="1:16" ht="15">
      <c r="A4" s="3593"/>
      <c r="B4" s="3594"/>
      <c r="C4" s="3595"/>
      <c r="D4" s="1639" t="s">
        <v>1106</v>
      </c>
      <c r="E4" s="1640" t="s">
        <v>1107</v>
      </c>
      <c r="F4" s="2655"/>
      <c r="G4" s="2648" t="s">
        <v>1132</v>
      </c>
      <c r="H4" s="1026" t="s">
        <v>1112</v>
      </c>
      <c r="I4" s="855">
        <f>ROUND(SUMIF('数据-基础表'!I9:AS9,"地上",'数据-基础表'!I5:AS5)/'数据-基础表'!A3,2)</f>
        <v>2.17</v>
      </c>
      <c r="J4" s="2655"/>
      <c r="K4" s="2655"/>
      <c r="L4" s="2655"/>
      <c r="M4" s="2655"/>
      <c r="N4" s="2657"/>
      <c r="O4" s="2655"/>
      <c r="P4" s="2655"/>
    </row>
    <row r="5" spans="1:16">
      <c r="A5" s="44" t="s">
        <v>1108</v>
      </c>
      <c r="B5" s="3596" t="s">
        <v>1109</v>
      </c>
      <c r="C5" s="3596"/>
      <c r="D5" s="45">
        <f>ROUND($D$3*E5/$E$3,2)</f>
        <v>0</v>
      </c>
      <c r="E5" s="46">
        <f>SUMIF('数据-基础表'!$11:$11,"住宅",'数据-基础表'!$5:$5)</f>
        <v>0</v>
      </c>
      <c r="F5" s="2655"/>
      <c r="G5" s="1143"/>
      <c r="H5" s="1026" t="s">
        <v>1105</v>
      </c>
      <c r="I5" s="855">
        <f>ROUND(E31/D31,2)</f>
        <v>2.91</v>
      </c>
      <c r="J5" s="2655"/>
      <c r="K5" s="2655"/>
      <c r="L5" s="2655"/>
      <c r="M5" s="2655"/>
      <c r="N5" s="2655"/>
      <c r="O5" s="2655"/>
      <c r="P5" s="2655"/>
    </row>
    <row r="6" spans="1:16" ht="15" thickBot="1">
      <c r="A6" s="1642"/>
      <c r="B6" s="3596" t="s">
        <v>1110</v>
      </c>
      <c r="C6" s="3596"/>
      <c r="D6" s="45">
        <f>ROUND($D$3*E6/$E$3,2)</f>
        <v>20455.650000000001</v>
      </c>
      <c r="E6" s="46">
        <f>E3-E5</f>
        <v>59427.91</v>
      </c>
      <c r="F6" s="2655"/>
      <c r="G6" s="2649" t="s">
        <v>1111</v>
      </c>
      <c r="H6" s="1144" t="s">
        <v>1112</v>
      </c>
      <c r="I6" s="2650">
        <f>ROUND(F31/D31,2)</f>
        <v>2.64</v>
      </c>
      <c r="J6" s="2655"/>
      <c r="K6" s="2655"/>
      <c r="L6" s="2655"/>
      <c r="M6" s="2655"/>
      <c r="N6" s="2655"/>
      <c r="O6" s="2655"/>
      <c r="P6" s="2655"/>
    </row>
    <row r="7" spans="1:16" ht="15.75" thickBot="1">
      <c r="A7" s="3588"/>
      <c r="B7" s="3589"/>
      <c r="C7" s="3590"/>
      <c r="D7" s="1639" t="s">
        <v>1106</v>
      </c>
      <c r="E7" s="1643" t="s">
        <v>1113</v>
      </c>
      <c r="F7" s="2655"/>
      <c r="G7" s="2651" t="s">
        <v>1114</v>
      </c>
      <c r="H7" s="2652"/>
      <c r="I7" s="2653"/>
      <c r="J7" s="2655"/>
      <c r="K7" s="2655"/>
      <c r="L7" s="2655"/>
      <c r="M7" s="2655"/>
      <c r="N7" s="2655"/>
      <c r="O7" s="2655"/>
      <c r="P7" s="2655"/>
    </row>
    <row r="8" spans="1:16">
      <c r="A8" s="44" t="s">
        <v>1115</v>
      </c>
      <c r="B8" s="47" t="s">
        <v>1116</v>
      </c>
      <c r="C8" s="45" t="s">
        <v>1117</v>
      </c>
      <c r="D8" s="45">
        <f t="shared" ref="D8:D15" si="0">ROUND($D$3*E8/$E$3,2)</f>
        <v>18234.27</v>
      </c>
      <c r="E8" s="48">
        <f>SUMIF('数据-基础表'!BB10:BK10,"地上",'数据-基础表'!BB5:BK5)</f>
        <v>52974.33</v>
      </c>
      <c r="F8" s="2655"/>
      <c r="G8" s="2656"/>
      <c r="H8" s="2656"/>
      <c r="I8" s="2655"/>
      <c r="J8" s="2655"/>
      <c r="K8" s="2655"/>
      <c r="L8" s="2655"/>
      <c r="M8" s="2655"/>
      <c r="N8" s="2655"/>
      <c r="O8" s="2655"/>
      <c r="P8" s="2655"/>
    </row>
    <row r="9" spans="1:16">
      <c r="A9" s="1644"/>
      <c r="B9" s="1645"/>
      <c r="C9" s="45" t="s">
        <v>1118</v>
      </c>
      <c r="D9" s="45">
        <f t="shared" si="0"/>
        <v>0</v>
      </c>
      <c r="E9" s="49">
        <v>0</v>
      </c>
      <c r="F9" s="2655"/>
      <c r="G9" s="2656"/>
      <c r="H9" s="2656"/>
      <c r="I9" s="2655"/>
      <c r="J9" s="2655"/>
      <c r="K9" s="2655"/>
      <c r="L9" s="2655"/>
      <c r="M9" s="2655"/>
      <c r="N9" s="2655"/>
      <c r="O9" s="2655"/>
      <c r="P9" s="2655"/>
    </row>
    <row r="10" spans="1:16">
      <c r="A10" s="1644"/>
      <c r="B10" s="1645"/>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1119</v>
      </c>
      <c r="D11" s="45">
        <f t="shared" si="0"/>
        <v>1894.03</v>
      </c>
      <c r="E11" s="48">
        <f>SUMPRODUCT(('数据-基础表'!BB10:BK10="地下")*('数据-基础表'!BB11:BK11="办公")*('数据-基础表'!BB5:BK5))+'数据-基础表'!BP5</f>
        <v>5502.54</v>
      </c>
      <c r="F11" s="2655"/>
      <c r="G11" s="2656"/>
      <c r="H11" s="2656"/>
      <c r="I11" s="2655"/>
      <c r="J11" s="2655"/>
      <c r="K11" s="2655"/>
      <c r="L11" s="2655"/>
      <c r="M11" s="2655"/>
      <c r="N11" s="2655"/>
      <c r="O11" s="2655"/>
      <c r="P11" s="2655"/>
    </row>
    <row r="12" spans="1:16">
      <c r="A12" s="1644"/>
      <c r="B12" s="1645"/>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1122</v>
      </c>
      <c r="D16" s="47">
        <f>SUM(D8:D15)</f>
        <v>20128.3</v>
      </c>
      <c r="E16" s="50">
        <f>SUM(E8:E15)</f>
        <v>58476.87</v>
      </c>
      <c r="F16" s="2655"/>
      <c r="G16" s="2656"/>
      <c r="H16" s="1646" t="s">
        <v>1134</v>
      </c>
      <c r="I16" s="1647"/>
      <c r="J16" s="1137"/>
      <c r="K16" s="3585" t="s">
        <v>1134</v>
      </c>
      <c r="L16" s="3586"/>
      <c r="M16" s="3586"/>
      <c r="N16" s="3586"/>
      <c r="O16" s="3586"/>
      <c r="P16" s="3587"/>
    </row>
    <row r="17" spans="1:19" ht="15">
      <c r="A17" s="1648" t="s">
        <v>1135</v>
      </c>
      <c r="B17" s="1649" t="s">
        <v>1136</v>
      </c>
      <c r="C17" s="1650" t="s">
        <v>1137</v>
      </c>
      <c r="D17" s="1651" t="s">
        <v>1125</v>
      </c>
      <c r="E17" s="1652" t="s">
        <v>1126</v>
      </c>
      <c r="F17" s="1653"/>
      <c r="G17" s="1654"/>
      <c r="H17" s="1655" t="s">
        <v>1138</v>
      </c>
      <c r="I17" s="1656" t="s">
        <v>1123</v>
      </c>
      <c r="J17" s="1137"/>
      <c r="K17" s="3582" t="s">
        <v>1139</v>
      </c>
      <c r="L17" s="3583"/>
      <c r="M17" s="3584"/>
      <c r="N17" s="3582" t="s">
        <v>1140</v>
      </c>
      <c r="O17" s="3583"/>
      <c r="P17" s="3584"/>
      <c r="R17" s="1638" t="s">
        <v>1141</v>
      </c>
      <c r="S17" s="56"/>
    </row>
    <row r="18" spans="1:19" ht="15">
      <c r="A18" s="1644"/>
      <c r="B18" s="1657"/>
      <c r="C18" s="1658"/>
      <c r="D18" s="1659"/>
      <c r="E18" s="1660" t="s">
        <v>1142</v>
      </c>
      <c r="F18" s="1661" t="s">
        <v>1143</v>
      </c>
      <c r="G18" s="1662" t="s">
        <v>1144</v>
      </c>
      <c r="H18" s="1041" t="s">
        <v>1145</v>
      </c>
      <c r="I18" s="1663" t="s">
        <v>1146</v>
      </c>
      <c r="J18" s="1137"/>
      <c r="K18" s="1041" t="s">
        <v>1147</v>
      </c>
      <c r="L18" s="1664" t="s">
        <v>1148</v>
      </c>
      <c r="M18" s="855" t="s">
        <v>1149</v>
      </c>
      <c r="N18" s="1041" t="s">
        <v>1147</v>
      </c>
      <c r="O18" s="1664" t="s">
        <v>1148</v>
      </c>
      <c r="P18" s="855" t="s">
        <v>1149</v>
      </c>
      <c r="R18" s="1026" t="s">
        <v>1150</v>
      </c>
      <c r="S18" s="1026" t="s">
        <v>1151</v>
      </c>
    </row>
    <row r="19" spans="1:19">
      <c r="A19" s="1665"/>
      <c r="B19" s="47" t="s">
        <v>1124</v>
      </c>
      <c r="C19" s="3414" t="s">
        <v>3455</v>
      </c>
      <c r="D19" s="45">
        <f>ROUND($D$3*E19/$E$3,2)</f>
        <v>20128.29</v>
      </c>
      <c r="E19" s="53">
        <f t="shared" ref="E19:E26" si="1">SUM(F19:G19)</f>
        <v>58476.87</v>
      </c>
      <c r="F19" s="2790">
        <f>'数据-基础表'!I18+'数据-基础表'!I22+'数据-基础表'!I28</f>
        <v>52974.33</v>
      </c>
      <c r="G19" s="2791">
        <f>'数据-基础表'!K18+'数据-基础表'!K22+'数据-基础表'!K28</f>
        <v>5502.54</v>
      </c>
      <c r="H19" s="670">
        <f>ROUND($D$3*I19/$E$3,2)</f>
        <v>327.36</v>
      </c>
      <c r="I19" s="48">
        <f t="shared" ref="I19:I26" si="2">IF($I$17="自定义",P19,M19)</f>
        <v>951.04</v>
      </c>
      <c r="J19" s="1137"/>
      <c r="K19" s="1136">
        <f t="shared" ref="K19:K26" si="3">ROUND(E$28*E19/E$27,2)</f>
        <v>951.04</v>
      </c>
      <c r="L19" s="1026">
        <f t="shared" ref="L19:L26" si="4">ROUND(IF(COUNTIF(C19,"*住宅*")&gt;0,E$29*E19/E$32,0),2)</f>
        <v>0</v>
      </c>
      <c r="M19" s="1148">
        <f>K19+L19</f>
        <v>951.04</v>
      </c>
      <c r="N19" s="1666"/>
      <c r="O19" s="1667"/>
      <c r="P19" s="1148">
        <f>N19+O19</f>
        <v>0</v>
      </c>
      <c r="R19" s="1026">
        <f t="shared" ref="R19:S26" si="5">D19+H19</f>
        <v>20455.650000000001</v>
      </c>
      <c r="S19" s="1027">
        <f t="shared" si="5"/>
        <v>59427.91</v>
      </c>
    </row>
    <row r="20" spans="1:19">
      <c r="A20" s="1668"/>
      <c r="B20" s="47" t="s">
        <v>1152</v>
      </c>
      <c r="C20" s="3414"/>
      <c r="D20" s="45">
        <f t="shared" ref="D20:D26" si="6">ROUND($D$3*E20/$E$3,2)</f>
        <v>0</v>
      </c>
      <c r="E20" s="53">
        <f t="shared" si="1"/>
        <v>0</v>
      </c>
      <c r="F20" s="2790"/>
      <c r="G20" s="2791"/>
      <c r="H20" s="670">
        <f t="shared" ref="H20:H26" si="7">ROUND($D$3*I20/$E$3,2)</f>
        <v>0</v>
      </c>
      <c r="I20" s="48">
        <f t="shared" si="2"/>
        <v>0</v>
      </c>
      <c r="J20" s="1137"/>
      <c r="K20" s="1136">
        <f t="shared" si="3"/>
        <v>0</v>
      </c>
      <c r="L20" s="1026">
        <f t="shared" si="4"/>
        <v>0</v>
      </c>
      <c r="M20" s="1148">
        <f t="shared" ref="M20:M26" si="8">K20+L20</f>
        <v>0</v>
      </c>
      <c r="N20" s="1666"/>
      <c r="O20" s="1667"/>
      <c r="P20" s="1148">
        <f t="shared" ref="P20:P26" si="9">N20+O20</f>
        <v>0</v>
      </c>
      <c r="R20" s="1026">
        <f t="shared" si="5"/>
        <v>0</v>
      </c>
      <c r="S20" s="1027">
        <f t="shared" si="5"/>
        <v>0</v>
      </c>
    </row>
    <row r="21" spans="1:19">
      <c r="A21" s="1668"/>
      <c r="B21" s="47" t="s">
        <v>1152</v>
      </c>
      <c r="C21" s="3414"/>
      <c r="D21" s="45">
        <f t="shared" si="6"/>
        <v>0</v>
      </c>
      <c r="E21" s="53">
        <f t="shared" si="1"/>
        <v>0</v>
      </c>
      <c r="F21" s="2790"/>
      <c r="G21" s="2791"/>
      <c r="H21" s="670">
        <f t="shared" si="7"/>
        <v>0</v>
      </c>
      <c r="I21" s="48">
        <f t="shared" si="2"/>
        <v>0</v>
      </c>
      <c r="J21" s="1137"/>
      <c r="K21" s="1136">
        <f t="shared" si="3"/>
        <v>0</v>
      </c>
      <c r="L21" s="1026">
        <f t="shared" si="4"/>
        <v>0</v>
      </c>
      <c r="M21" s="1148">
        <f t="shared" si="8"/>
        <v>0</v>
      </c>
      <c r="N21" s="1666"/>
      <c r="O21" s="1667"/>
      <c r="P21" s="1148">
        <f t="shared" si="9"/>
        <v>0</v>
      </c>
      <c r="R21" s="1026">
        <f t="shared" si="5"/>
        <v>0</v>
      </c>
      <c r="S21" s="1027">
        <f t="shared" si="5"/>
        <v>0</v>
      </c>
    </row>
    <row r="22" spans="1:19">
      <c r="A22" s="1668"/>
      <c r="B22" s="47" t="s">
        <v>1152</v>
      </c>
      <c r="C22" s="3415"/>
      <c r="D22" s="45">
        <f t="shared" si="6"/>
        <v>0</v>
      </c>
      <c r="E22" s="53">
        <f t="shared" si="1"/>
        <v>0</v>
      </c>
      <c r="F22" s="2792"/>
      <c r="G22" s="2793"/>
      <c r="H22" s="670">
        <f t="shared" si="7"/>
        <v>0</v>
      </c>
      <c r="I22" s="48">
        <f t="shared" si="2"/>
        <v>0</v>
      </c>
      <c r="J22" s="1137"/>
      <c r="K22" s="1136">
        <f t="shared" si="3"/>
        <v>0</v>
      </c>
      <c r="L22" s="1026">
        <f t="shared" si="4"/>
        <v>0</v>
      </c>
      <c r="M22" s="1148">
        <f t="shared" si="8"/>
        <v>0</v>
      </c>
      <c r="N22" s="1666"/>
      <c r="O22" s="1667"/>
      <c r="P22" s="1148">
        <f t="shared" si="9"/>
        <v>0</v>
      </c>
      <c r="R22" s="1026">
        <f t="shared" si="5"/>
        <v>0</v>
      </c>
      <c r="S22" s="1027">
        <f t="shared" si="5"/>
        <v>0</v>
      </c>
    </row>
    <row r="23" spans="1:19">
      <c r="A23" s="1668"/>
      <c r="B23" s="47" t="s">
        <v>1152</v>
      </c>
      <c r="C23" s="3415"/>
      <c r="D23" s="45">
        <f>ROUND($D$3*E23/$E$3,2)</f>
        <v>0</v>
      </c>
      <c r="E23" s="53">
        <f>SUM(F23:G23)</f>
        <v>0</v>
      </c>
      <c r="F23" s="2792"/>
      <c r="G23" s="2793"/>
      <c r="H23" s="670">
        <f>ROUND($D$3*I23/$E$3,2)</f>
        <v>0</v>
      </c>
      <c r="I23" s="48">
        <f t="shared" si="2"/>
        <v>0</v>
      </c>
      <c r="J23" s="1137"/>
      <c r="K23" s="1136">
        <f t="shared" si="3"/>
        <v>0</v>
      </c>
      <c r="L23" s="1026">
        <f t="shared" si="4"/>
        <v>0</v>
      </c>
      <c r="M23" s="1148">
        <f t="shared" si="8"/>
        <v>0</v>
      </c>
      <c r="N23" s="1666"/>
      <c r="O23" s="1667"/>
      <c r="P23" s="1148">
        <f t="shared" si="9"/>
        <v>0</v>
      </c>
      <c r="R23" s="1026">
        <f t="shared" si="5"/>
        <v>0</v>
      </c>
      <c r="S23" s="1027">
        <f t="shared" si="5"/>
        <v>0</v>
      </c>
    </row>
    <row r="24" spans="1:19">
      <c r="A24" s="1668"/>
      <c r="B24" s="47" t="s">
        <v>1152</v>
      </c>
      <c r="C24" s="3415"/>
      <c r="D24" s="45">
        <f>ROUND($D$3*E24/$E$3,2)</f>
        <v>0</v>
      </c>
      <c r="E24" s="53">
        <f>SUM(F24:G24)</f>
        <v>0</v>
      </c>
      <c r="F24" s="2792"/>
      <c r="G24" s="2793"/>
      <c r="H24" s="670">
        <f>ROUND($D$3*I24/$E$3,2)</f>
        <v>0</v>
      </c>
      <c r="I24" s="48">
        <f t="shared" si="2"/>
        <v>0</v>
      </c>
      <c r="J24" s="1137"/>
      <c r="K24" s="1136">
        <f t="shared" si="3"/>
        <v>0</v>
      </c>
      <c r="L24" s="1026">
        <f t="shared" si="4"/>
        <v>0</v>
      </c>
      <c r="M24" s="1148">
        <f t="shared" si="8"/>
        <v>0</v>
      </c>
      <c r="N24" s="1666"/>
      <c r="O24" s="1667"/>
      <c r="P24" s="1148">
        <f t="shared" si="9"/>
        <v>0</v>
      </c>
      <c r="R24" s="1026">
        <f t="shared" si="5"/>
        <v>0</v>
      </c>
      <c r="S24" s="1027">
        <f t="shared" si="5"/>
        <v>0</v>
      </c>
    </row>
    <row r="25" spans="1:19">
      <c r="A25" s="1668"/>
      <c r="B25" s="47" t="s">
        <v>1152</v>
      </c>
      <c r="C25" s="3415"/>
      <c r="D25" s="45">
        <f t="shared" si="6"/>
        <v>0</v>
      </c>
      <c r="E25" s="53">
        <f t="shared" si="1"/>
        <v>0</v>
      </c>
      <c r="F25" s="2792"/>
      <c r="G25" s="2793"/>
      <c r="H25" s="44">
        <f t="shared" si="7"/>
        <v>0</v>
      </c>
      <c r="I25" s="48">
        <f t="shared" si="2"/>
        <v>0</v>
      </c>
      <c r="J25" s="1137"/>
      <c r="K25" s="1136">
        <f t="shared" si="3"/>
        <v>0</v>
      </c>
      <c r="L25" s="1026">
        <f t="shared" si="4"/>
        <v>0</v>
      </c>
      <c r="M25" s="1148">
        <f t="shared" si="8"/>
        <v>0</v>
      </c>
      <c r="N25" s="1666"/>
      <c r="O25" s="1667"/>
      <c r="P25" s="1148">
        <f t="shared" si="9"/>
        <v>0</v>
      </c>
      <c r="R25" s="1026">
        <f t="shared" si="5"/>
        <v>0</v>
      </c>
      <c r="S25" s="1027">
        <f t="shared" si="5"/>
        <v>0</v>
      </c>
    </row>
    <row r="26" spans="1:19">
      <c r="A26" s="1668"/>
      <c r="B26" s="47" t="s">
        <v>1152</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9"/>
      <c r="O26" s="1670"/>
      <c r="P26" s="59">
        <f t="shared" si="9"/>
        <v>0</v>
      </c>
      <c r="R26" s="1026">
        <f t="shared" si="5"/>
        <v>0</v>
      </c>
      <c r="S26" s="1027">
        <f t="shared" si="5"/>
        <v>0</v>
      </c>
    </row>
    <row r="27" spans="1:19" ht="15.75" thickBot="1">
      <c r="A27" s="1668"/>
      <c r="B27" s="45"/>
      <c r="C27" s="1671" t="s">
        <v>1153</v>
      </c>
      <c r="D27" s="1138">
        <f>SUM(D19:D26)</f>
        <v>20128.29</v>
      </c>
      <c r="E27" s="1139">
        <f>IF(SUM(E19:E26)='数据-基础表'!BA5,SUM(E19:E26),IF(F27="地上面积有误","面积有误","地下面积有误"))</f>
        <v>58476.87</v>
      </c>
      <c r="F27" s="1138">
        <f>IF(SUM(F19:F26)=E8,SUM(F19:F26),"地上面积有误")</f>
        <v>52974.33</v>
      </c>
      <c r="G27" s="1140">
        <f>SUM(G19:G26)</f>
        <v>5502.54</v>
      </c>
      <c r="H27" s="1141">
        <f>SUM(H19:H26)</f>
        <v>327.36</v>
      </c>
      <c r="I27" s="1142">
        <f>SUM(I19:I26)</f>
        <v>951.04</v>
      </c>
      <c r="J27" s="1137"/>
      <c r="K27" s="1145">
        <f>SUM(K19:K26)</f>
        <v>951.04</v>
      </c>
      <c r="L27" s="1146">
        <f>SUM(L19:L26)</f>
        <v>0</v>
      </c>
      <c r="M27" s="1149">
        <f>SUM(M19:M26)</f>
        <v>951.04</v>
      </c>
      <c r="N27" s="1145">
        <f t="shared" ref="N27:O27" si="10">SUM(N19:N26)</f>
        <v>0</v>
      </c>
      <c r="O27" s="1146">
        <f t="shared" si="10"/>
        <v>0</v>
      </c>
      <c r="P27" s="1147">
        <f>SUM(P19:P26)</f>
        <v>0</v>
      </c>
      <c r="R27" s="1028">
        <f>IF(SUM(R19:R26)=$D$3,SUM(R19:R26),SUM(R19:R26)&amp;"误差"&amp;ROUND(SUM(R19:R26)-$D$3,2))</f>
        <v>20455.650000000001</v>
      </c>
      <c r="S27" s="1026">
        <f>IF(SUM(S19:S26)=$E$3,SUM(S19:S26),SUM(S19:S26)&amp;"误差"&amp;ROUND(SUM(S19:S26)-E3,2))</f>
        <v>59427.91</v>
      </c>
    </row>
    <row r="28" spans="1:19">
      <c r="A28" s="1668"/>
      <c r="B28" s="47" t="s">
        <v>1154</v>
      </c>
      <c r="C28" s="1038" t="s">
        <v>1155</v>
      </c>
      <c r="D28" s="45">
        <f>ROUND($D$3*E28/$E$3,2)</f>
        <v>327.36</v>
      </c>
      <c r="E28" s="53">
        <f>SUM(F28:G28)</f>
        <v>951.04</v>
      </c>
      <c r="F28" s="56">
        <f>'数据-基础表'!BQ5+'数据-基础表'!BS5</f>
        <v>951.04</v>
      </c>
      <c r="G28" s="57">
        <f>'数据-基础表'!BR5+'数据-基础表'!BT5</f>
        <v>0</v>
      </c>
      <c r="H28" s="2655"/>
      <c r="I28" s="2655"/>
      <c r="J28" s="2655"/>
      <c r="K28" s="2655"/>
      <c r="L28" s="2655"/>
      <c r="M28" s="2655"/>
      <c r="N28" s="2655"/>
      <c r="O28" s="2655"/>
      <c r="P28" s="2655"/>
    </row>
    <row r="29" spans="1:19">
      <c r="A29" s="1668"/>
      <c r="B29" s="47" t="s">
        <v>1154</v>
      </c>
      <c r="C29" s="1672"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1153</v>
      </c>
      <c r="D30" s="1138">
        <f>SUM(D28:D29)</f>
        <v>327.36</v>
      </c>
      <c r="E30" s="1138">
        <f>SUM(E28:E29)</f>
        <v>951.04</v>
      </c>
      <c r="F30" s="1138">
        <f>SUM(F28:F29)</f>
        <v>951.04</v>
      </c>
      <c r="G30" s="1140">
        <f>SUM(G28:G29)</f>
        <v>0</v>
      </c>
      <c r="H30" s="2655"/>
      <c r="I30" s="2655"/>
      <c r="J30" s="2655"/>
      <c r="K30" s="2655"/>
      <c r="L30" s="2655"/>
      <c r="M30" s="2655"/>
      <c r="N30" s="2655"/>
      <c r="O30" s="2655"/>
      <c r="P30" s="2655"/>
    </row>
    <row r="31" spans="1:19" ht="15.75" thickBot="1">
      <c r="A31" s="1674"/>
      <c r="B31" s="1675"/>
      <c r="C31" s="835" t="s">
        <v>1157</v>
      </c>
      <c r="D31" s="676">
        <f>D27+D30</f>
        <v>20455.650000000001</v>
      </c>
      <c r="E31" s="676">
        <f>E27+E30</f>
        <v>59427.91</v>
      </c>
      <c r="F31" s="677">
        <f>F27+F30</f>
        <v>53925.37</v>
      </c>
      <c r="G31" s="678">
        <f>G27+G30</f>
        <v>5502.54</v>
      </c>
      <c r="H31" s="2655"/>
      <c r="I31" s="2655"/>
      <c r="J31" s="2655"/>
      <c r="K31" s="2655"/>
      <c r="L31" s="2655"/>
      <c r="M31" s="2655"/>
      <c r="N31" s="2655"/>
      <c r="O31" s="2655"/>
      <c r="P31" s="2655"/>
    </row>
    <row r="32" spans="1:19">
      <c r="A32" s="1641"/>
      <c r="B32" s="1641" t="s">
        <v>1158</v>
      </c>
      <c r="C32" s="1641"/>
      <c r="D32" s="1641"/>
      <c r="E32" s="1053">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7"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8.1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1160</v>
      </c>
      <c r="B2" s="1045">
        <f>项目基本情况!D3</f>
        <v>45001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4"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7" t="s">
        <v>1171</v>
      </c>
      <c r="F5" s="1697" t="s">
        <v>1172</v>
      </c>
      <c r="G5" s="1047" t="s">
        <v>1173</v>
      </c>
      <c r="H5" s="1047" t="s">
        <v>1174</v>
      </c>
      <c r="I5" s="1047" t="s">
        <v>1175</v>
      </c>
      <c r="J5" s="1698" t="s">
        <v>1176</v>
      </c>
      <c r="K5" s="1699" t="s">
        <v>1177</v>
      </c>
      <c r="L5" s="1700" t="s">
        <v>1178</v>
      </c>
      <c r="M5" s="1701" t="s">
        <v>1179</v>
      </c>
      <c r="N5" s="1702" t="s">
        <v>3484</v>
      </c>
      <c r="O5" s="1700" t="s">
        <v>1180</v>
      </c>
      <c r="P5" s="1703" t="s">
        <v>1181</v>
      </c>
      <c r="Q5" s="61" t="s">
        <v>1182</v>
      </c>
      <c r="R5" s="1704" t="s">
        <v>1183</v>
      </c>
      <c r="S5" s="1705" t="s">
        <v>1184</v>
      </c>
      <c r="T5" s="1706" t="s">
        <v>1185</v>
      </c>
      <c r="U5" s="1046" t="s">
        <v>1186</v>
      </c>
      <c r="V5" s="1047" t="s">
        <v>1187</v>
      </c>
      <c r="W5" s="1047" t="s">
        <v>1188</v>
      </c>
      <c r="X5" s="63"/>
      <c r="Y5" s="62" t="s">
        <v>1189</v>
      </c>
      <c r="Z5" s="1707" t="s">
        <v>1186</v>
      </c>
      <c r="AA5" s="1047" t="s">
        <v>1187</v>
      </c>
      <c r="AB5" s="1047" t="s">
        <v>1188</v>
      </c>
      <c r="AC5" s="63"/>
      <c r="AD5" s="63" t="s">
        <v>1189</v>
      </c>
      <c r="AE5" s="1046" t="s">
        <v>1190</v>
      </c>
      <c r="AF5" s="1047" t="s">
        <v>1191</v>
      </c>
      <c r="AG5" s="62" t="s">
        <v>1192</v>
      </c>
      <c r="AH5" s="1046" t="s">
        <v>1193</v>
      </c>
      <c r="AI5" s="1707" t="s">
        <v>1194</v>
      </c>
      <c r="AJ5" s="1707" t="s">
        <v>1195</v>
      </c>
      <c r="AK5" s="1047" t="s">
        <v>1196</v>
      </c>
      <c r="AL5" s="1047" t="s">
        <v>1197</v>
      </c>
      <c r="AM5" s="62" t="s">
        <v>1198</v>
      </c>
      <c r="AN5" s="1708" t="s">
        <v>1199</v>
      </c>
      <c r="AO5" s="1560" t="s">
        <v>1200</v>
      </c>
      <c r="AP5" s="1028"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科研用房</v>
      </c>
      <c r="B6" s="1711" t="str">
        <f>IF(A6=0,"","经营性")</f>
        <v>经营性</v>
      </c>
      <c r="C6" s="1712" t="s">
        <v>21</v>
      </c>
      <c r="D6" s="858">
        <f>SUMIF(项目基本情况!C$12:I$12,C6,项目基本情况!C$14:I$14)</f>
        <v>50</v>
      </c>
      <c r="E6" s="857">
        <f>IF(B6="","",SUMIF(项目基本情况!C$12:H$12,C6,项目基本情况!C$13:H$13))</f>
        <v>59165</v>
      </c>
      <c r="F6" s="64">
        <f>SUMIF(项目基本情况!C$12:I$12,C6,项目基本情况!C$15:I$15)</f>
        <v>38.799999999999997</v>
      </c>
      <c r="G6" s="65">
        <f>IF(ISERROR(ROUND(POWER(1+H6,D6-F6)*(POWER(1+H6,F6)-1)/(POWER(1+H6,D6)-1),3)),0,ROUND(POWER(1+H6,D6-F6)*(POWER(1+H6,F6)-1)/(POWER(1+H6,D6)-1),3))</f>
        <v>0.93100000000000005</v>
      </c>
      <c r="H6" s="732">
        <v>0.05</v>
      </c>
      <c r="I6" s="732">
        <v>5.5E-2</v>
      </c>
      <c r="J6" s="66">
        <v>8.5000000000000006E-2</v>
      </c>
      <c r="K6" s="1030">
        <f>SUMIF('数据-汇总表'!C$19:C$33,A6,'数据-汇总表'!E$19:E$33)</f>
        <v>58476.87</v>
      </c>
      <c r="L6" s="733">
        <f>ROUND(面积表!F47,0)</f>
        <v>7333</v>
      </c>
      <c r="M6" s="67">
        <f t="shared" ref="M6:M14" si="0">ROUND(K6*L6/10000,0)</f>
        <v>42881</v>
      </c>
      <c r="N6" s="731">
        <f>面积表!P47</f>
        <v>0.99</v>
      </c>
      <c r="O6" s="67">
        <f>IF($N$5="成新度","——",ROUND(M6*N6,0))</f>
        <v>42452</v>
      </c>
      <c r="P6" s="68">
        <f>IF($N$5="成新度","——",M6-O6)</f>
        <v>429</v>
      </c>
      <c r="Q6" s="734">
        <v>0.25</v>
      </c>
      <c r="R6" s="69">
        <f ca="1">SUMIF('数据-汇总表'!C$19:C$33,A6,'数据-汇总表'!R$19:R$27)</f>
        <v>20455.650000000001</v>
      </c>
      <c r="S6" s="51">
        <f>IF('数据-汇总表'!$I$17="按面积比例",SUMIF('数据-汇总表'!C$19:C$33,A6,'数据-汇总表'!K$19:K$33),SUMIF('数据-汇总表'!C$19:C$33,A6,'数据-汇总表'!N$19:N$33))</f>
        <v>951.04</v>
      </c>
      <c r="T6" s="1170">
        <f>ROUND($L$14*S6/10000,0)</f>
        <v>380</v>
      </c>
      <c r="U6" s="3425">
        <f>ROUND(面积表!K48,1)</f>
        <v>6.9</v>
      </c>
      <c r="V6" s="70">
        <v>0</v>
      </c>
      <c r="W6" s="70">
        <v>0.15</v>
      </c>
      <c r="X6" s="1040"/>
      <c r="Y6" s="71">
        <v>1</v>
      </c>
      <c r="Z6" s="72"/>
      <c r="AA6" s="66"/>
      <c r="AB6" s="66"/>
      <c r="AC6" s="1040"/>
      <c r="AD6" s="73"/>
      <c r="AE6" s="1041">
        <f ca="1">IF(AN6="",0,SUMIF(INDIRECT("'"&amp;AN6&amp;"'"&amp;"!E:E"),$AE$5,INDIRECT("'"&amp;AN6&amp;"'"&amp;"!F:F")))</f>
        <v>38.769999999999996</v>
      </c>
      <c r="AF6" s="1346"/>
      <c r="AG6" s="138">
        <f>IF(AF6="",0,AE6-AF6)</f>
        <v>0</v>
      </c>
      <c r="AH6" s="74"/>
      <c r="AI6" s="76">
        <v>365</v>
      </c>
      <c r="AJ6" s="77"/>
      <c r="AK6" s="78">
        <v>1.4999999999999999E-2</v>
      </c>
      <c r="AL6" s="79">
        <v>1.5E-3</v>
      </c>
      <c r="AM6" s="80">
        <v>1.4999999999999999E-2</v>
      </c>
      <c r="AN6" s="1713" t="s">
        <v>3458</v>
      </c>
      <c r="AO6" s="52">
        <f ca="1">SUMIF(INDIRECT("'"&amp;AN6&amp;"'"&amp;"!A:A"),"总价",INDIRECT("'"&amp;AN6&amp;"'"&amp;"!B:B"))</f>
        <v>144617</v>
      </c>
      <c r="AP6" s="1714">
        <f>IF(C6="住宅",K6*L6,0)</f>
        <v>0</v>
      </c>
      <c r="AQ6" s="52">
        <f>ROUND($L$14*$N$14*S6/10000,0)</f>
        <v>377</v>
      </c>
      <c r="AR6" s="52">
        <f>ROUND($L$14*(1-$N$14)*S6/10000,0)</f>
        <v>4</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40"/>
      <c r="Y7" s="71"/>
      <c r="Z7" s="72"/>
      <c r="AA7" s="66"/>
      <c r="AB7" s="66"/>
      <c r="AC7" s="1040"/>
      <c r="AD7" s="73"/>
      <c r="AE7" s="1041">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6"/>
      <c r="V8" s="735"/>
      <c r="W8" s="735"/>
      <c r="X8" s="1040"/>
      <c r="Y8" s="71"/>
      <c r="Z8" s="72"/>
      <c r="AA8" s="66"/>
      <c r="AB8" s="66"/>
      <c r="AC8" s="1040"/>
      <c r="AD8" s="73"/>
      <c r="AE8" s="1041">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40"/>
      <c r="Y9" s="71"/>
      <c r="Z9" s="72"/>
      <c r="AA9" s="66"/>
      <c r="AB9" s="66"/>
      <c r="AC9" s="1040"/>
      <c r="AD9" s="73"/>
      <c r="AE9" s="1041">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40"/>
      <c r="Y10" s="71"/>
      <c r="Z10" s="72"/>
      <c r="AA10" s="66"/>
      <c r="AB10" s="66"/>
      <c r="AC10" s="1040"/>
      <c r="AD10" s="73"/>
      <c r="AE10" s="1041">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40"/>
      <c r="Y11" s="71"/>
      <c r="Z11" s="84"/>
      <c r="AA11" s="66"/>
      <c r="AB11" s="66"/>
      <c r="AC11" s="1040"/>
      <c r="AD11" s="73"/>
      <c r="AE11" s="1041">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40"/>
      <c r="Y12" s="71"/>
      <c r="Z12" s="84"/>
      <c r="AA12" s="66"/>
      <c r="AB12" s="66"/>
      <c r="AC12" s="1040"/>
      <c r="AD12" s="73"/>
      <c r="AE12" s="1041">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40"/>
      <c r="Y13" s="71"/>
      <c r="Z13" s="72"/>
      <c r="AA13" s="66"/>
      <c r="AB13" s="66"/>
      <c r="AC13" s="1040"/>
      <c r="AD13" s="73"/>
      <c r="AE13" s="1041">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8"/>
      <c r="E14" s="857"/>
      <c r="F14" s="64"/>
      <c r="G14" s="65"/>
      <c r="H14" s="1029"/>
      <c r="I14" s="1029"/>
      <c r="J14" s="1029"/>
      <c r="K14" s="1030">
        <f>SUMIF('数据-汇总表'!C$19:C$33,A14,'数据-汇总表'!E$19:E$33)</f>
        <v>951.04</v>
      </c>
      <c r="L14" s="82">
        <v>4000</v>
      </c>
      <c r="M14" s="67">
        <f t="shared" si="0"/>
        <v>380</v>
      </c>
      <c r="N14" s="83">
        <f>N6</f>
        <v>0.99</v>
      </c>
      <c r="O14" s="67">
        <f t="shared" si="3"/>
        <v>376</v>
      </c>
      <c r="P14" s="68">
        <f t="shared" si="4"/>
        <v>4</v>
      </c>
      <c r="Q14" s="1033"/>
      <c r="R14" s="69"/>
      <c r="S14" s="51"/>
      <c r="T14" s="1170"/>
      <c r="U14" s="670"/>
      <c r="V14" s="1035"/>
      <c r="W14" s="1035"/>
      <c r="X14" s="1036"/>
      <c r="Y14" s="1037"/>
      <c r="Z14" s="1038"/>
      <c r="AA14" s="1039"/>
      <c r="AB14" s="1039"/>
      <c r="AC14" s="1040"/>
      <c r="AD14" s="1036"/>
      <c r="AE14" s="1041"/>
      <c r="AF14" s="52"/>
      <c r="AG14" s="138"/>
      <c r="AH14" s="1041"/>
      <c r="AI14" s="1355"/>
      <c r="AJ14" s="704"/>
      <c r="AK14" s="1042"/>
      <c r="AL14" s="1043"/>
      <c r="AM14" s="1044"/>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8"/>
      <c r="E15" s="857"/>
      <c r="F15" s="64"/>
      <c r="G15" s="65"/>
      <c r="H15" s="1029"/>
      <c r="I15" s="1029"/>
      <c r="J15" s="1029"/>
      <c r="K15" s="1030">
        <f>SUMIF('数据-汇总表'!C$19:C$33,A15,'数据-汇总表'!E$19:E$33)</f>
        <v>0</v>
      </c>
      <c r="L15" s="1031"/>
      <c r="M15" s="67"/>
      <c r="N15" s="1032"/>
      <c r="O15" s="67"/>
      <c r="P15" s="68"/>
      <c r="Q15" s="1033"/>
      <c r="R15" s="69"/>
      <c r="S15" s="51"/>
      <c r="T15" s="1170"/>
      <c r="U15" s="670"/>
      <c r="V15" s="1035"/>
      <c r="W15" s="1035"/>
      <c r="X15" s="1036"/>
      <c r="Y15" s="1037"/>
      <c r="Z15" s="1038"/>
      <c r="AA15" s="1039"/>
      <c r="AB15" s="1039"/>
      <c r="AC15" s="1040"/>
      <c r="AD15" s="1036"/>
      <c r="AE15" s="1041"/>
      <c r="AF15" s="52"/>
      <c r="AG15" s="138"/>
      <c r="AH15" s="1041"/>
      <c r="AI15" s="1355"/>
      <c r="AJ15" s="704"/>
      <c r="AK15" s="1042"/>
      <c r="AL15" s="1043"/>
      <c r="AM15" s="1044"/>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3"/>
      <c r="D16" s="1718"/>
      <c r="E16" s="88"/>
      <c r="F16" s="88"/>
      <c r="G16" s="89">
        <f>ROUND(SUMPRODUCT(G6:G13,K6:K13)/SUMPRODUCT((G6:G13&gt;0)*(K6:K13)),3)</f>
        <v>0.93100000000000005</v>
      </c>
      <c r="H16" s="90">
        <f>ROUND(SUMPRODUCT(H6:H13,K6:K13)/SUMPRODUCT((H6:H13&gt;0)*(K6:K13)),3)</f>
        <v>0.05</v>
      </c>
      <c r="I16" s="91"/>
      <c r="J16" s="91"/>
      <c r="K16" s="92">
        <f>SUM(K6:K15)</f>
        <v>59427.91</v>
      </c>
      <c r="L16" s="93">
        <f>ROUND(M16*10000/SUM(K6:K14),0)</f>
        <v>7280</v>
      </c>
      <c r="M16" s="93">
        <f>SUM(M6:M14)</f>
        <v>43261</v>
      </c>
      <c r="N16" s="94">
        <f>ROUND(SUMPRODUCT(M6:M14,N6:N14)/M16,3)</f>
        <v>0.99</v>
      </c>
      <c r="O16" s="93">
        <f>SUM(O6:O14)</f>
        <v>42828</v>
      </c>
      <c r="P16" s="93">
        <f>SUM(P6:P14)</f>
        <v>433</v>
      </c>
      <c r="Q16" s="95">
        <f>ROUND(SUMPRODUCT(Q6:Q13,K6:K13)/SUMPRODUCT((Q6:Q13&gt;0)*(K6:K13)),2)</f>
        <v>0.25</v>
      </c>
      <c r="R16" s="1034">
        <f ca="1">SUM(R6:R13)</f>
        <v>20455.650000000001</v>
      </c>
      <c r="S16" s="96">
        <f>SUM(S6:S13)</f>
        <v>951.04</v>
      </c>
      <c r="T16" s="97">
        <f>IF(SUMIF(T6:T13,"&lt;9E307")=M14,SUMIF(T6:T13,"&lt;9E307"),"有误，请检查")</f>
        <v>380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1210</v>
      </c>
      <c r="B19" s="103">
        <v>0</v>
      </c>
      <c r="C19" s="2794" t="s">
        <v>2304</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1211</v>
      </c>
      <c r="B20" s="104">
        <v>3</v>
      </c>
      <c r="C20" s="2795" t="s">
        <v>2302</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1212</v>
      </c>
      <c r="B21" s="104">
        <f>B20*N16</f>
        <v>2.9699999999999998</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1213</v>
      </c>
      <c r="B22" s="105">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1214</v>
      </c>
      <c r="B23" s="105">
        <f>B19+B21</f>
        <v>2.9699999999999998</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1215</v>
      </c>
      <c r="B24" s="106">
        <f>B20-B21</f>
        <v>3.0000000000000249E-2</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1216</v>
      </c>
      <c r="B26" s="1724"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1219</v>
      </c>
      <c r="B27" s="107"/>
      <c r="C27" s="2796" t="s">
        <v>2306</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1220</v>
      </c>
      <c r="B28" s="110">
        <v>170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1221</v>
      </c>
      <c r="B29" s="112">
        <f ca="1">成本法!C10</f>
        <v>1010</v>
      </c>
      <c r="C29" s="2797" t="s">
        <v>2293</v>
      </c>
      <c r="D29" s="2674"/>
      <c r="E29" s="2657"/>
      <c r="F29" s="2657"/>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1222</v>
      </c>
      <c r="B30" s="671">
        <v>200</v>
      </c>
      <c r="C30" s="2675"/>
      <c r="D30" s="2674"/>
      <c r="E30" s="2657"/>
      <c r="F30" s="2657"/>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1223</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1225</v>
      </c>
      <c r="B33" s="673">
        <v>0.05</v>
      </c>
      <c r="C33" s="2798"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1226</v>
      </c>
      <c r="B34" s="113">
        <v>0</v>
      </c>
      <c r="C34" s="2798"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1227</v>
      </c>
      <c r="B35" s="110">
        <v>200</v>
      </c>
      <c r="C35" s="2798"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1228</v>
      </c>
      <c r="B36" s="114">
        <v>1.4999999999999999E-2</v>
      </c>
      <c r="C36" s="2798"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1229</v>
      </c>
      <c r="B37" s="115">
        <v>0.03</v>
      </c>
      <c r="C37" s="2798"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1230</v>
      </c>
      <c r="B38" s="113">
        <v>0.03</v>
      </c>
      <c r="C38" s="2798"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3457</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1232</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1234</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1235</v>
      </c>
      <c r="B44" s="119">
        <v>0.05</v>
      </c>
      <c r="C44" s="2798"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1236</v>
      </c>
      <c r="B45" s="117">
        <v>0.03</v>
      </c>
      <c r="C45" s="2797"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1237</v>
      </c>
      <c r="B46" s="117">
        <v>0.02</v>
      </c>
      <c r="C46" s="2797"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1238</v>
      </c>
      <c r="B47" s="120">
        <v>0</v>
      </c>
      <c r="C47" s="2800"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1239</v>
      </c>
      <c r="B48" s="121">
        <v>0.03</v>
      </c>
      <c r="C48" s="2797"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1240</v>
      </c>
      <c r="B49" s="117">
        <v>5.0000000000000001E-4</v>
      </c>
      <c r="C49" s="2797"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1241</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1242</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1243</v>
      </c>
      <c r="B52" s="124">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1244</v>
      </c>
      <c r="B53" s="1736" t="s">
        <v>29</v>
      </c>
      <c r="C53" s="2657" t="s">
        <v>1245</v>
      </c>
      <c r="D53" s="2799"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1246</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1247</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1248</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1249</v>
      </c>
      <c r="B57" s="75"/>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1250</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1251</v>
      </c>
      <c r="B59" s="75">
        <f>C59</f>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4"/>
  </cols>
  <sheetData>
    <row r="1" spans="1:29" s="2453" customFormat="1" ht="18.75" thickBot="1">
      <c r="A1" s="3597" t="s">
        <v>2285</v>
      </c>
      <c r="B1" s="3598"/>
      <c r="C1" s="3598"/>
      <c r="D1" s="3598"/>
      <c r="E1" s="3598"/>
      <c r="F1" s="3598"/>
      <c r="G1" s="359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2251</v>
      </c>
      <c r="C3" s="2460" t="s">
        <v>2283</v>
      </c>
      <c r="D3" s="2461"/>
      <c r="E3" s="2438" t="s">
        <v>2282</v>
      </c>
      <c r="F3" s="2462" t="s">
        <v>2252</v>
      </c>
      <c r="G3" s="2463" t="s">
        <v>2284</v>
      </c>
      <c r="H3" s="799"/>
      <c r="I3" s="799"/>
      <c r="J3" s="799"/>
      <c r="K3" s="799"/>
      <c r="L3" s="799"/>
      <c r="M3" s="799"/>
      <c r="N3" s="799"/>
      <c r="O3" s="799"/>
      <c r="P3" s="799"/>
      <c r="Q3" s="799"/>
      <c r="R3" s="799"/>
    </row>
    <row r="4" spans="1:29" ht="36.75">
      <c r="A4" s="2438"/>
      <c r="B4" s="323" t="s">
        <v>2253</v>
      </c>
      <c r="C4" s="2464" t="s">
        <v>2254</v>
      </c>
      <c r="D4" s="2461"/>
      <c r="E4" s="2465"/>
      <c r="F4" s="1371" t="s">
        <v>2255</v>
      </c>
      <c r="G4" s="2466" t="s">
        <v>2256</v>
      </c>
      <c r="H4" s="799"/>
      <c r="I4" s="799"/>
      <c r="J4" s="799"/>
      <c r="K4" s="799"/>
      <c r="L4" s="799"/>
      <c r="M4" s="799"/>
      <c r="N4" s="799"/>
      <c r="O4" s="799"/>
      <c r="P4" s="799"/>
      <c r="Q4" s="799"/>
      <c r="R4" s="799"/>
    </row>
    <row r="5" spans="1:29" ht="36.75">
      <c r="A5" s="2438"/>
      <c r="B5" s="323" t="s">
        <v>2257</v>
      </c>
      <c r="C5" s="2464" t="s">
        <v>2258</v>
      </c>
      <c r="D5" s="2461"/>
      <c r="E5" s="2465"/>
      <c r="F5" s="323" t="s">
        <v>2259</v>
      </c>
      <c r="G5" s="2466" t="s">
        <v>2260</v>
      </c>
      <c r="H5" s="799"/>
      <c r="I5" s="799"/>
      <c r="J5" s="799"/>
      <c r="K5" s="799"/>
      <c r="L5" s="799"/>
      <c r="M5" s="799"/>
      <c r="N5" s="799"/>
      <c r="O5" s="799"/>
      <c r="P5" s="799"/>
      <c r="Q5" s="799"/>
      <c r="R5" s="799"/>
    </row>
    <row r="6" spans="1:29" ht="36">
      <c r="A6" s="2438"/>
      <c r="B6" s="323" t="s">
        <v>2261</v>
      </c>
      <c r="C6" s="2466" t="s">
        <v>2256</v>
      </c>
      <c r="D6" s="2461"/>
      <c r="E6" s="2465"/>
      <c r="F6" s="323" t="s">
        <v>2262</v>
      </c>
      <c r="G6" s="2466" t="s">
        <v>2263</v>
      </c>
      <c r="H6" s="799"/>
      <c r="I6" s="799"/>
      <c r="J6" s="799"/>
      <c r="K6" s="799"/>
      <c r="L6" s="799"/>
      <c r="M6" s="799"/>
      <c r="N6" s="799"/>
      <c r="O6" s="799"/>
      <c r="P6" s="799"/>
      <c r="Q6" s="799"/>
      <c r="R6" s="799"/>
    </row>
    <row r="7" spans="1:29" ht="24.75" thickBot="1">
      <c r="A7" s="2438"/>
      <c r="B7" s="323" t="s">
        <v>2259</v>
      </c>
      <c r="C7" s="2466" t="s">
        <v>2260</v>
      </c>
      <c r="D7" s="2467"/>
      <c r="E7" s="2468"/>
      <c r="F7" s="2469" t="s">
        <v>2264</v>
      </c>
      <c r="G7" s="2470" t="s">
        <v>2265</v>
      </c>
      <c r="H7" s="799"/>
      <c r="I7" s="799"/>
      <c r="J7" s="799"/>
      <c r="K7" s="799"/>
      <c r="L7" s="799"/>
      <c r="M7" s="799"/>
      <c r="N7" s="799"/>
      <c r="O7" s="799"/>
      <c r="P7" s="799"/>
      <c r="Q7" s="799"/>
      <c r="R7" s="799"/>
    </row>
    <row r="8" spans="1:29">
      <c r="A8" s="2438"/>
      <c r="B8" s="323" t="s">
        <v>2262</v>
      </c>
      <c r="C8" s="2466" t="s">
        <v>2263</v>
      </c>
      <c r="D8" s="2467"/>
      <c r="E8" s="2467"/>
      <c r="F8" s="2471"/>
      <c r="G8" s="2471"/>
      <c r="H8" s="799"/>
      <c r="I8" s="799"/>
      <c r="J8" s="799"/>
      <c r="K8" s="799"/>
      <c r="L8" s="799"/>
      <c r="M8" s="799"/>
      <c r="N8" s="799"/>
      <c r="O8" s="799"/>
      <c r="P8" s="799"/>
      <c r="Q8" s="799"/>
      <c r="R8" s="799"/>
    </row>
    <row r="9" spans="1:29" ht="24">
      <c r="A9" s="2438"/>
      <c r="B9" s="323" t="s">
        <v>2266</v>
      </c>
      <c r="C9" s="2464" t="s">
        <v>2267</v>
      </c>
      <c r="D9" s="2461"/>
      <c r="E9" s="2467"/>
      <c r="F9" s="2471"/>
      <c r="G9" s="2471"/>
      <c r="H9" s="799"/>
      <c r="I9" s="799"/>
      <c r="J9" s="799"/>
      <c r="K9" s="799"/>
      <c r="L9" s="799"/>
      <c r="M9" s="799"/>
      <c r="N9" s="799"/>
      <c r="O9" s="799"/>
      <c r="P9" s="799"/>
      <c r="Q9" s="799"/>
      <c r="R9" s="799"/>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9" customFormat="1" ht="15" thickBot="1">
      <c r="A23" s="2442"/>
      <c r="B23" s="2498" t="s">
        <v>2277</v>
      </c>
      <c r="C23" s="2501"/>
      <c r="D23" s="1739"/>
      <c r="E23" s="2444"/>
      <c r="F23" s="2502" t="s">
        <v>2278</v>
      </c>
      <c r="G23" s="2503"/>
      <c r="H23" s="2487"/>
      <c r="I23" s="2488"/>
      <c r="J23" s="2487"/>
      <c r="K23" s="2487"/>
      <c r="L23" s="2488"/>
      <c r="M23" s="2487"/>
      <c r="N23" s="2487"/>
      <c r="O23" s="2488"/>
      <c r="P23" s="2487"/>
      <c r="Q23" s="2487"/>
      <c r="R23" s="2489"/>
    </row>
    <row r="24" spans="1:18" s="799" customFormat="1" ht="15" thickBot="1">
      <c r="A24" s="2445"/>
      <c r="B24" s="2502" t="s">
        <v>2279</v>
      </c>
      <c r="C24" s="2504">
        <f>C10</f>
        <v>0</v>
      </c>
      <c r="D24" s="1739"/>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8" sqref="B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351565.27</v>
      </c>
      <c r="C1" s="2681"/>
      <c r="D1" s="2681"/>
      <c r="E1" s="2681"/>
      <c r="F1" s="2681"/>
      <c r="G1" s="2682"/>
      <c r="H1" s="2683"/>
      <c r="I1" s="2683"/>
      <c r="J1" s="2683"/>
      <c r="K1" s="2683"/>
    </row>
    <row r="2" spans="1:11" ht="16.5">
      <c r="A2" s="2508" t="s">
        <v>653</v>
      </c>
      <c r="B2" s="2508">
        <f>SUM(C14:C23)</f>
        <v>116233.68</v>
      </c>
      <c r="C2" s="2681"/>
      <c r="D2" s="2681"/>
      <c r="E2" s="2681"/>
      <c r="F2" s="2681"/>
      <c r="G2" s="2682"/>
      <c r="H2" s="2683"/>
      <c r="I2" s="2683"/>
      <c r="J2" s="2683"/>
      <c r="K2" s="2683"/>
    </row>
    <row r="3" spans="1:11" ht="16.5">
      <c r="A3" s="2508" t="s">
        <v>662</v>
      </c>
      <c r="B3" s="2510">
        <f>项目基本情况!D3</f>
        <v>45001</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911465</v>
      </c>
      <c r="C5" s="2508">
        <f ca="1">ROUND(B5*10000/$B$1,0)</f>
        <v>25926</v>
      </c>
      <c r="D5" s="2508">
        <f ca="1">ROUND(B5*10000/$B$2,0)</f>
        <v>78417</v>
      </c>
      <c r="E5" s="2681"/>
      <c r="F5" s="2682"/>
      <c r="G5" s="2682"/>
      <c r="H5" s="2683"/>
      <c r="I5" s="2683"/>
      <c r="J5" s="2683"/>
      <c r="K5" s="2683"/>
    </row>
    <row r="6" spans="1:11" ht="16.5">
      <c r="A6" s="2508" t="s">
        <v>656</v>
      </c>
      <c r="B6" s="2508">
        <f ca="1">SUM(G14:G23)</f>
        <v>911465</v>
      </c>
      <c r="C6" s="2508">
        <f ca="1">ROUND(B6*10000/$B$1,0)</f>
        <v>25926</v>
      </c>
      <c r="D6" s="2508">
        <f ca="1">ROUND(B6*10000/$B$2,0)</f>
        <v>78417</v>
      </c>
      <c r="E6" s="2681"/>
      <c r="F6" s="2682"/>
      <c r="G6" s="2682"/>
      <c r="H6" s="2683"/>
      <c r="I6" s="2683"/>
      <c r="J6" s="2683"/>
      <c r="K6" s="2683"/>
    </row>
    <row r="7" spans="1:11" ht="16.5">
      <c r="A7" s="2508" t="s">
        <v>664</v>
      </c>
      <c r="B7" s="2508">
        <f>SUM(H14:H23)</f>
        <v>0</v>
      </c>
      <c r="C7" s="2508">
        <f>ROUND(B7*10000/$B$1,0)</f>
        <v>0</v>
      </c>
      <c r="D7" s="2508">
        <f>ROUND(B7*10000/$B$2,0)</f>
        <v>0</v>
      </c>
      <c r="E7" s="2681"/>
      <c r="F7" s="2682"/>
      <c r="G7" s="2682"/>
      <c r="H7" s="2683"/>
      <c r="I7" s="2683"/>
      <c r="J7" s="2683"/>
      <c r="K7" s="2683"/>
    </row>
    <row r="8" spans="1:11" ht="16.5">
      <c r="A8" s="2508" t="s">
        <v>587</v>
      </c>
      <c r="B8" s="2508">
        <f ca="1">SUM(I14:I23)</f>
        <v>740295</v>
      </c>
      <c r="C8" s="2508">
        <f ca="1">ROUND(B8*10000/$B$1,0)</f>
        <v>21057</v>
      </c>
      <c r="D8" s="2508">
        <f ca="1">ROUND(B8*10000/$B$2,0)</f>
        <v>63690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16">
        <f>ROUND(B1*(E10*365/G10)/10000,0)</f>
        <v>0</v>
      </c>
      <c r="C10" s="3439" t="s">
        <v>3365</v>
      </c>
      <c r="D10" s="3439" t="s">
        <v>3366</v>
      </c>
      <c r="E10" s="3439"/>
      <c r="F10" s="3440" t="s">
        <v>3367</v>
      </c>
      <c r="G10" s="3441">
        <v>0.06</v>
      </c>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59427.91</v>
      </c>
      <c r="C14" s="2514">
        <f>结果表!C118</f>
        <v>20455.650000000001</v>
      </c>
      <c r="D14" s="2514">
        <f ca="1">结果表!H118</f>
        <v>127686</v>
      </c>
      <c r="E14" s="2514">
        <f ca="1">ROUND(D14*10000/B14,0)</f>
        <v>21486</v>
      </c>
      <c r="F14" s="2514">
        <f ca="1">ROUND(D14*10000/C14,0)</f>
        <v>62421</v>
      </c>
      <c r="G14" s="2514">
        <f ca="1">结果表!D122</f>
        <v>127686</v>
      </c>
      <c r="H14" s="2514"/>
      <c r="I14" s="2514">
        <f ca="1">结果表!N59</f>
        <v>102015</v>
      </c>
      <c r="J14" s="2682"/>
      <c r="K14" s="2683"/>
    </row>
    <row r="15" spans="1:11" ht="16.5">
      <c r="A15" s="2513" t="s">
        <v>649</v>
      </c>
      <c r="B15" s="2515">
        <f>[2]系统读取表!$B$14</f>
        <v>292137.36</v>
      </c>
      <c r="C15" s="2515">
        <f>[2]系统读取表!$C$14</f>
        <v>95778.03</v>
      </c>
      <c r="D15" s="2515">
        <f ca="1">[2]系统读取表!$D$14</f>
        <v>783779</v>
      </c>
      <c r="E15" s="2514">
        <f t="shared" ref="E15:E23" ca="1" si="0">ROUND(D15*10000/B15,0)</f>
        <v>26829</v>
      </c>
      <c r="F15" s="2514">
        <f t="shared" ref="F15:F23" ca="1" si="1">ROUND(D15*10000/C15,0)</f>
        <v>81833</v>
      </c>
      <c r="G15" s="1329">
        <f ca="1">[2]系统读取表!$G$14</f>
        <v>783779</v>
      </c>
      <c r="H15" s="1329"/>
      <c r="I15" s="2515">
        <f ca="1">[2]系统读取表!$I$14</f>
        <v>638280</v>
      </c>
      <c r="J15" s="2682"/>
      <c r="K15" s="2683"/>
    </row>
    <row r="16" spans="1:11" ht="16.5">
      <c r="A16" s="2513" t="s">
        <v>648</v>
      </c>
      <c r="B16" s="2515"/>
      <c r="C16" s="2515"/>
      <c r="D16" s="2515"/>
      <c r="E16" s="2514" t="e">
        <f t="shared" si="0"/>
        <v>#DIV/0!</v>
      </c>
      <c r="F16" s="2514" t="e">
        <f t="shared" si="1"/>
        <v>#DIV/0!</v>
      </c>
      <c r="G16" s="1329"/>
      <c r="H16" s="1329"/>
      <c r="I16" s="2515"/>
      <c r="J16" s="2683"/>
      <c r="K16" s="2683"/>
    </row>
    <row r="17" spans="1:11" ht="16.5">
      <c r="A17" s="2513" t="s">
        <v>647</v>
      </c>
      <c r="B17" s="2515"/>
      <c r="C17" s="2515"/>
      <c r="D17" s="2515"/>
      <c r="E17" s="2514" t="e">
        <f t="shared" si="0"/>
        <v>#DIV/0!</v>
      </c>
      <c r="F17" s="2514" t="e">
        <f t="shared" si="1"/>
        <v>#DIV/0!</v>
      </c>
      <c r="G17" s="1329"/>
      <c r="H17" s="1329"/>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D118" sqref="D118:I118"/>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1261</v>
      </c>
      <c r="B1" s="1745"/>
      <c r="C1" s="1746"/>
      <c r="D1" s="1745"/>
      <c r="E1" s="1745"/>
      <c r="F1" s="1747" t="s">
        <v>1262</v>
      </c>
      <c r="G1" s="1559" t="s">
        <v>3476</v>
      </c>
      <c r="H1" s="1748" t="str">
        <f>IF(G1="现房","——","估价对象范围")</f>
        <v>——</v>
      </c>
      <c r="I1" s="1749"/>
    </row>
    <row r="2" spans="1:12" ht="21.75" customHeight="1" thickBot="1">
      <c r="A2" s="3666" t="str">
        <f>项目基本情况!S2</f>
        <v>北京市通州区宋庄镇尹各庄村新建科研用地房地产</v>
      </c>
      <c r="B2" s="3667"/>
      <c r="C2" s="3667"/>
      <c r="D2" s="3667"/>
      <c r="E2" s="3667"/>
      <c r="F2" s="3667"/>
      <c r="G2" s="3667"/>
      <c r="H2" s="3667"/>
      <c r="I2" s="3668"/>
    </row>
    <row r="3" spans="1:12" ht="12.75">
      <c r="A3" s="3670" t="s">
        <v>1263</v>
      </c>
      <c r="B3" s="3671"/>
      <c r="C3" s="3671"/>
      <c r="D3" s="3671"/>
      <c r="E3" s="3671"/>
      <c r="F3" s="3671"/>
      <c r="G3" s="3671"/>
      <c r="H3" s="3671"/>
      <c r="I3" s="3671"/>
    </row>
    <row r="4" spans="1:12" ht="14.25">
      <c r="A4" s="1752" t="s">
        <v>1264</v>
      </c>
      <c r="B4" s="1753" t="s">
        <v>1265</v>
      </c>
      <c r="C4" s="1754" t="s">
        <v>3460</v>
      </c>
      <c r="D4" s="1754" t="s">
        <v>3461</v>
      </c>
      <c r="E4" s="3675" t="s">
        <v>1266</v>
      </c>
      <c r="F4" s="3676"/>
      <c r="G4" s="3676"/>
      <c r="H4" s="3676"/>
      <c r="I4" s="367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4" t="s">
        <v>1267</v>
      </c>
      <c r="B5" s="3669">
        <v>25</v>
      </c>
      <c r="C5" s="3672"/>
      <c r="D5" s="3660"/>
      <c r="E5" s="131" t="s">
        <v>1268</v>
      </c>
      <c r="F5" s="1755"/>
      <c r="G5" s="1755"/>
      <c r="H5" s="1755"/>
      <c r="I5" s="1371"/>
    </row>
    <row r="6" spans="1:12" ht="12.75">
      <c r="A6" s="3614"/>
      <c r="B6" s="3669"/>
      <c r="C6" s="3674"/>
      <c r="D6" s="3660"/>
      <c r="E6" s="131" t="s">
        <v>1269</v>
      </c>
      <c r="F6" s="1755"/>
      <c r="G6" s="1755"/>
      <c r="H6" s="1755"/>
      <c r="I6" s="1371"/>
    </row>
    <row r="7" spans="1:12" ht="12.75">
      <c r="A7" s="3614"/>
      <c r="B7" s="3669"/>
      <c r="C7" s="3673"/>
      <c r="D7" s="3660"/>
      <c r="E7" s="131" t="s">
        <v>1270</v>
      </c>
      <c r="F7" s="1755"/>
      <c r="G7" s="1755"/>
      <c r="H7" s="1755"/>
      <c r="I7" s="1371"/>
    </row>
    <row r="8" spans="1:12" ht="12.75">
      <c r="A8" s="3614" t="s">
        <v>1271</v>
      </c>
      <c r="B8" s="3669">
        <v>15</v>
      </c>
      <c r="C8" s="3672"/>
      <c r="D8" s="3660"/>
      <c r="E8" s="131" t="s">
        <v>1272</v>
      </c>
      <c r="F8" s="1755"/>
      <c r="G8" s="1755"/>
      <c r="H8" s="1755"/>
      <c r="I8" s="1371"/>
    </row>
    <row r="9" spans="1:12" ht="12.75">
      <c r="A9" s="3614"/>
      <c r="B9" s="3669"/>
      <c r="C9" s="3673"/>
      <c r="D9" s="3660"/>
      <c r="E9" s="131" t="s">
        <v>1273</v>
      </c>
      <c r="F9" s="1755"/>
      <c r="G9" s="1755"/>
      <c r="H9" s="1755"/>
      <c r="I9" s="1371"/>
    </row>
    <row r="10" spans="1:12" ht="12.75">
      <c r="A10" s="3614" t="s">
        <v>1274</v>
      </c>
      <c r="B10" s="3669">
        <v>15</v>
      </c>
      <c r="C10" s="3672"/>
      <c r="D10" s="3660"/>
      <c r="E10" s="131" t="s">
        <v>1275</v>
      </c>
      <c r="F10" s="1755"/>
      <c r="G10" s="1755"/>
      <c r="H10" s="1755"/>
      <c r="I10" s="1371"/>
    </row>
    <row r="11" spans="1:12" ht="12.75">
      <c r="A11" s="3614"/>
      <c r="B11" s="3669"/>
      <c r="C11" s="3673"/>
      <c r="D11" s="3660"/>
      <c r="E11" s="131" t="s">
        <v>1276</v>
      </c>
      <c r="F11" s="1755"/>
      <c r="G11" s="1755"/>
      <c r="H11" s="1755"/>
      <c r="I11" s="1371"/>
    </row>
    <row r="12" spans="1:12" ht="12.75">
      <c r="A12" s="3614" t="s">
        <v>1277</v>
      </c>
      <c r="B12" s="3669">
        <v>15</v>
      </c>
      <c r="C12" s="3672"/>
      <c r="D12" s="3660"/>
      <c r="E12" s="131" t="s">
        <v>1278</v>
      </c>
      <c r="F12" s="1755"/>
      <c r="G12" s="1755"/>
      <c r="H12" s="1755"/>
      <c r="I12" s="1371"/>
    </row>
    <row r="13" spans="1:12" ht="12.75">
      <c r="A13" s="3614"/>
      <c r="B13" s="3669"/>
      <c r="C13" s="3673"/>
      <c r="D13" s="3660"/>
      <c r="E13" s="131" t="s">
        <v>1279</v>
      </c>
      <c r="F13" s="1755"/>
      <c r="G13" s="1755"/>
      <c r="H13" s="1755"/>
      <c r="I13" s="1371"/>
    </row>
    <row r="14" spans="1:12" ht="12.75">
      <c r="A14" s="3614" t="s">
        <v>1280</v>
      </c>
      <c r="B14" s="3669">
        <v>30</v>
      </c>
      <c r="C14" s="3672">
        <v>5</v>
      </c>
      <c r="D14" s="3660">
        <v>5</v>
      </c>
      <c r="E14" s="131" t="s">
        <v>1281</v>
      </c>
      <c r="F14" s="1755"/>
      <c r="G14" s="1755"/>
      <c r="H14" s="1755"/>
      <c r="I14" s="1371"/>
    </row>
    <row r="15" spans="1:12" ht="12.75">
      <c r="A15" s="3614"/>
      <c r="B15" s="3669"/>
      <c r="C15" s="3674"/>
      <c r="D15" s="3660"/>
      <c r="E15" s="131" t="s">
        <v>1282</v>
      </c>
      <c r="F15" s="1755"/>
      <c r="G15" s="1755"/>
      <c r="H15" s="1755"/>
      <c r="I15" s="1371"/>
    </row>
    <row r="16" spans="1:12" ht="12.75">
      <c r="A16" s="3614"/>
      <c r="B16" s="3669"/>
      <c r="C16" s="3673"/>
      <c r="D16" s="3660"/>
      <c r="E16" s="131" t="s">
        <v>1283</v>
      </c>
      <c r="F16" s="1755"/>
      <c r="G16" s="1755"/>
      <c r="H16" s="1755"/>
      <c r="I16" s="1371"/>
    </row>
    <row r="17" spans="1:36" ht="15">
      <c r="A17" s="1756" t="s">
        <v>1284</v>
      </c>
      <c r="B17" s="56"/>
      <c r="C17" s="132">
        <f>SUM(C5:C16)</f>
        <v>5</v>
      </c>
      <c r="D17" s="132">
        <f>SUM(D5:D16)</f>
        <v>5</v>
      </c>
      <c r="E17" s="129"/>
      <c r="F17" s="129"/>
      <c r="G17" s="129"/>
      <c r="H17" s="129"/>
      <c r="I17" s="129"/>
      <c r="K17" s="302"/>
      <c r="L17" s="302" t="s">
        <v>1285</v>
      </c>
      <c r="M17" s="302" t="s">
        <v>1286</v>
      </c>
    </row>
    <row r="18" spans="1:36" ht="31.9" customHeight="1" thickBot="1">
      <c r="A18" s="1757" t="s">
        <v>1287</v>
      </c>
      <c r="B18" s="1758"/>
      <c r="C18" s="133">
        <f>ROUND(C17/SUM(C17:D17),2)</f>
        <v>0.5</v>
      </c>
      <c r="D18" s="133">
        <f>1-C18</f>
        <v>0.5</v>
      </c>
      <c r="E18" s="3691" t="s">
        <v>2130</v>
      </c>
      <c r="F18" s="3692"/>
      <c r="G18" s="3692"/>
      <c r="H18" s="3692"/>
      <c r="I18" s="3692"/>
      <c r="K18" s="302" t="s">
        <v>1288</v>
      </c>
      <c r="L18" s="302">
        <f>IF(C1="",'数据-汇总表'!E3,SUMIF(项目类型,C1,'数据-汇总表'!E17:E26)+SUMIF(项目类型,C1,'数据-汇总表'!I17:I26))</f>
        <v>59427.91</v>
      </c>
      <c r="M18" s="302">
        <f>IF(C1="",'数据-汇总表'!E3,SUMIF(项目类型,C1,'数据-汇总表'!E17:E26))</f>
        <v>59427.91</v>
      </c>
    </row>
    <row r="19" spans="1:36" ht="15">
      <c r="A19" s="1759" t="s">
        <v>1289</v>
      </c>
      <c r="B19" s="1760" t="s">
        <v>1290</v>
      </c>
      <c r="C19" s="134">
        <f ca="1">SUMIF(INDIRECT("'"&amp;C4&amp;"'"&amp;"!A:A"),结果表!B19,INDIRECT("'"&amp;C4&amp;"'"&amp;"!B:B"))</f>
        <v>123336</v>
      </c>
      <c r="D19" s="135">
        <f ca="1">SUMIF(INDIRECT("'"&amp;D4&amp;"'"&amp;"!A:A"),结果表!B19,INDIRECT("'"&amp;D4&amp;"'"&amp;"!B:B"))</f>
        <v>132035</v>
      </c>
      <c r="E19" s="1759" t="s">
        <v>1291</v>
      </c>
      <c r="F19" s="1760" t="s">
        <v>1290</v>
      </c>
      <c r="G19" s="136">
        <f ca="1">ROUND(C19*$C$18+D19*$D$18,0)</f>
        <v>127686</v>
      </c>
      <c r="H19" s="1761" t="s">
        <v>1292</v>
      </c>
      <c r="I19" s="129"/>
      <c r="K19" s="302" t="s">
        <v>1293</v>
      </c>
      <c r="L19" s="302">
        <f>IF(C1="",'数据-汇总表'!D3,SUMIF(项目类型,C1,'数据-汇总表'!D17:D26)+SUMIF(项目类型,C1,'数据-汇总表'!H17:H27))</f>
        <v>20455.650000000001</v>
      </c>
      <c r="M19" s="302">
        <f>IF(C1="",'数据-汇总表'!D3,SUMIF(项目类型,C1,'数据-汇总表'!D17:D26))</f>
        <v>20455.650000000001</v>
      </c>
    </row>
    <row r="20" spans="1:36" ht="15">
      <c r="A20" s="1762"/>
      <c r="B20" s="1026" t="s">
        <v>1294</v>
      </c>
      <c r="C20" s="137">
        <f ca="1">SUMIF(INDIRECT("'"&amp;C4&amp;"'"&amp;"!A:A"),结果表!B20,INDIRECT("'"&amp;C4&amp;"'"&amp;"!B:B"))</f>
        <v>20754</v>
      </c>
      <c r="D20" s="138">
        <f ca="1">SUMIF(INDIRECT("'"&amp;D4&amp;"'"&amp;"!A:A"),结果表!B20,INDIRECT("'"&amp;D4&amp;"'"&amp;"!B:B"))</f>
        <v>22218</v>
      </c>
      <c r="E20" s="1762"/>
      <c r="F20" s="1026" t="s">
        <v>1294</v>
      </c>
      <c r="G20" s="139">
        <f ca="1">ROUND(C20*$C$18+D20*$D$18,0)</f>
        <v>21486</v>
      </c>
      <c r="H20" s="808" t="s">
        <v>1295</v>
      </c>
      <c r="I20" s="129"/>
    </row>
    <row r="21" spans="1:36" ht="15" customHeight="1" thickBot="1">
      <c r="A21" s="828"/>
      <c r="B21" s="1763" t="s">
        <v>1296</v>
      </c>
      <c r="C21" s="719">
        <f ca="1">ROUND(C19*10000/L19,0)</f>
        <v>60294</v>
      </c>
      <c r="D21" s="720">
        <f ca="1">ROUND(D19*10000/L19,0)</f>
        <v>64547</v>
      </c>
      <c r="E21" s="828"/>
      <c r="F21" s="1763" t="s">
        <v>1296</v>
      </c>
      <c r="G21" s="140">
        <f ca="1">ROUND(G19*10000/L19,0)</f>
        <v>62421</v>
      </c>
      <c r="H21" s="1764" t="s">
        <v>1295</v>
      </c>
      <c r="I21" s="129"/>
    </row>
    <row r="22" spans="1:36" ht="15" thickBot="1">
      <c r="A22" s="1686" t="s">
        <v>1297</v>
      </c>
      <c r="B22" s="1765"/>
      <c r="C22" s="1766"/>
      <c r="D22" s="721">
        <f ca="1">IF(C19&lt;D19,D19/C19-1,C19/D19-1)</f>
        <v>7.053090743983903E-2</v>
      </c>
      <c r="E22" s="129"/>
      <c r="F22" s="129"/>
      <c r="G22" s="129"/>
      <c r="H22" s="129"/>
      <c r="I22" s="129"/>
    </row>
    <row r="23" spans="1:36" ht="13.5" thickBot="1">
      <c r="A23" s="1745"/>
      <c r="B23" s="1745"/>
      <c r="C23" s="1745"/>
      <c r="D23" s="1745"/>
      <c r="E23" s="129"/>
      <c r="F23" s="129"/>
      <c r="G23" s="129"/>
      <c r="H23" s="129"/>
      <c r="I23" s="129"/>
    </row>
    <row r="24" spans="1:36" ht="14.25">
      <c r="A24" s="3684" t="s">
        <v>1298</v>
      </c>
      <c r="B24" s="1760" t="s">
        <v>1290</v>
      </c>
      <c r="C24" s="136">
        <f>IF(B30=0,0,D30)</f>
        <v>0</v>
      </c>
      <c r="D24" s="1767"/>
      <c r="E24" s="129"/>
      <c r="F24" s="129"/>
      <c r="G24" s="129"/>
      <c r="H24" s="129"/>
      <c r="I24" s="129"/>
    </row>
    <row r="25" spans="1:36" ht="14.25">
      <c r="A25" s="3685"/>
      <c r="B25" s="1026"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127686</v>
      </c>
      <c r="D32" s="1773" t="s">
        <v>3477</v>
      </c>
      <c r="E32" s="129"/>
      <c r="F32" s="129"/>
      <c r="G32" s="129"/>
      <c r="H32" s="129"/>
      <c r="I32" s="129"/>
    </row>
    <row r="33" spans="1:15" ht="15">
      <c r="A33" s="786" t="s">
        <v>1305</v>
      </c>
      <c r="B33" s="1774"/>
      <c r="C33" s="1775" t="s">
        <v>3478</v>
      </c>
      <c r="D33" s="1776" t="s">
        <v>3460</v>
      </c>
      <c r="E33" s="1777" t="s">
        <v>1306</v>
      </c>
      <c r="F33" s="1778" t="str">
        <f>IF(D32="楼面单价","取值（单价）","取值（总价）")</f>
        <v>取值（总价）</v>
      </c>
      <c r="G33" s="129"/>
      <c r="H33" s="129"/>
      <c r="I33" s="129"/>
    </row>
    <row r="34" spans="1:15" ht="15">
      <c r="A34" s="1779"/>
      <c r="B34" s="1780" t="s">
        <v>1307</v>
      </c>
      <c r="C34" s="148">
        <f ca="1">IF(C33="自定义",F34,C32-C35)</f>
        <v>55543</v>
      </c>
      <c r="D34" s="861">
        <f ca="1">IF(C33="自定义",ROUND(C34/C32,3),IF(C33="收益比率",SUMIF(INDIRECT("'"&amp;D33&amp;"'"&amp;"!b:b"),"土地收益比率",INDIRECT("'"&amp;D33&amp;"'"&amp;"!c:c")),SUMIF(INDIRECT("'"&amp;D33&amp;"'"&amp;"!b:b"),"土地成本比率",INDIRECT("'"&amp;D33&amp;"'"&amp;"!c:c"))))</f>
        <v>0.43500000000000005</v>
      </c>
      <c r="E34" s="1781" t="s">
        <v>1308</v>
      </c>
      <c r="F34" s="1328"/>
      <c r="G34" s="129"/>
      <c r="H34" s="129"/>
      <c r="I34" s="129"/>
    </row>
    <row r="35" spans="1:15" ht="15.75" thickBot="1">
      <c r="A35" s="1782"/>
      <c r="B35" s="1783" t="s">
        <v>1309</v>
      </c>
      <c r="C35" s="1168">
        <f ca="1">IF(C33="自定义",F35,ROUND(C32*D35,0))</f>
        <v>72143</v>
      </c>
      <c r="D35" s="1169">
        <f ca="1">IF(C33="自定义",ROUND(C35/C32,3),IF(C33="收益比率",SUMIF(INDIRECT("'"&amp;D33&amp;"'"&amp;"!b:b"),"建筑物收益比率",INDIRECT("'"&amp;D33&amp;"'"&amp;"!c:c")),SUMIF(INDIRECT("'"&amp;D33&amp;"'"&amp;"!b:b"),"建筑物成本比率",INDIRECT("'"&amp;D33&amp;"'"&amp;"!c:c"))))</f>
        <v>0.56499999999999995</v>
      </c>
      <c r="E35" s="1784" t="s">
        <v>1310</v>
      </c>
      <c r="F35" s="154"/>
      <c r="G35" s="129"/>
      <c r="H35" s="129"/>
      <c r="I35" s="129"/>
    </row>
    <row r="36" spans="1:15" ht="15.75" thickBot="1">
      <c r="A36" s="3661" t="s">
        <v>1311</v>
      </c>
      <c r="B36" s="1785" t="s">
        <v>1312</v>
      </c>
      <c r="C36" s="145"/>
      <c r="D36" s="1786"/>
      <c r="E36" s="1787"/>
      <c r="F36" s="1788"/>
      <c r="G36" s="129"/>
      <c r="H36" s="129"/>
      <c r="I36" s="129"/>
    </row>
    <row r="37" spans="1:15" ht="15.75" thickBot="1">
      <c r="A37" s="3662"/>
      <c r="B37" s="1672" t="s">
        <v>1313</v>
      </c>
      <c r="C37" s="147"/>
      <c r="D37" s="1137"/>
      <c r="E37" s="1137"/>
      <c r="F37" s="1788"/>
      <c r="G37" s="129"/>
      <c r="H37" s="129"/>
      <c r="I37" s="129"/>
    </row>
    <row r="38" spans="1:15" ht="15.75" thickBot="1">
      <c r="A38" s="3663"/>
      <c r="B38" s="1789" t="s">
        <v>1314</v>
      </c>
      <c r="C38" s="674"/>
      <c r="D38" s="1790" t="s">
        <v>1315</v>
      </c>
      <c r="E38" s="1137"/>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81" t="s">
        <v>1325</v>
      </c>
      <c r="B45" s="3682"/>
      <c r="C45" s="3683"/>
      <c r="D45" s="155">
        <f ca="1">ROUND(H101*F45,0)</f>
        <v>127686</v>
      </c>
      <c r="E45" s="156" t="s">
        <v>1326</v>
      </c>
      <c r="F45" s="157">
        <v>1</v>
      </c>
      <c r="G45" s="158" t="s">
        <v>1327</v>
      </c>
      <c r="H45" s="129"/>
      <c r="I45" s="129"/>
      <c r="J45" s="3601" t="s">
        <v>1328</v>
      </c>
      <c r="K45" s="3601"/>
      <c r="L45" s="3601"/>
      <c r="M45" s="3601"/>
      <c r="N45" s="3601"/>
      <c r="O45" s="3601"/>
    </row>
    <row r="46" spans="1:15" ht="14.25" customHeight="1">
      <c r="A46" s="3678" t="s">
        <v>1329</v>
      </c>
      <c r="B46" s="3679"/>
      <c r="C46" s="3679"/>
      <c r="D46" s="3679"/>
      <c r="E46" s="3679"/>
      <c r="F46" s="3679"/>
      <c r="G46" s="3680"/>
      <c r="H46" s="1804"/>
      <c r="I46" s="159"/>
      <c r="J46" s="2519">
        <v>1</v>
      </c>
      <c r="K46" s="3602" t="s">
        <v>1330</v>
      </c>
      <c r="L46" s="3602"/>
      <c r="M46" s="3603"/>
      <c r="N46" s="3603"/>
      <c r="O46" s="3603"/>
    </row>
    <row r="47" spans="1:15" ht="12" customHeight="1">
      <c r="A47" s="160" t="s">
        <v>1331</v>
      </c>
      <c r="B47" s="161"/>
      <c r="C47" s="162"/>
      <c r="D47" s="1087" t="s">
        <v>1332</v>
      </c>
      <c r="E47" s="302" t="s">
        <v>1333</v>
      </c>
      <c r="F47" s="163" t="s">
        <v>1334</v>
      </c>
      <c r="G47" s="2542" t="s">
        <v>1335</v>
      </c>
      <c r="H47" s="2543"/>
      <c r="I47" s="159"/>
      <c r="J47" s="2519">
        <v>2</v>
      </c>
      <c r="K47" s="3602" t="s">
        <v>1336</v>
      </c>
      <c r="L47" s="3602"/>
      <c r="M47" s="3604">
        <f>'数据-取费表'!B2</f>
        <v>45001</v>
      </c>
      <c r="N47" s="3604"/>
      <c r="O47" s="3604"/>
    </row>
    <row r="48" spans="1:15" ht="25.5">
      <c r="A48" s="3664" t="s">
        <v>1337</v>
      </c>
      <c r="B48" s="3665"/>
      <c r="C48" s="3665"/>
      <c r="D48" s="2322">
        <f ca="1">IF(H48="情况1",0,IF(H48="情况2",D52,IF(H48="情况3",D53,IF(H48="情况4",D54))))</f>
        <v>6688</v>
      </c>
      <c r="E48" s="2332" t="str">
        <f>IF(H48="情况4","(销售额-原购置价)×税（费）率","销售额×税（费）率")</f>
        <v>销售额×税（费）率</v>
      </c>
      <c r="F48" s="2544">
        <f>IF(H48="情况1","免征",'数据-取费表'!B41)</f>
        <v>5.5000000000000007E-2</v>
      </c>
      <c r="G48" s="2545" t="s">
        <v>1338</v>
      </c>
      <c r="H48" s="2546" t="s">
        <v>3547</v>
      </c>
      <c r="I48" s="1804"/>
      <c r="J48" s="2519">
        <v>3</v>
      </c>
      <c r="K48" s="3602" t="s">
        <v>1339</v>
      </c>
      <c r="L48" s="3602"/>
      <c r="M48" s="3605">
        <f ca="1">H101</f>
        <v>127686</v>
      </c>
      <c r="N48" s="3605"/>
      <c r="O48" s="3605"/>
    </row>
    <row r="49" spans="1:35" ht="25.5" customHeight="1">
      <c r="A49" s="2331" t="s">
        <v>1340</v>
      </c>
      <c r="B49" s="3650" t="s">
        <v>1341</v>
      </c>
      <c r="C49" s="3650"/>
      <c r="D49" s="1588">
        <v>0</v>
      </c>
      <c r="E49" s="324" t="s">
        <v>1342</v>
      </c>
      <c r="F49" s="2420" t="s">
        <v>28</v>
      </c>
      <c r="G49" s="3633"/>
      <c r="H49" s="2308" t="s">
        <v>2133</v>
      </c>
      <c r="I49" s="2309"/>
      <c r="J49" s="2519">
        <v>4</v>
      </c>
      <c r="K49" s="3602" t="str">
        <f>IF(项目基本情况!E8="房地产抵押价值","房地产抵押价值","抵押担保权已注销时的房地产抵押价值")</f>
        <v>房地产抵押价值</v>
      </c>
      <c r="L49" s="3602"/>
      <c r="M49" s="3605">
        <f ca="1">IF(项目基本情况!E8="房地产抵押价值",H107,H109)</f>
        <v>127686</v>
      </c>
      <c r="N49" s="3605"/>
      <c r="O49" s="3605"/>
    </row>
    <row r="50" spans="1:35" ht="25.5" customHeight="1">
      <c r="A50" s="2547"/>
      <c r="B50" s="3650" t="s">
        <v>1343</v>
      </c>
      <c r="C50" s="3650"/>
      <c r="D50" s="2548"/>
      <c r="E50" s="332"/>
      <c r="F50" s="2420"/>
      <c r="G50" s="3634"/>
      <c r="H50" s="2310" t="s">
        <v>2134</v>
      </c>
      <c r="I50" s="2309"/>
      <c r="J50" s="3601" t="s">
        <v>1344</v>
      </c>
      <c r="K50" s="3601"/>
      <c r="L50" s="3601"/>
      <c r="M50" s="3601"/>
      <c r="N50" s="3601"/>
      <c r="O50" s="3601"/>
    </row>
    <row r="51" spans="1:35" ht="20.45" customHeight="1">
      <c r="A51" s="2549"/>
      <c r="B51" s="3650" t="s">
        <v>1345</v>
      </c>
      <c r="C51" s="3650"/>
      <c r="D51" s="1087"/>
      <c r="E51" s="327"/>
      <c r="F51" s="2420"/>
      <c r="G51" s="3635"/>
      <c r="H51" s="2310" t="s">
        <v>2135</v>
      </c>
      <c r="I51" s="2309"/>
      <c r="J51" s="2520" t="s">
        <v>1346</v>
      </c>
      <c r="K51" s="3602" t="s">
        <v>1347</v>
      </c>
      <c r="L51" s="3602"/>
      <c r="M51" s="2520" t="s">
        <v>1348</v>
      </c>
      <c r="N51" s="2520" t="s">
        <v>1349</v>
      </c>
      <c r="O51" s="2520" t="s">
        <v>1350</v>
      </c>
    </row>
    <row r="52" spans="1:35" ht="24" customHeight="1">
      <c r="A52" s="2333" t="s">
        <v>1351</v>
      </c>
      <c r="B52" s="3650" t="s">
        <v>1352</v>
      </c>
      <c r="C52" s="3650"/>
      <c r="D52" s="1087">
        <f ca="1">ROUND(D45*'数据-取费表'!B41/(1+'数据-取费表'!C42),0)</f>
        <v>6688</v>
      </c>
      <c r="E52" s="2332" t="s">
        <v>1353</v>
      </c>
      <c r="F52" s="2550">
        <f>'数据-取费表'!B41</f>
        <v>5.5000000000000007E-2</v>
      </c>
      <c r="G52" s="2551"/>
      <c r="H52" s="2540"/>
      <c r="I52" s="1805"/>
      <c r="J52" s="2519">
        <v>1</v>
      </c>
      <c r="K52" s="3627" t="s">
        <v>1354</v>
      </c>
      <c r="L52" s="3627"/>
      <c r="M52" s="2521">
        <f ca="1">D48</f>
        <v>6688</v>
      </c>
      <c r="N52" s="2519" t="str">
        <f>E48</f>
        <v>销售额×税（费）率</v>
      </c>
      <c r="O52" s="2522">
        <f>F48</f>
        <v>5.5000000000000007E-2</v>
      </c>
    </row>
    <row r="53" spans="1:35" ht="12" customHeight="1">
      <c r="A53" s="2333" t="s">
        <v>1355</v>
      </c>
      <c r="B53" s="3651" t="s">
        <v>2290</v>
      </c>
      <c r="C53" s="3652"/>
      <c r="D53" s="1087">
        <f ca="1">ROUND(D45*'数据-取费表'!B41/(1+'数据-取费表'!C42),0)</f>
        <v>6688</v>
      </c>
      <c r="E53" s="2332" t="s">
        <v>1353</v>
      </c>
      <c r="F53" s="2550">
        <f>'数据-取费表'!B41</f>
        <v>5.5000000000000007E-2</v>
      </c>
      <c r="G53" s="2551"/>
      <c r="H53" s="2540"/>
      <c r="I53" s="1805"/>
      <c r="J53" s="2519">
        <v>2</v>
      </c>
      <c r="K53" s="3627" t="s">
        <v>1356</v>
      </c>
      <c r="L53" s="3627"/>
      <c r="M53" s="2521">
        <f t="shared" ref="M53:O54" ca="1" si="0">D55</f>
        <v>64</v>
      </c>
      <c r="N53" s="2519" t="str">
        <f t="shared" si="0"/>
        <v>销售额×税（费）率</v>
      </c>
      <c r="O53" s="2522">
        <f t="shared" si="0"/>
        <v>5.0000000000000001E-4</v>
      </c>
    </row>
    <row r="54" spans="1:35" ht="12" customHeight="1">
      <c r="A54" s="2333" t="s">
        <v>1357</v>
      </c>
      <c r="B54" s="3651" t="s">
        <v>2291</v>
      </c>
      <c r="C54" s="3652"/>
      <c r="D54" s="1087">
        <f ca="1">C68</f>
        <v>6688</v>
      </c>
      <c r="E54" s="327" t="s">
        <v>1358</v>
      </c>
      <c r="F54" s="2550">
        <f>'数据-取费表'!B41</f>
        <v>5.5000000000000007E-2</v>
      </c>
      <c r="G54" s="2551"/>
      <c r="H54" s="2552"/>
      <c r="I54" s="1805"/>
      <c r="J54" s="2519">
        <v>3</v>
      </c>
      <c r="K54" s="3627" t="s">
        <v>1359</v>
      </c>
      <c r="L54" s="3627"/>
      <c r="M54" s="2521">
        <f t="shared" ca="1" si="0"/>
        <v>18919</v>
      </c>
      <c r="N54" s="2519" t="str">
        <f t="shared" si="0"/>
        <v>增值额×税（费）率</v>
      </c>
      <c r="O54" s="2523" t="str">
        <f t="shared" si="0"/>
        <v>——</v>
      </c>
    </row>
    <row r="55" spans="1:35" ht="24" customHeight="1">
      <c r="A55" s="3687" t="s">
        <v>1360</v>
      </c>
      <c r="B55" s="3665"/>
      <c r="C55" s="3665"/>
      <c r="D55" s="2322">
        <f ca="1">IF(H55="个人住宅",0,ROUND(D45*I55,0))</f>
        <v>64</v>
      </c>
      <c r="E55" s="2332" t="s">
        <v>1361</v>
      </c>
      <c r="F55" s="2550">
        <f>IF(H55="正常",I55,"免征")</f>
        <v>5.0000000000000001E-4</v>
      </c>
      <c r="G55" s="2551"/>
      <c r="H55" s="2546" t="s">
        <v>3548</v>
      </c>
      <c r="I55" s="165">
        <f>'数据-取费表'!B49</f>
        <v>5.0000000000000001E-4</v>
      </c>
      <c r="J55" s="2519" t="str">
        <f>IF(H59="非个人房产","",4)</f>
        <v/>
      </c>
      <c r="K55" s="3627" t="str">
        <f>IF(H59="非个人房产","——","个人所得税")</f>
        <v>——</v>
      </c>
      <c r="L55" s="3627"/>
      <c r="M55" s="2524" t="str">
        <f>D59</f>
        <v>——</v>
      </c>
      <c r="N55" s="2038" t="str">
        <f>E59</f>
        <v>——</v>
      </c>
      <c r="O55" s="2525" t="str">
        <f>F59</f>
        <v>——</v>
      </c>
    </row>
    <row r="56" spans="1:35" ht="24.75">
      <c r="A56" s="3687" t="s">
        <v>1362</v>
      </c>
      <c r="B56" s="3665"/>
      <c r="C56" s="3665"/>
      <c r="D56" s="2322">
        <f ca="1">IF(H56="个人住宅",D57,D58)</f>
        <v>18919</v>
      </c>
      <c r="E56" s="2332" t="s">
        <v>1363</v>
      </c>
      <c r="F56" s="2550" t="str">
        <f>IF(H56="正常",F58,"免征")</f>
        <v>——</v>
      </c>
      <c r="G56" s="2553" t="s">
        <v>1364</v>
      </c>
      <c r="H56" s="2554" t="s">
        <v>3548</v>
      </c>
      <c r="I56" s="1806"/>
      <c r="J56" s="2519" t="str">
        <f>IF(项目基本情况!K6="上海银行",IF(J55="",4,J55+1),"")</f>
        <v/>
      </c>
      <c r="K56" s="3608" t="str">
        <f>IF(项目基本情况!K6="上海银行","其他处置费用","")</f>
        <v/>
      </c>
      <c r="L56" s="3609"/>
      <c r="M56" s="2521" t="str">
        <f>IF(项目基本情况!K6="上海银行",M69,"")</f>
        <v/>
      </c>
      <c r="N56" s="3608" t="str">
        <f>IF(项目基本情况!K6="上海银行","包含处置中涉及的律师、诉讼、拍卖、评估等费用","")</f>
        <v/>
      </c>
      <c r="O56" s="3611"/>
    </row>
    <row r="57" spans="1:35" ht="12.75">
      <c r="A57" s="2333" t="s">
        <v>1340</v>
      </c>
      <c r="B57" s="3651" t="s">
        <v>1365</v>
      </c>
      <c r="C57" s="3652"/>
      <c r="D57" s="1588">
        <v>0</v>
      </c>
      <c r="E57" s="324" t="s">
        <v>1342</v>
      </c>
      <c r="F57" s="302"/>
      <c r="G57" s="2551"/>
      <c r="H57" s="2555"/>
      <c r="I57" s="1806"/>
      <c r="J57" s="3627">
        <f>IF(AND(J55="",J56=""),4,IF(项目基本情况!K6="上海银行",结果表!J56+1,结果表!J55+1))</f>
        <v>4</v>
      </c>
      <c r="K57" s="3627" t="s">
        <v>1366</v>
      </c>
      <c r="L57" s="2526" t="s">
        <v>1367</v>
      </c>
      <c r="M57" s="2527"/>
      <c r="N57" s="2528">
        <f ca="1">SUMIF(M52:M56,"&lt;9e307")</f>
        <v>25671</v>
      </c>
      <c r="O57" s="2529"/>
      <c r="P57" s="2685">
        <f ca="1">N57/M49</f>
        <v>0.20104788308820074</v>
      </c>
    </row>
    <row r="58" spans="1:35" ht="24.75">
      <c r="A58" s="2333" t="s">
        <v>1351</v>
      </c>
      <c r="B58" s="3651" t="s">
        <v>1368</v>
      </c>
      <c r="C58" s="3650"/>
      <c r="D58" s="2322">
        <f ca="1">IF(H58="转让取得",C81,C97)</f>
        <v>18919</v>
      </c>
      <c r="E58" s="2332" t="s">
        <v>1363</v>
      </c>
      <c r="F58" s="302" t="s">
        <v>28</v>
      </c>
      <c r="G58" s="2551"/>
      <c r="H58" s="2554" t="s">
        <v>3549</v>
      </c>
      <c r="I58" s="1806"/>
      <c r="J58" s="3627"/>
      <c r="K58" s="3627"/>
      <c r="L58" s="2526" t="s">
        <v>1369</v>
      </c>
      <c r="M58" s="2530"/>
      <c r="N58" s="2531" t="str">
        <f ca="1">NUMBERSTRING(INT(N57*10000),2)&amp;"元整"</f>
        <v>贰亿伍仟陆佰柒拾壹万元整</v>
      </c>
      <c r="O58" s="2532"/>
    </row>
    <row r="59" spans="1:35" ht="24.75" thickBot="1">
      <c r="A59" s="3631" t="s">
        <v>1370</v>
      </c>
      <c r="B59" s="3632"/>
      <c r="C59" s="3632"/>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1364</v>
      </c>
      <c r="H59" s="2312" t="s">
        <v>3550</v>
      </c>
      <c r="I59" s="2311" t="s">
        <v>2136</v>
      </c>
      <c r="J59" s="3629">
        <f>J57+1</f>
        <v>5</v>
      </c>
      <c r="K59" s="3627" t="s">
        <v>1371</v>
      </c>
      <c r="L59" s="2519" t="s">
        <v>1367</v>
      </c>
      <c r="M59" s="2533"/>
      <c r="N59" s="2534">
        <f ca="1">M49-N57</f>
        <v>102015</v>
      </c>
      <c r="O59" s="2535"/>
    </row>
    <row r="60" spans="1:35" ht="12" customHeight="1">
      <c r="A60" s="1807"/>
      <c r="B60" s="1745"/>
      <c r="C60" s="1745"/>
      <c r="D60" s="1745"/>
      <c r="E60" s="1576"/>
      <c r="F60" s="1806"/>
      <c r="G60" s="1806"/>
      <c r="H60" s="1808"/>
      <c r="I60" s="129"/>
      <c r="J60" s="3630"/>
      <c r="K60" s="3627"/>
      <c r="L60" s="2526" t="s">
        <v>1369</v>
      </c>
      <c r="M60" s="2530"/>
      <c r="N60" s="2531" t="str">
        <f ca="1">NUMBERSTRING(INT(N59*10000),2)&amp;"元整"</f>
        <v>壹拾亿贰仟零壹拾伍万元整</v>
      </c>
      <c r="O60" s="2532"/>
    </row>
    <row r="61" spans="1:35" ht="13.5" thickBot="1">
      <c r="A61" s="3686" t="s">
        <v>1372</v>
      </c>
      <c r="B61" s="3686"/>
      <c r="C61" s="3686"/>
      <c r="D61" s="3686"/>
      <c r="E61" s="3686"/>
      <c r="F61" s="1806"/>
      <c r="G61" s="1806"/>
      <c r="H61" s="1808"/>
      <c r="I61" s="129"/>
      <c r="J61" s="2519">
        <f>J59+1</f>
        <v>6</v>
      </c>
      <c r="K61" s="3627" t="s">
        <v>1373</v>
      </c>
      <c r="L61" s="3627"/>
      <c r="M61" s="2536"/>
      <c r="N61" s="2537">
        <f ca="1">ROUND(N59*10000/'数据-汇总表'!E3,0)</f>
        <v>17166</v>
      </c>
      <c r="O61" s="2538"/>
    </row>
    <row r="62" spans="1:35" ht="12.75">
      <c r="A62" s="3646" t="s">
        <v>1374</v>
      </c>
      <c r="B62" s="3647"/>
      <c r="C62" s="2019"/>
      <c r="D62" s="2019" t="s">
        <v>1375</v>
      </c>
      <c r="E62" s="166" t="s">
        <v>1376</v>
      </c>
      <c r="F62" s="1806"/>
      <c r="G62" s="1806"/>
      <c r="H62" s="1808"/>
      <c r="I62" s="129"/>
    </row>
    <row r="63" spans="1:35" ht="12.75">
      <c r="A63" s="173" t="s">
        <v>330</v>
      </c>
      <c r="B63" s="167" t="s">
        <v>1377</v>
      </c>
      <c r="C63" s="2560">
        <f ca="1">ROUND((C64+C65)/(1+'数据-取费表'!C42),0)</f>
        <v>121606</v>
      </c>
      <c r="D63" s="167"/>
      <c r="E63" s="168"/>
      <c r="F63" s="1806"/>
      <c r="G63" s="1806"/>
      <c r="H63" s="1808"/>
      <c r="I63" s="129"/>
      <c r="J63" s="3610" t="s">
        <v>1378</v>
      </c>
      <c r="K63" s="1330" t="s">
        <v>1379</v>
      </c>
      <c r="L63" s="1330">
        <f ca="1">IF(M49&gt;10000,M49*0.5%,IF(AND(M49&gt;1000,M49&lt;=10000),M49*1%,IF(AND(M49&gt;100,M49&lt;=1000),M49*3%,IF(AND(M49&gt;10,M49&lt;=100),M49*5%,M49*8%))))</f>
        <v>638.43000000000006</v>
      </c>
      <c r="M63" s="302">
        <f ca="1">ROUND(L63,1)</f>
        <v>638.4</v>
      </c>
      <c r="N63" s="2539"/>
      <c r="Z63" s="1750"/>
      <c r="AI63" s="1751"/>
    </row>
    <row r="64" spans="1:35" ht="14.25" customHeight="1">
      <c r="A64" s="169" t="s">
        <v>325</v>
      </c>
      <c r="B64" s="170" t="s">
        <v>1380</v>
      </c>
      <c r="C64" s="2561">
        <f ca="1">D45</f>
        <v>127686</v>
      </c>
      <c r="D64" s="170" t="s">
        <v>26</v>
      </c>
      <c r="E64" s="172"/>
      <c r="F64" s="1806"/>
      <c r="G64" s="1806"/>
      <c r="H64" s="1808"/>
      <c r="I64" s="129"/>
      <c r="J64" s="3610"/>
      <c r="K64" s="1330" t="s">
        <v>1381</v>
      </c>
      <c r="L64" s="1330">
        <f ca="1">IF(M49&gt;2000,M49*0.5%,IF(AND(M49&gt;1000,M49&lt;=2000),M49*0.6%,IF(AND(M49&gt;500,M49&lt;=1000),M49*0.7%,IF(AND(M49&gt;200,M49&lt;=500),M49*0.8%,IF(AND(M49&gt;100,M49&lt;=200),M49*0.9%,IF(AND(M49&gt;50,M49&lt;=100),M49*1%,IF(AND(M49&gt;20,M49&lt;=50),M49*1.5%,IF(AND(M49&gt;10,M49&lt;=20),M49*2%,IF(AND(M49&gt;1,M49&lt;=10),M49*2.5%)))))))))</f>
        <v>638.43000000000006</v>
      </c>
      <c r="M64" s="302">
        <f t="shared" ref="M64:M65" ca="1" si="1">ROUND(L64,1)</f>
        <v>638.4</v>
      </c>
      <c r="N64" s="2540" t="s">
        <v>1382</v>
      </c>
      <c r="Z64" s="1750"/>
      <c r="AI64" s="1751"/>
    </row>
    <row r="65" spans="1:35" ht="14.25" customHeight="1">
      <c r="A65" s="169" t="s">
        <v>326</v>
      </c>
      <c r="B65" s="170" t="s">
        <v>1383</v>
      </c>
      <c r="C65" s="2562"/>
      <c r="D65" s="170"/>
      <c r="E65" s="172"/>
      <c r="F65" s="1806"/>
      <c r="G65" s="1806"/>
      <c r="H65" s="1808"/>
      <c r="I65" s="129"/>
      <c r="J65" s="3610"/>
      <c r="K65" s="1330" t="s">
        <v>1384</v>
      </c>
      <c r="L65" s="1330">
        <f ca="1">IF(M49&gt;1000,M49*0.1%,IF(AND(M49&gt;500,M49&lt;=1000),M49*0.5%,IF(AND(M49&gt;50,M49&lt;=500),M49*1%,IF(AND(M49&gt;1,M49&lt;=50),M49*1.5%))))</f>
        <v>127.68600000000001</v>
      </c>
      <c r="M65" s="302">
        <f t="shared" ca="1" si="1"/>
        <v>127.7</v>
      </c>
      <c r="N65" s="2540" t="s">
        <v>1382</v>
      </c>
      <c r="Z65" s="1750"/>
      <c r="AI65" s="1751"/>
    </row>
    <row r="66" spans="1:35" ht="14.25" customHeight="1">
      <c r="A66" s="173" t="s">
        <v>327</v>
      </c>
      <c r="B66" s="174" t="s">
        <v>1385</v>
      </c>
      <c r="C66" s="2563"/>
      <c r="D66" s="174" t="s">
        <v>26</v>
      </c>
      <c r="E66" s="1336" t="s">
        <v>671</v>
      </c>
      <c r="F66" s="1806"/>
      <c r="G66" s="1806"/>
      <c r="H66" s="1808"/>
      <c r="I66" s="129"/>
      <c r="J66" s="3610"/>
      <c r="K66" s="1330" t="s">
        <v>1386</v>
      </c>
      <c r="L66" s="1330">
        <f ca="1">M49*0.5%</f>
        <v>638.43000000000006</v>
      </c>
      <c r="M66" s="302">
        <f ca="1">IF(L66&gt;0.5,0.5,ROUND(L66,0))</f>
        <v>0.5</v>
      </c>
      <c r="N66" s="2540" t="s">
        <v>1387</v>
      </c>
      <c r="Z66" s="1750"/>
      <c r="AI66" s="1751"/>
    </row>
    <row r="67" spans="1:35" ht="14.25" customHeight="1">
      <c r="A67" s="173" t="s">
        <v>328</v>
      </c>
      <c r="B67" s="174" t="s">
        <v>1388</v>
      </c>
      <c r="C67" s="2564">
        <f ca="1">C63-C66</f>
        <v>121606</v>
      </c>
      <c r="D67" s="170" t="s">
        <v>26</v>
      </c>
      <c r="E67" s="172"/>
      <c r="F67" s="1806"/>
      <c r="G67" s="1806"/>
      <c r="H67" s="1808"/>
      <c r="I67" s="129"/>
      <c r="J67" s="3610"/>
      <c r="K67" s="1330" t="s">
        <v>1389</v>
      </c>
      <c r="L67" s="1330">
        <f ca="1">IF(M49&gt;=10000,(8.25+(M49-10000)*0.01%),IF(AND(M49&gt;=8000,M49&lt;10000),(7.85+(M49-8000)*0.02%),IF(AND(M49&gt;=5000,M49&lt;8000),(6.65+(M49-5000)*0.04%),IF(AND(M49&gt;=2000,M49&lt;5000),(4.25+(PM49-2000)*0.08%),IF(AND(M49&gt;=1000,M49&lt;2000),(2.75+(M49-1000)*0.15%),IF(AND(M49&gt;=100,M49&lt;1000),(0.5+(M49-100)*0.25%),IF(AND(M49&gt;0,M49&lt;100),M49*0.5%)))))))</f>
        <v>20.018599999999999</v>
      </c>
      <c r="M67" s="302">
        <f ca="1">ROUND(L67*0.9,1)</f>
        <v>18</v>
      </c>
      <c r="N67" s="2539"/>
      <c r="Z67" s="1750"/>
      <c r="AI67" s="1751"/>
    </row>
    <row r="68" spans="1:35" ht="14.25" customHeight="1" thickBot="1">
      <c r="A68" s="176" t="s">
        <v>329</v>
      </c>
      <c r="B68" s="177" t="s">
        <v>1390</v>
      </c>
      <c r="C68" s="2565">
        <f ca="1">IF(C67&lt;=0,0,ROUND(C67*D68,0))</f>
        <v>6688</v>
      </c>
      <c r="D68" s="2566">
        <f>'数据-取费表'!B41</f>
        <v>5.5000000000000007E-2</v>
      </c>
      <c r="E68" s="178"/>
      <c r="F68" s="1806"/>
      <c r="G68" s="1806"/>
      <c r="H68" s="1808"/>
      <c r="I68" s="129"/>
      <c r="J68" s="3610"/>
      <c r="K68" s="1330" t="s">
        <v>1391</v>
      </c>
      <c r="L68" s="1330">
        <f ca="1">IF(M49&gt;10000,M49*0.5%,IF(AND(M49&gt;5000,M49&lt;=10000),M49*1%,IF(AND(M49&gt;1000,M49&lt;=5000),M49*2%,IF(AND(M49&gt;200,M49&lt;=1000),M49*3%,M49*5%))))</f>
        <v>638.43000000000006</v>
      </c>
      <c r="M68" s="302">
        <f ca="1">ROUND(L68,1)</f>
        <v>638.4</v>
      </c>
      <c r="N68" s="2539"/>
      <c r="Z68" s="1750"/>
      <c r="AI68" s="1751"/>
    </row>
    <row r="69" spans="1:35" s="1770" customFormat="1" ht="16.5" customHeight="1">
      <c r="A69" s="1809"/>
      <c r="B69" s="1810"/>
      <c r="C69" s="1811"/>
      <c r="D69" s="1812"/>
      <c r="E69" s="1813"/>
      <c r="F69" s="1576"/>
      <c r="G69" s="1576"/>
      <c r="H69" s="1575"/>
      <c r="I69" s="1745"/>
      <c r="J69" s="3610"/>
      <c r="K69" s="1330" t="s">
        <v>1392</v>
      </c>
      <c r="L69" s="1330"/>
      <c r="M69" s="302">
        <f ca="1">ROUND(SUM(M63:M68),0)</f>
        <v>2061</v>
      </c>
      <c r="N69" s="2541">
        <f ca="1">M69/M49</f>
        <v>1.6141158780132513E-2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54" t="s">
        <v>1393</v>
      </c>
      <c r="B70" s="3655"/>
      <c r="C70" s="3655"/>
      <c r="D70" s="3655"/>
      <c r="E70" s="3655"/>
      <c r="F70" s="3655"/>
      <c r="G70" s="3655"/>
      <c r="H70" s="3655"/>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6" t="s">
        <v>1374</v>
      </c>
      <c r="B71" s="3647"/>
      <c r="C71" s="2019"/>
      <c r="D71" s="2019" t="s">
        <v>1375</v>
      </c>
      <c r="E71" s="179" t="s">
        <v>1376</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4">
        <f ca="1">ROUND(D45/(1+'数据-取费表'!C42),0)</f>
        <v>121606</v>
      </c>
      <c r="D72" s="170" t="s">
        <v>26</v>
      </c>
      <c r="E72" s="2329"/>
      <c r="F72" s="2328"/>
      <c r="G72" s="2328"/>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4">
        <f ca="1">C74+C78</f>
        <v>608</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7"/>
      <c r="D75" s="170" t="s">
        <v>26</v>
      </c>
      <c r="E75" s="184" t="s">
        <v>1398</v>
      </c>
      <c r="F75" s="2568"/>
      <c r="G75" s="184" t="s">
        <v>1399</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0">
        <v>0.05</v>
      </c>
      <c r="E76" s="3651" t="s">
        <v>1401</v>
      </c>
      <c r="F76" s="3650"/>
      <c r="G76" s="3650"/>
      <c r="H76" s="365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1">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2">
        <f ca="1">ROUND(D45*D78/(1+'数据-取费表'!C42),0)</f>
        <v>608</v>
      </c>
      <c r="D78" s="2573">
        <f>'数据-取费表'!B43</f>
        <v>5.000000000000001E-3</v>
      </c>
      <c r="E78" s="3643" t="s">
        <v>1405</v>
      </c>
      <c r="F78" s="3644"/>
      <c r="G78" s="3644"/>
      <c r="H78" s="364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4">
        <f ca="1">C72-C73</f>
        <v>120998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4">
        <f ca="1">IF(C79&lt;=0,0,C79/C73)</f>
        <v>199.00986842105263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5">
        <f ca="1">ROUND(IF(C79&lt;=0,0,IF(C80&gt;=200%,C79*60%-C73*35%,IF(C80&gt;=100%,C79*50%-C73*15%,IF(C80&gt;=50%,C79*40%-C73*5%,IF(C80&lt;50%,C79*30%,0))))),0)</f>
        <v>72386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4" t="s">
        <v>1409</v>
      </c>
      <c r="B83" s="3655"/>
      <c r="C83" s="3655"/>
      <c r="D83" s="3655"/>
      <c r="E83" s="3655"/>
      <c r="F83" s="3655"/>
      <c r="G83" s="3655"/>
      <c r="H83" s="365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6" t="s">
        <v>1374</v>
      </c>
      <c r="B84" s="3647"/>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4">
        <f ca="1">ROUND(D45/(1+'数据-取费表'!C42),0)</f>
        <v>121606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4">
        <f ca="1">IF(H88="仅含出让金",C87+C90+C91+C92+C93+C94,C87+C91+C92+C93+C94)</f>
        <v>66051.60658492599</v>
      </c>
      <c r="D86" s="2577"/>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2">
        <f>C88+C89</f>
        <v>2487.4086199999997</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78">
        <f>(440*'数据-汇总表'!F19+150*'数据-汇总表'!G19+150*'数据-汇总表'!G20)/10000</f>
        <v>2413.4086199999997</v>
      </c>
      <c r="D88" s="2573"/>
      <c r="E88" s="193" t="s">
        <v>1412</v>
      </c>
      <c r="F88" s="2325"/>
      <c r="G88" s="194" t="s">
        <v>1413</v>
      </c>
      <c r="H88" s="1822" t="s">
        <v>3546</v>
      </c>
      <c r="I88" s="1819"/>
      <c r="J88" s="2517"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2">
        <f>ROUND(C88*D89,0)</f>
        <v>74</v>
      </c>
      <c r="D89" s="2573">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78">
        <f>66690694/10000/('数据-基础表'!B3-'数据-基础表'!AT31)*'数据-汇总表'!E3</f>
        <v>1066.1979649259968</v>
      </c>
      <c r="D90" s="2573"/>
      <c r="E90" s="193" t="str">
        <f>IF(H88="-","土地取得成本中已包含该笔费用"," ")</f>
        <v xml:space="preserve"> </v>
      </c>
      <c r="F90" s="2325"/>
      <c r="G90" s="3612" t="s">
        <v>2128</v>
      </c>
      <c r="H90" s="3613"/>
      <c r="I90" s="1819"/>
      <c r="J90" s="2517"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2">
        <f ca="1">IF(H91="——",成本法!C33,I91)</f>
        <v>46788</v>
      </c>
      <c r="D91" s="2573"/>
      <c r="E91" s="3643" t="s">
        <v>1418</v>
      </c>
      <c r="F91" s="3644"/>
      <c r="G91" s="3644"/>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2">
        <f ca="1">ROUND((C87+C90+C91)*D92,0)</f>
        <v>5034</v>
      </c>
      <c r="D92" s="2579">
        <v>0.1</v>
      </c>
      <c r="E92" s="3643" t="s">
        <v>1421</v>
      </c>
      <c r="F92" s="3644"/>
      <c r="G92" s="3644"/>
      <c r="H92" s="3645"/>
      <c r="I92" s="1819"/>
      <c r="J92" s="2518"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2">
        <f ca="1">ROUND(D45*D93/(1+'数据-取费表'!C42),0)</f>
        <v>608</v>
      </c>
      <c r="D93" s="2573">
        <f>'数据-取费表'!B43</f>
        <v>5.000000000000001E-3</v>
      </c>
      <c r="E93" s="3643" t="s">
        <v>1405</v>
      </c>
      <c r="F93" s="3644"/>
      <c r="G93" s="3644"/>
      <c r="H93" s="364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78">
        <f ca="1">ROUND((C87+C90+C91)*D94,0)</f>
        <v>10068</v>
      </c>
      <c r="D94" s="2573">
        <v>0.2</v>
      </c>
      <c r="E94" s="3688" t="s">
        <v>1425</v>
      </c>
      <c r="F94" s="3689"/>
      <c r="G94" s="3689"/>
      <c r="H94" s="369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4">
        <f ca="1">ROUND(C85-C86,0)</f>
        <v>55554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4">
        <f ca="1">IF(C95&lt;=0,0,C95/C86)</f>
        <v>0.84106962528718099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5">
        <f ca="1">ROUND(IF(C95&lt;=0,0,IF(C96&gt;=200%,C95*60%-C86*35%,IF(C96&gt;=100%,C95*50%-C86*15%,IF(C96&gt;=50%,C95*40%-C86*5%,IF(C96&lt;50%,C95*30%,0))))),0)</f>
        <v>18919</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93" t="s">
        <v>1427</v>
      </c>
      <c r="B100" s="3594"/>
      <c r="C100" s="3594"/>
      <c r="D100" s="3628"/>
      <c r="E100" s="3594" t="s">
        <v>1428</v>
      </c>
      <c r="F100" s="3594"/>
      <c r="G100" s="3594"/>
      <c r="H100" s="3628"/>
      <c r="I100" s="129"/>
    </row>
    <row r="101" spans="1:35" ht="18.75" customHeight="1">
      <c r="A101" s="3636" t="s">
        <v>1429</v>
      </c>
      <c r="B101" s="3637"/>
      <c r="C101" s="2581" t="str">
        <f>C4</f>
        <v>成本法</v>
      </c>
      <c r="D101" s="2582" t="str">
        <f>D4</f>
        <v>假设开发法</v>
      </c>
      <c r="E101" s="3606" t="s">
        <v>1430</v>
      </c>
      <c r="F101" s="3607"/>
      <c r="G101" s="1825" t="s">
        <v>1431</v>
      </c>
      <c r="H101" s="2591">
        <f ca="1">H118</f>
        <v>127686</v>
      </c>
      <c r="I101" s="129"/>
    </row>
    <row r="102" spans="1:35" ht="18.75" customHeight="1">
      <c r="A102" s="3638" t="s">
        <v>1432</v>
      </c>
      <c r="B102" s="2580" t="s">
        <v>1431</v>
      </c>
      <c r="C102" s="2581">
        <f ca="1">C19</f>
        <v>123336</v>
      </c>
      <c r="D102" s="2582">
        <f ca="1">D19</f>
        <v>132035</v>
      </c>
      <c r="E102" s="3606"/>
      <c r="F102" s="3607"/>
      <c r="G102" s="1825" t="s">
        <v>1433</v>
      </c>
      <c r="H102" s="2551">
        <f ca="1">I118</f>
        <v>21486</v>
      </c>
      <c r="I102" s="129"/>
    </row>
    <row r="103" spans="1:35" ht="42.75" customHeight="1">
      <c r="A103" s="3638"/>
      <c r="B103" s="2580" t="s">
        <v>1433</v>
      </c>
      <c r="C103" s="2583">
        <f ca="1">C20</f>
        <v>20754</v>
      </c>
      <c r="D103" s="2584">
        <f ca="1">D20</f>
        <v>22218</v>
      </c>
      <c r="E103" s="3599" t="s">
        <v>1434</v>
      </c>
      <c r="F103" s="3600"/>
      <c r="G103" s="1826" t="s">
        <v>1435</v>
      </c>
      <c r="H103" s="2591">
        <f>IF(D36="正常操作",H104+H105+H106,H105+H106)</f>
        <v>0</v>
      </c>
      <c r="I103" s="129"/>
    </row>
    <row r="104" spans="1:35" ht="18.75" customHeight="1">
      <c r="A104" s="3638" t="s">
        <v>1436</v>
      </c>
      <c r="B104" s="2585" t="s">
        <v>1431</v>
      </c>
      <c r="C104" s="2586">
        <f ca="1">H118</f>
        <v>127686</v>
      </c>
      <c r="D104" s="2587"/>
      <c r="E104" s="1672" t="s">
        <v>1437</v>
      </c>
      <c r="F104" s="1664"/>
      <c r="G104" s="1826" t="s">
        <v>1435</v>
      </c>
      <c r="H104" s="2592">
        <f>IF(D36="同一抵押权人同一抵押物续贷",C36&amp;"（续贷，未扣减，详见特别提示）",C36)</f>
        <v>0</v>
      </c>
      <c r="I104" s="129"/>
    </row>
    <row r="105" spans="1:35" ht="18.75" customHeight="1" thickBot="1">
      <c r="A105" s="3648"/>
      <c r="B105" s="2588" t="s">
        <v>1433</v>
      </c>
      <c r="C105" s="2589">
        <f ca="1">I118</f>
        <v>21486</v>
      </c>
      <c r="D105" s="2590"/>
      <c r="E105" s="1672" t="s">
        <v>1438</v>
      </c>
      <c r="F105" s="1664"/>
      <c r="G105" s="1826" t="s">
        <v>1435</v>
      </c>
      <c r="H105" s="2593">
        <f>C37</f>
        <v>0</v>
      </c>
      <c r="I105" s="129"/>
    </row>
    <row r="106" spans="1:35" ht="18.75" customHeight="1">
      <c r="A106" s="1745" t="s">
        <v>1439</v>
      </c>
      <c r="B106" s="1745"/>
      <c r="C106" s="1745"/>
      <c r="D106" s="1745"/>
      <c r="E106" s="1827" t="s">
        <v>1440</v>
      </c>
      <c r="F106" s="1664"/>
      <c r="G106" s="1826" t="s">
        <v>1435</v>
      </c>
      <c r="H106" s="2593">
        <f>C38</f>
        <v>0</v>
      </c>
      <c r="I106" s="129"/>
    </row>
    <row r="107" spans="1:35" ht="18.75" customHeight="1">
      <c r="A107" s="129"/>
      <c r="B107" s="129"/>
      <c r="C107" s="129"/>
      <c r="D107" s="129"/>
      <c r="E107" s="3639" t="str">
        <f>IF(项目基本情况!E8="已注销","——","3.房地产抵押价值")</f>
        <v>3.房地产抵押价值</v>
      </c>
      <c r="F107" s="3607"/>
      <c r="G107" s="1825" t="s">
        <v>1431</v>
      </c>
      <c r="H107" s="2591">
        <f ca="1">IF(E107="——","——",H101-H103)</f>
        <v>127686</v>
      </c>
      <c r="I107" s="129"/>
    </row>
    <row r="108" spans="1:35" ht="18.75" customHeight="1">
      <c r="A108" s="129"/>
      <c r="B108" s="129"/>
      <c r="C108" s="129"/>
      <c r="D108" s="129"/>
      <c r="E108" s="3639"/>
      <c r="F108" s="3607"/>
      <c r="G108" s="1825" t="s">
        <v>1433</v>
      </c>
      <c r="H108" s="2551">
        <f ca="1">ROUND(H107*10000/'数据-汇总表'!E3,0)</f>
        <v>21486</v>
      </c>
      <c r="I108" s="129"/>
    </row>
    <row r="109" spans="1:35" ht="18.75" customHeight="1">
      <c r="A109" s="129"/>
      <c r="B109" s="129"/>
      <c r="C109" s="129"/>
      <c r="D109" s="129"/>
      <c r="E109" s="3639" t="str">
        <f>IF(项目基本情况!E8="已注销及未注销","4.抵押担保权已注销时的房地产抵押价值",IF(项目基本情况!E8="已注销","3.抵押担保权已注销时的房地产抵押价值","——"))</f>
        <v>——</v>
      </c>
      <c r="F109" s="3607"/>
      <c r="G109" s="1825" t="s">
        <v>1431</v>
      </c>
      <c r="H109" s="2594" t="str">
        <f>IF(E109="——","——",H101-H105-H106)</f>
        <v>——</v>
      </c>
      <c r="I109" s="129"/>
    </row>
    <row r="110" spans="1:35" ht="18.75" customHeight="1">
      <c r="A110" s="129"/>
      <c r="B110" s="129"/>
      <c r="C110" s="129"/>
      <c r="D110" s="129"/>
      <c r="E110" s="3639"/>
      <c r="F110" s="3607"/>
      <c r="G110" s="1825" t="s">
        <v>1433</v>
      </c>
      <c r="H110" s="2551"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26"/>
      <c r="G111" s="1825" t="s">
        <v>1431</v>
      </c>
      <c r="H111" s="2591" t="str">
        <f>IF(E111="——","——",N59)</f>
        <v>——</v>
      </c>
      <c r="I111" s="129"/>
    </row>
    <row r="112" spans="1:35" ht="18.75" customHeight="1" thickBot="1">
      <c r="A112" s="129"/>
      <c r="B112" s="129"/>
      <c r="C112" s="129"/>
      <c r="D112" s="129"/>
      <c r="E112" s="3641"/>
      <c r="F112" s="3642"/>
      <c r="G112" s="1828" t="s">
        <v>1433</v>
      </c>
      <c r="H112" s="2595" t="str">
        <f>IF(E111="——","——",N61)</f>
        <v>——</v>
      </c>
      <c r="I112" s="129"/>
    </row>
    <row r="113" spans="1:27" ht="18.75" customHeight="1">
      <c r="A113" s="129"/>
      <c r="B113" s="129"/>
      <c r="C113" s="129"/>
      <c r="D113" s="129"/>
      <c r="E113" s="3649" t="s">
        <v>1439</v>
      </c>
      <c r="F113" s="3649"/>
      <c r="G113" s="3649"/>
      <c r="H113" s="3649"/>
      <c r="I113" s="129"/>
    </row>
    <row r="114" spans="1:27" ht="3.75" customHeight="1">
      <c r="A114" s="1745"/>
      <c r="B114" s="1745"/>
      <c r="C114" s="1745"/>
      <c r="D114" s="1745"/>
      <c r="E114" s="1807"/>
      <c r="F114" s="1807"/>
      <c r="G114" s="1807"/>
      <c r="H114" s="1807"/>
      <c r="I114" s="1745"/>
    </row>
    <row r="115" spans="1:27" ht="18.75" customHeight="1">
      <c r="A115" s="3657" t="s">
        <v>1441</v>
      </c>
      <c r="B115" s="3658"/>
      <c r="C115" s="3658"/>
      <c r="D115" s="3658"/>
      <c r="E115" s="3658"/>
      <c r="F115" s="3658"/>
      <c r="G115" s="3658"/>
      <c r="H115" s="3658"/>
      <c r="I115" s="3659"/>
    </row>
    <row r="116" spans="1:27" ht="27" customHeight="1">
      <c r="A116" s="3614" t="s">
        <v>1442</v>
      </c>
      <c r="B116" s="3618" t="s">
        <v>1443</v>
      </c>
      <c r="C116" s="3618" t="s">
        <v>1444</v>
      </c>
      <c r="D116" s="3624" t="s">
        <v>1445</v>
      </c>
      <c r="E116" s="3625"/>
      <c r="F116" s="3656" t="s">
        <v>1446</v>
      </c>
      <c r="G116" s="3656"/>
      <c r="H116" s="3614" t="s">
        <v>1447</v>
      </c>
      <c r="I116" s="3614"/>
    </row>
    <row r="117" spans="1:27" ht="18.75" customHeight="1">
      <c r="A117" s="3614"/>
      <c r="B117" s="3619"/>
      <c r="C117" s="3619"/>
      <c r="D117" s="2327" t="s">
        <v>1448</v>
      </c>
      <c r="E117" s="2327" t="s">
        <v>1449</v>
      </c>
      <c r="F117" s="2327" t="s">
        <v>1448</v>
      </c>
      <c r="G117" s="2327" t="s">
        <v>1450</v>
      </c>
      <c r="H117" s="2327" t="s">
        <v>1448</v>
      </c>
      <c r="I117" s="2327" t="s">
        <v>1450</v>
      </c>
    </row>
    <row r="118" spans="1:27" ht="24.75" customHeight="1">
      <c r="A118" s="2596" t="str">
        <f>项目基本情况!S2</f>
        <v>北京市通州区宋庄镇尹各庄村新建科研用地房地产</v>
      </c>
      <c r="B118" s="2327">
        <f>M18</f>
        <v>59427.91</v>
      </c>
      <c r="C118" s="2327">
        <f>M19</f>
        <v>20455.650000000001</v>
      </c>
      <c r="D118" s="2327">
        <f ca="1">ROUND(IF(D32="总价",C34,E118*B118/10000),0)</f>
        <v>55543</v>
      </c>
      <c r="E118" s="2327">
        <f ca="1">ROUND(IF(C33="自定义",IF(D32="楼面单价",C34,D118*10000/B118),I118-G118),0)</f>
        <v>9346</v>
      </c>
      <c r="F118" s="2327">
        <f ca="1">ROUND(IF(D32="总价",C35,G118*B118/10000),0)</f>
        <v>72143</v>
      </c>
      <c r="G118" s="2327">
        <f ca="1">ROUND(IF(D32="楼面单价",C35,F118*10000/B118),0)</f>
        <v>12140</v>
      </c>
      <c r="H118" s="2327">
        <f ca="1">ROUND(IF(D32="总价",C32,I118*B118/10000),0)</f>
        <v>127686</v>
      </c>
      <c r="I118" s="2327">
        <f ca="1">ROUND(IF(D32="楼面单价",C32,H118*10000/B118),0)</f>
        <v>21486</v>
      </c>
    </row>
    <row r="119" spans="1:27" ht="18.75" customHeight="1">
      <c r="A119" s="3614" t="s">
        <v>1451</v>
      </c>
      <c r="B119" s="3614"/>
      <c r="C119" s="3614"/>
      <c r="D119" s="3620" t="str">
        <f ca="1">NUMBERSTRING(INT(D118*10000),2)&amp;"元整"</f>
        <v>伍亿伍仟伍佰肆拾叁万元整</v>
      </c>
      <c r="E119" s="3621"/>
      <c r="F119" s="3620" t="str">
        <f ca="1">NUMBERSTRING(INT(F118*10000),2)&amp;"元整"</f>
        <v>柒亿贰仟壹佰肆拾叁万元整</v>
      </c>
      <c r="G119" s="3621"/>
      <c r="H119" s="3620" t="str">
        <f ca="1">NUMBERSTRING(INT(H118*10000),2)&amp;"元整"</f>
        <v>壹拾贰亿柒仟陆佰捌拾陆万元整</v>
      </c>
      <c r="I119" s="3621"/>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0" t="s">
        <v>1451</v>
      </c>
      <c r="B121" s="3622"/>
      <c r="C121" s="3621"/>
      <c r="D121" s="3620" t="str">
        <f>IF(D120=0,"零元整",NUMBERSTRING(INT(D120*10000),2)&amp;"元整")</f>
        <v>零元整</v>
      </c>
      <c r="E121" s="3622"/>
      <c r="F121" s="3622"/>
      <c r="G121" s="3622"/>
      <c r="H121" s="3622"/>
      <c r="I121" s="3621"/>
      <c r="AA121" s="725"/>
    </row>
    <row r="122" spans="1:27" ht="18.75" customHeight="1">
      <c r="A122" s="3626" t="str">
        <f>IF(项目基本情况!B9="房地产市场价值","",MID(E107,3,LEN(E107)-2))</f>
        <v>房地产抵押价值</v>
      </c>
      <c r="B122" s="3626"/>
      <c r="C122" s="3626"/>
      <c r="D122" s="3615">
        <f ca="1">H107</f>
        <v>127686</v>
      </c>
      <c r="E122" s="3616"/>
      <c r="F122" s="3616"/>
      <c r="G122" s="3616"/>
      <c r="H122" s="3616"/>
      <c r="I122" s="3617"/>
      <c r="AA122" s="725"/>
    </row>
    <row r="123" spans="1:27" ht="18.75" customHeight="1">
      <c r="A123" s="3614" t="s">
        <v>1451</v>
      </c>
      <c r="B123" s="3614"/>
      <c r="C123" s="3614"/>
      <c r="D123" s="3620" t="str">
        <f ca="1">NUMBERSTRING(INT(D122*10000),2)&amp;"元整"</f>
        <v>壹拾贰亿柒仟陆佰捌拾陆万元整</v>
      </c>
      <c r="E123" s="3622"/>
      <c r="F123" s="3622"/>
      <c r="G123" s="3622"/>
      <c r="H123" s="3622"/>
      <c r="I123" s="3621"/>
      <c r="AA123" s="725"/>
    </row>
    <row r="124" spans="1:27" ht="18.75" customHeight="1">
      <c r="A124" s="3626" t="str">
        <f>IF(项目基本情况!B9="房地产市场价值","",MID(E109,3,LEN(E109)-2))</f>
        <v/>
      </c>
      <c r="B124" s="3626"/>
      <c r="C124" s="3626"/>
      <c r="D124" s="3615" t="str">
        <f>H109</f>
        <v>——</v>
      </c>
      <c r="E124" s="3616"/>
      <c r="F124" s="3616"/>
      <c r="G124" s="3616"/>
      <c r="H124" s="3616"/>
      <c r="I124" s="3617"/>
      <c r="AA124" s="725"/>
    </row>
    <row r="125" spans="1:27" ht="18.75" customHeight="1">
      <c r="A125" s="3614" t="s">
        <v>1451</v>
      </c>
      <c r="B125" s="3614"/>
      <c r="C125" s="3614"/>
      <c r="D125" s="3620" t="e">
        <f>NUMBERSTRING(INT(D124*10000),2)&amp;"元整"</f>
        <v>#VALUE!</v>
      </c>
      <c r="E125" s="3622"/>
      <c r="F125" s="3622"/>
      <c r="G125" s="3622"/>
      <c r="H125" s="3622"/>
      <c r="I125" s="3621"/>
      <c r="AA125" s="725"/>
    </row>
    <row r="126" spans="1:27" ht="18.75" customHeight="1">
      <c r="A126" s="3626" t="str">
        <f>IF(项目基本情况!B9="房地产市场价值","",MID(E111,3,LEN(E111)-2))</f>
        <v/>
      </c>
      <c r="B126" s="3626"/>
      <c r="C126" s="3626"/>
      <c r="D126" s="3615" t="str">
        <f>H111</f>
        <v>——</v>
      </c>
      <c r="E126" s="3616"/>
      <c r="F126" s="3616"/>
      <c r="G126" s="3616"/>
      <c r="H126" s="3616"/>
      <c r="I126" s="3617"/>
      <c r="AA126" s="725"/>
    </row>
    <row r="127" spans="1:27" ht="18.75" customHeight="1">
      <c r="A127" s="3614" t="s">
        <v>1451</v>
      </c>
      <c r="B127" s="3614"/>
      <c r="C127" s="3614"/>
      <c r="D127" s="3620" t="e">
        <f>NUMBERSTRING(INT(D126*10000),2)&amp;"元整"</f>
        <v>#VALUE!</v>
      </c>
      <c r="E127" s="3622"/>
      <c r="F127" s="3622"/>
      <c r="G127" s="3622"/>
      <c r="H127" s="3622"/>
      <c r="I127" s="3621"/>
      <c r="AA127" s="725"/>
    </row>
    <row r="128" spans="1:27" ht="21.75" customHeight="1">
      <c r="A128" s="3623" t="s">
        <v>1452</v>
      </c>
      <c r="B128" s="3623"/>
      <c r="C128" s="3623"/>
      <c r="D128" s="3623"/>
      <c r="E128" s="3623"/>
      <c r="F128" s="3623"/>
      <c r="G128" s="3623"/>
      <c r="H128" s="3623"/>
      <c r="I128" s="3623"/>
      <c r="AA128" s="725"/>
    </row>
    <row r="129" spans="1:35" ht="21.75" customHeight="1">
      <c r="A129" s="1829" t="s">
        <v>1453</v>
      </c>
      <c r="B129" s="1830"/>
      <c r="C129" s="1831" t="s">
        <v>1454</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1455</v>
      </c>
      <c r="G135" s="1846"/>
      <c r="H135" s="1846"/>
      <c r="I135" s="1847" t="s">
        <v>1456</v>
      </c>
    </row>
    <row r="136" spans="1:35" ht="21.75" customHeight="1">
      <c r="A136" s="725"/>
      <c r="B136" s="1848"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1458</v>
      </c>
    </row>
    <row r="139" spans="1:35" ht="21.75" customHeight="1">
      <c r="A139" s="725"/>
      <c r="B139" s="1848" t="s">
        <v>1459</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1458</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0" t="str">
        <f>项目基本情况!B1</f>
        <v>北京市通州区宋庄镇尹各庄村新建科研用地房地产抵押价值预评估</v>
      </c>
      <c r="C37" s="3510"/>
      <c r="D37" s="3510"/>
      <c r="E37" s="3510"/>
      <c r="F37" s="3510"/>
      <c r="G37" s="3510"/>
      <c r="H37" s="3510"/>
      <c r="I37" s="3510"/>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108"/>
  <sheetViews>
    <sheetView topLeftCell="A58" zoomScale="85" zoomScaleNormal="85" workbookViewId="0">
      <selection activeCell="O21" sqref="O21"/>
    </sheetView>
  </sheetViews>
  <sheetFormatPr defaultRowHeight="13.5"/>
  <cols>
    <col min="2" max="2" width="13" customWidth="1"/>
    <col min="3" max="3" width="11.75" customWidth="1"/>
    <col min="4" max="4" width="10.625" customWidth="1"/>
    <col min="6" max="6" width="10.625" bestFit="1" customWidth="1"/>
    <col min="9" max="9" width="12.75" customWidth="1"/>
    <col min="12" max="12" width="9.25" customWidth="1"/>
    <col min="14" max="14" width="12.125" customWidth="1"/>
    <col min="16" max="17" width="10" customWidth="1"/>
    <col min="18" max="18" width="8.375" customWidth="1"/>
    <col min="21" max="22" width="10.25" customWidth="1"/>
    <col min="25" max="25" width="13.25" customWidth="1"/>
  </cols>
  <sheetData>
    <row r="1" spans="2:10" ht="14.25" thickBot="1"/>
    <row r="2" spans="2:10" ht="26.25" thickBot="1">
      <c r="B2" s="3693" t="s">
        <v>3479</v>
      </c>
      <c r="C2" s="3693" t="s">
        <v>3480</v>
      </c>
      <c r="D2" s="3695" t="s">
        <v>3481</v>
      </c>
      <c r="E2" s="3696"/>
      <c r="F2" s="3697"/>
      <c r="G2" s="3478" t="s">
        <v>3482</v>
      </c>
      <c r="H2" s="3693" t="s">
        <v>3483</v>
      </c>
      <c r="I2" s="3693" t="s">
        <v>3484</v>
      </c>
      <c r="J2" s="3693" t="s">
        <v>3485</v>
      </c>
    </row>
    <row r="3" spans="2:10" ht="14.25" thickBot="1">
      <c r="B3" s="3694"/>
      <c r="C3" s="3694"/>
      <c r="D3" s="3479" t="s">
        <v>3486</v>
      </c>
      <c r="E3" s="3479" t="s">
        <v>3487</v>
      </c>
      <c r="F3" s="3479" t="s">
        <v>3456</v>
      </c>
      <c r="G3" s="3479" t="s">
        <v>3488</v>
      </c>
      <c r="H3" s="3694"/>
      <c r="I3" s="3694"/>
      <c r="J3" s="3694"/>
    </row>
    <row r="4" spans="2:10" ht="14.25" thickBot="1">
      <c r="B4" s="3480" t="s">
        <v>3489</v>
      </c>
      <c r="C4" s="3698">
        <v>95778.03</v>
      </c>
      <c r="D4" s="3481">
        <v>17658.11</v>
      </c>
      <c r="E4" s="3481">
        <v>1837.58</v>
      </c>
      <c r="F4" s="3481">
        <v>0</v>
      </c>
      <c r="G4" s="3481">
        <v>294.92</v>
      </c>
      <c r="H4" s="3481">
        <v>19790.61</v>
      </c>
      <c r="I4" s="3701" t="s">
        <v>3476</v>
      </c>
      <c r="J4" s="3701" t="s">
        <v>3490</v>
      </c>
    </row>
    <row r="5" spans="2:10" ht="14.25" thickBot="1">
      <c r="B5" s="3480" t="s">
        <v>3491</v>
      </c>
      <c r="C5" s="3699"/>
      <c r="D5" s="3481">
        <v>17658.11</v>
      </c>
      <c r="E5" s="3481">
        <v>1832.56</v>
      </c>
      <c r="F5" s="3481">
        <v>0</v>
      </c>
      <c r="G5" s="3481">
        <v>294.92</v>
      </c>
      <c r="H5" s="3481">
        <v>19785.59</v>
      </c>
      <c r="I5" s="3702"/>
      <c r="J5" s="3702"/>
    </row>
    <row r="6" spans="2:10" ht="14.25" thickBot="1">
      <c r="B6" s="3480" t="s">
        <v>3492</v>
      </c>
      <c r="C6" s="3699"/>
      <c r="D6" s="3481">
        <v>17658.11</v>
      </c>
      <c r="E6" s="3481">
        <v>1842.18</v>
      </c>
      <c r="F6" s="3481">
        <v>0</v>
      </c>
      <c r="G6" s="3481">
        <v>294.92</v>
      </c>
      <c r="H6" s="3481">
        <v>19795.21</v>
      </c>
      <c r="I6" s="3702"/>
      <c r="J6" s="3702"/>
    </row>
    <row r="7" spans="2:10" ht="14.25" thickBot="1">
      <c r="B7" s="3480" t="s">
        <v>3493</v>
      </c>
      <c r="C7" s="3699"/>
      <c r="D7" s="3481">
        <v>11307.49</v>
      </c>
      <c r="E7" s="3481">
        <v>1828.26</v>
      </c>
      <c r="F7" s="3481">
        <v>0</v>
      </c>
      <c r="G7" s="3481">
        <v>292.44</v>
      </c>
      <c r="H7" s="3481">
        <v>13428.19</v>
      </c>
      <c r="I7" s="3702"/>
      <c r="J7" s="3702"/>
    </row>
    <row r="8" spans="2:10" ht="14.25" thickBot="1">
      <c r="B8" s="3480" t="s">
        <v>3494</v>
      </c>
      <c r="C8" s="3699"/>
      <c r="D8" s="3481">
        <v>17658.11</v>
      </c>
      <c r="E8" s="3481">
        <v>1831.24</v>
      </c>
      <c r="F8" s="3481">
        <v>0</v>
      </c>
      <c r="G8" s="3481">
        <v>294.92</v>
      </c>
      <c r="H8" s="3481">
        <v>19784.27</v>
      </c>
      <c r="I8" s="3702"/>
      <c r="J8" s="3702"/>
    </row>
    <row r="9" spans="2:10" ht="14.25" thickBot="1">
      <c r="B9" s="3480" t="s">
        <v>3495</v>
      </c>
      <c r="C9" s="3699"/>
      <c r="D9" s="3481">
        <v>11958.17</v>
      </c>
      <c r="E9" s="3481">
        <v>1822.18</v>
      </c>
      <c r="F9" s="3481">
        <v>0</v>
      </c>
      <c r="G9" s="3481">
        <v>292.44</v>
      </c>
      <c r="H9" s="3481">
        <v>14072.79</v>
      </c>
      <c r="I9" s="3702"/>
      <c r="J9" s="3702"/>
    </row>
    <row r="10" spans="2:10" ht="14.25" thickBot="1">
      <c r="B10" s="3480" t="s">
        <v>3496</v>
      </c>
      <c r="C10" s="3699"/>
      <c r="D10" s="3481">
        <v>17658.11</v>
      </c>
      <c r="E10" s="3481">
        <v>1836.4</v>
      </c>
      <c r="F10" s="3481">
        <v>0</v>
      </c>
      <c r="G10" s="3481">
        <v>294.92</v>
      </c>
      <c r="H10" s="3481">
        <v>19789.43</v>
      </c>
      <c r="I10" s="3702"/>
      <c r="J10" s="3702"/>
    </row>
    <row r="11" spans="2:10" ht="14.25" thickBot="1">
      <c r="B11" s="3480" t="s">
        <v>3497</v>
      </c>
      <c r="C11" s="3699"/>
      <c r="D11" s="3481">
        <v>18018.59</v>
      </c>
      <c r="E11" s="3481">
        <v>1848.39</v>
      </c>
      <c r="F11" s="3481">
        <v>0</v>
      </c>
      <c r="G11" s="3481">
        <v>296.91000000000003</v>
      </c>
      <c r="H11" s="3481">
        <v>20163.89</v>
      </c>
      <c r="I11" s="3702"/>
      <c r="J11" s="3702"/>
    </row>
    <row r="12" spans="2:10" ht="14.25" thickBot="1">
      <c r="B12" s="3480" t="s">
        <v>3498</v>
      </c>
      <c r="C12" s="3699"/>
      <c r="D12" s="3481">
        <v>17658.11</v>
      </c>
      <c r="E12" s="3481">
        <v>1831.19</v>
      </c>
      <c r="F12" s="3481">
        <v>0</v>
      </c>
      <c r="G12" s="3481">
        <v>294.92</v>
      </c>
      <c r="H12" s="3481">
        <v>19784.22</v>
      </c>
      <c r="I12" s="3702"/>
      <c r="J12" s="3702"/>
    </row>
    <row r="13" spans="2:10" ht="14.25" thickBot="1">
      <c r="B13" s="3480" t="s">
        <v>3499</v>
      </c>
      <c r="C13" s="3699"/>
      <c r="D13" s="3481">
        <v>11958.17</v>
      </c>
      <c r="E13" s="3481">
        <v>1822.15</v>
      </c>
      <c r="F13" s="3481">
        <v>0</v>
      </c>
      <c r="G13" s="3481">
        <v>292.44</v>
      </c>
      <c r="H13" s="3481">
        <v>14072.76</v>
      </c>
      <c r="I13" s="3702"/>
      <c r="J13" s="3702"/>
    </row>
    <row r="14" spans="2:10" ht="14.25" thickBot="1">
      <c r="B14" s="3480" t="s">
        <v>3500</v>
      </c>
      <c r="C14" s="3699"/>
      <c r="D14" s="3481">
        <v>18018.59</v>
      </c>
      <c r="E14" s="3481">
        <v>1837.92</v>
      </c>
      <c r="F14" s="3481">
        <v>0</v>
      </c>
      <c r="G14" s="3481">
        <v>294.83999999999997</v>
      </c>
      <c r="H14" s="3481">
        <v>20151.349999999999</v>
      </c>
      <c r="I14" s="3702"/>
      <c r="J14" s="3702"/>
    </row>
    <row r="15" spans="2:10" ht="14.25" thickBot="1">
      <c r="B15" s="3480" t="s">
        <v>3501</v>
      </c>
      <c r="C15" s="3699"/>
      <c r="D15" s="3481">
        <v>11728.85</v>
      </c>
      <c r="E15" s="3481">
        <v>1822.93</v>
      </c>
      <c r="F15" s="3481">
        <v>0</v>
      </c>
      <c r="G15" s="3481">
        <v>292.44</v>
      </c>
      <c r="H15" s="3481">
        <v>13844.22</v>
      </c>
      <c r="I15" s="3702"/>
      <c r="J15" s="3702"/>
    </row>
    <row r="16" spans="2:10" ht="14.25" thickBot="1">
      <c r="B16" s="3480" t="s">
        <v>3502</v>
      </c>
      <c r="C16" s="3699"/>
      <c r="D16" s="3481">
        <v>11958.17</v>
      </c>
      <c r="E16" s="3481">
        <v>1828.5</v>
      </c>
      <c r="F16" s="3481">
        <v>0</v>
      </c>
      <c r="G16" s="3481">
        <v>292.44</v>
      </c>
      <c r="H16" s="3481">
        <v>14079.11</v>
      </c>
      <c r="I16" s="3702"/>
      <c r="J16" s="3702"/>
    </row>
    <row r="17" spans="2:28" ht="14.25" thickBot="1">
      <c r="B17" s="3480" t="s">
        <v>3503</v>
      </c>
      <c r="C17" s="3699"/>
      <c r="D17" s="3481">
        <v>11836</v>
      </c>
      <c r="E17" s="3481">
        <v>1834.64</v>
      </c>
      <c r="F17" s="3481">
        <v>0</v>
      </c>
      <c r="G17" s="3481">
        <v>292.44</v>
      </c>
      <c r="H17" s="3481">
        <v>13963.08</v>
      </c>
      <c r="I17" s="3702"/>
      <c r="J17" s="3702"/>
    </row>
    <row r="18" spans="2:28" ht="14.25" thickBot="1">
      <c r="B18" s="3482" t="s">
        <v>3456</v>
      </c>
      <c r="C18" s="3700"/>
      <c r="D18" s="3481">
        <v>0</v>
      </c>
      <c r="E18" s="3481">
        <v>6948.57</v>
      </c>
      <c r="F18" s="3481">
        <v>39209.79</v>
      </c>
      <c r="G18" s="3481">
        <v>3474.28</v>
      </c>
      <c r="H18" s="3481">
        <v>49632.639999999999</v>
      </c>
      <c r="I18" s="3703"/>
      <c r="J18" s="3703"/>
    </row>
    <row r="19" spans="2:28" ht="14.25" customHeight="1" thickBot="1">
      <c r="B19" s="3483" t="s">
        <v>3504</v>
      </c>
      <c r="C19" s="3479" t="s">
        <v>43</v>
      </c>
      <c r="D19" s="3484">
        <f>SUM(D4:D18)</f>
        <v>212732.69</v>
      </c>
      <c r="E19" s="3484">
        <f>SUM(E4:E18)</f>
        <v>32604.690000000002</v>
      </c>
      <c r="F19" s="3484">
        <f>F18</f>
        <v>39209.79</v>
      </c>
      <c r="G19" s="3484">
        <f>SUM(G4:G18)</f>
        <v>7590.1900000000005</v>
      </c>
      <c r="H19" s="3484">
        <f>SUM(H4:H18)</f>
        <v>292137.36</v>
      </c>
      <c r="I19" s="3479" t="s">
        <v>43</v>
      </c>
      <c r="J19" s="3479" t="s">
        <v>43</v>
      </c>
    </row>
    <row r="20" spans="2:28" ht="14.25" thickBot="1">
      <c r="B20" s="3480" t="s">
        <v>3505</v>
      </c>
      <c r="C20" s="3698">
        <v>20455.650000000001</v>
      </c>
      <c r="D20" s="3481">
        <v>17658.11</v>
      </c>
      <c r="E20" s="3481">
        <v>1834.45</v>
      </c>
      <c r="F20" s="3481">
        <v>0</v>
      </c>
      <c r="G20" s="3481">
        <v>294.92</v>
      </c>
      <c r="H20" s="3481">
        <v>19787.48</v>
      </c>
      <c r="I20" s="3701" t="s">
        <v>3506</v>
      </c>
      <c r="J20" s="3701" t="s">
        <v>3507</v>
      </c>
    </row>
    <row r="21" spans="2:28" ht="14.25" thickBot="1">
      <c r="B21" s="3480" t="s">
        <v>3508</v>
      </c>
      <c r="C21" s="3699"/>
      <c r="D21" s="3481">
        <v>17658.11</v>
      </c>
      <c r="E21" s="3481">
        <v>1833.48</v>
      </c>
      <c r="F21" s="3481">
        <v>0</v>
      </c>
      <c r="G21" s="3481">
        <v>361.2</v>
      </c>
      <c r="H21" s="3481">
        <v>19852.79</v>
      </c>
      <c r="I21" s="3702"/>
      <c r="J21" s="3702"/>
    </row>
    <row r="22" spans="2:28" ht="14.25" thickBot="1">
      <c r="B22" s="3480" t="s">
        <v>3509</v>
      </c>
      <c r="C22" s="3700"/>
      <c r="D22" s="3481">
        <v>17658.11</v>
      </c>
      <c r="E22" s="3481">
        <v>1834.61</v>
      </c>
      <c r="F22" s="3481">
        <v>0</v>
      </c>
      <c r="G22" s="3481">
        <v>294.92</v>
      </c>
      <c r="H22" s="3481">
        <v>19787.64</v>
      </c>
      <c r="I22" s="3703"/>
      <c r="J22" s="3703"/>
    </row>
    <row r="23" spans="2:28" ht="14.25" thickBot="1">
      <c r="B23" s="3483" t="s">
        <v>3504</v>
      </c>
      <c r="C23" s="3479" t="s">
        <v>43</v>
      </c>
      <c r="D23" s="3484">
        <f>SUM(D20:D22)</f>
        <v>52974.33</v>
      </c>
      <c r="E23" s="3484">
        <f>SUM(E20:E22)</f>
        <v>5502.54</v>
      </c>
      <c r="F23" s="3484">
        <v>0</v>
      </c>
      <c r="G23" s="3484">
        <f>SUM(G20:G22)</f>
        <v>951.04</v>
      </c>
      <c r="H23" s="3484">
        <f>SUM(H20:H22)</f>
        <v>59427.91</v>
      </c>
      <c r="I23" s="3479" t="s">
        <v>43</v>
      </c>
      <c r="J23" s="3479" t="s">
        <v>43</v>
      </c>
    </row>
    <row r="24" spans="2:28" ht="14.25" thickBot="1">
      <c r="B24" s="3483" t="s">
        <v>3483</v>
      </c>
      <c r="C24" s="3484">
        <f>C4+C20</f>
        <v>116233.68</v>
      </c>
      <c r="D24" s="3484">
        <f>D19+D23</f>
        <v>265707.02</v>
      </c>
      <c r="E24" s="3484">
        <f>E19+E23</f>
        <v>38107.230000000003</v>
      </c>
      <c r="F24" s="3484">
        <f>F19+F23</f>
        <v>39209.79</v>
      </c>
      <c r="G24" s="3484">
        <f>G19+G23</f>
        <v>8541.23</v>
      </c>
      <c r="H24" s="3484">
        <f>H19+H23</f>
        <v>351565.27</v>
      </c>
      <c r="I24" s="3479" t="s">
        <v>43</v>
      </c>
      <c r="J24" s="3479" t="s">
        <v>43</v>
      </c>
    </row>
    <row r="26" spans="2:28" ht="14.25" thickBot="1"/>
    <row r="27" spans="2:28" ht="26.25" thickBot="1">
      <c r="B27" s="3693" t="s">
        <v>3479</v>
      </c>
      <c r="C27" s="3693" t="s">
        <v>3480</v>
      </c>
      <c r="D27" s="3695" t="s">
        <v>3481</v>
      </c>
      <c r="E27" s="3696"/>
      <c r="F27" s="3697"/>
      <c r="G27" s="3478" t="s">
        <v>3482</v>
      </c>
      <c r="H27" s="3693" t="s">
        <v>3483</v>
      </c>
    </row>
    <row r="28" spans="2:28" ht="41.25" customHeight="1" thickBot="1">
      <c r="B28" s="3694"/>
      <c r="C28" s="3694"/>
      <c r="D28" s="3479" t="s">
        <v>3486</v>
      </c>
      <c r="E28" s="3479" t="s">
        <v>3487</v>
      </c>
      <c r="F28" s="3479" t="s">
        <v>3456</v>
      </c>
      <c r="G28" s="3479" t="s">
        <v>3488</v>
      </c>
      <c r="H28" s="3694"/>
      <c r="J28" s="3461" t="s">
        <v>3510</v>
      </c>
      <c r="K28" s="3461" t="s">
        <v>3511</v>
      </c>
      <c r="L28" s="3485" t="s">
        <v>3512</v>
      </c>
      <c r="M28" s="3461" t="s">
        <v>3513</v>
      </c>
      <c r="N28" s="3485" t="s">
        <v>3514</v>
      </c>
      <c r="O28" s="3485" t="s">
        <v>3513</v>
      </c>
      <c r="P28" s="3486" t="s">
        <v>3515</v>
      </c>
      <c r="Q28" s="3486" t="s">
        <v>3516</v>
      </c>
      <c r="R28" s="3486" t="s">
        <v>3517</v>
      </c>
      <c r="S28" s="3486" t="s">
        <v>3518</v>
      </c>
      <c r="T28" s="3486" t="s">
        <v>3513</v>
      </c>
      <c r="U28" s="3486" t="s">
        <v>3519</v>
      </c>
      <c r="V28" s="3486" t="s">
        <v>3520</v>
      </c>
      <c r="W28" s="3485" t="s">
        <v>3521</v>
      </c>
      <c r="X28" s="3485" t="s">
        <v>3513</v>
      </c>
      <c r="Y28" s="3487" t="s">
        <v>3522</v>
      </c>
      <c r="Z28" s="3487" t="s">
        <v>3518</v>
      </c>
      <c r="AB28" s="3461"/>
    </row>
    <row r="29" spans="2:28" ht="14.25" thickBot="1">
      <c r="B29" s="3480" t="s">
        <v>3489</v>
      </c>
      <c r="C29" s="3481">
        <v>6488.41</v>
      </c>
      <c r="D29" s="3481">
        <v>17658.11</v>
      </c>
      <c r="E29" s="3481">
        <v>1837.58</v>
      </c>
      <c r="F29" s="3481">
        <v>0</v>
      </c>
      <c r="G29" s="3481">
        <v>294.92</v>
      </c>
      <c r="H29" s="3481">
        <v>19790.61</v>
      </c>
      <c r="I29">
        <f>D29+E29</f>
        <v>19495.690000000002</v>
      </c>
      <c r="J29" s="3461" t="s">
        <v>3523</v>
      </c>
      <c r="K29">
        <f>面积表!F28</f>
        <v>4000</v>
      </c>
      <c r="L29">
        <f t="shared" ref="L29:L42" si="0">ROUND((I29*K29+4000*G29)/10000,0)</f>
        <v>7916</v>
      </c>
      <c r="M29">
        <f>L29/L44</f>
        <v>2.7387876124871556E-2</v>
      </c>
      <c r="N29">
        <f>D29*基准地价修正!$C$33+E29*基准地价修正!$C$40</f>
        <v>108238655.53</v>
      </c>
      <c r="O29">
        <f>N29/$N$44</f>
        <v>7.9986375661248429E-2</v>
      </c>
      <c r="P29">
        <f ca="1">ROUND([2]结果表!$F$118*M29,2)</f>
        <v>14060.25</v>
      </c>
      <c r="Q29">
        <f ca="1">ROUND(O29*[2]结果表!$D$118,2)</f>
        <v>21628.639999999999</v>
      </c>
      <c r="R29" s="3474">
        <f ca="1">ROUND(P29+Q29,0)</f>
        <v>35689</v>
      </c>
      <c r="S29" s="3474">
        <f ca="1">ROUND(R29/H29*10000,0)</f>
        <v>18033</v>
      </c>
      <c r="T29">
        <f ca="1">E55/$E$70</f>
        <v>4.5534519296893637E-2</v>
      </c>
      <c r="U29" s="3470">
        <f ca="1">ROUND(T29*[2]结果表!$N$59,1)</f>
        <v>29063.8</v>
      </c>
      <c r="V29" s="3470">
        <f ca="1">ROUND(U29/H29*10000,0)</f>
        <v>14686</v>
      </c>
      <c r="W29">
        <f>面积表!I28*价值分列!I29</f>
        <v>58487.070000000007</v>
      </c>
      <c r="X29">
        <f>W29/$W$44</f>
        <v>2.804862094744668E-2</v>
      </c>
      <c r="Y29">
        <f>ROUND(X29*[3]结果表!$G$19,0)</f>
        <v>22006</v>
      </c>
      <c r="Z29">
        <f>ROUND(Y29/H29*10000,0)</f>
        <v>11119</v>
      </c>
    </row>
    <row r="30" spans="2:28" ht="14.25" thickBot="1">
      <c r="B30" s="3480" t="s">
        <v>3491</v>
      </c>
      <c r="C30" s="3481">
        <v>6486.76</v>
      </c>
      <c r="D30" s="3481">
        <v>17658.11</v>
      </c>
      <c r="E30" s="3481">
        <v>1832.56</v>
      </c>
      <c r="F30" s="3481">
        <v>0</v>
      </c>
      <c r="G30" s="3481">
        <v>294.92</v>
      </c>
      <c r="H30" s="3481">
        <v>19785.59</v>
      </c>
      <c r="I30">
        <f t="shared" ref="I30:I42" si="1">D30+E30</f>
        <v>19490.670000000002</v>
      </c>
      <c r="J30" s="3461" t="s">
        <v>3523</v>
      </c>
      <c r="K30">
        <f>面积表!F28</f>
        <v>4000</v>
      </c>
      <c r="L30">
        <f t="shared" si="0"/>
        <v>7914</v>
      </c>
      <c r="M30">
        <f>L30/L44</f>
        <v>2.7380956499776843E-2</v>
      </c>
      <c r="N30">
        <f>D30*基准地价修正!$C$33+E30*基准地价修正!$C$40</f>
        <v>108231386.56999999</v>
      </c>
      <c r="O30">
        <f t="shared" ref="O30:O43" si="2">N30/$N$44</f>
        <v>7.9981004033502501E-2</v>
      </c>
      <c r="P30">
        <f ca="1">ROUND([2]结果表!$F$118*M30,2)</f>
        <v>14056.7</v>
      </c>
      <c r="Q30">
        <f ca="1">ROUND(O30*[2]结果表!$D$118,2)</f>
        <v>21627.18</v>
      </c>
      <c r="R30" s="3474">
        <f t="shared" ref="R30:R43" ca="1" si="3">ROUND(P30+Q30,0)</f>
        <v>35684</v>
      </c>
      <c r="S30" s="3474">
        <f t="shared" ref="S30:S43" ca="1" si="4">ROUND(R30/H30*10000,0)</f>
        <v>18035</v>
      </c>
      <c r="T30">
        <f t="shared" ref="T30:T43" ca="1" si="5">E56/$E$70</f>
        <v>4.5528139947612782E-2</v>
      </c>
      <c r="U30" s="3470">
        <f ca="1">ROUND(T30*[2]结果表!$N$59,1)</f>
        <v>29059.7</v>
      </c>
      <c r="V30" s="3470">
        <f t="shared" ref="V30:V44" ca="1" si="6">ROUND(U30/H30*10000,0)</f>
        <v>14687</v>
      </c>
      <c r="W30">
        <f>面积表!I29*价值分列!I30</f>
        <v>58472.010000000009</v>
      </c>
      <c r="X30">
        <f t="shared" ref="X30:X43" si="7">W30/$W$44</f>
        <v>2.804139862922372E-2</v>
      </c>
      <c r="Y30">
        <f>ROUND(X30*[3]结果表!$G$19,0)</f>
        <v>22000</v>
      </c>
      <c r="Z30">
        <f t="shared" ref="Z30:Z44" si="8">ROUND(Y30/H30*10000,0)</f>
        <v>11119</v>
      </c>
    </row>
    <row r="31" spans="2:28" ht="14.25" thickBot="1">
      <c r="B31" s="3480" t="s">
        <v>3492</v>
      </c>
      <c r="C31" s="3481">
        <v>6489.91</v>
      </c>
      <c r="D31" s="3481">
        <v>17658.11</v>
      </c>
      <c r="E31" s="3481">
        <v>1842.18</v>
      </c>
      <c r="F31" s="3481">
        <v>0</v>
      </c>
      <c r="G31" s="3481">
        <v>294.92</v>
      </c>
      <c r="H31" s="3481">
        <v>19795.21</v>
      </c>
      <c r="I31">
        <f t="shared" si="1"/>
        <v>19500.29</v>
      </c>
      <c r="J31" s="3461" t="s">
        <v>3524</v>
      </c>
      <c r="K31">
        <f>面积表!F27</f>
        <v>14000</v>
      </c>
      <c r="L31">
        <f t="shared" si="0"/>
        <v>27418</v>
      </c>
      <c r="M31">
        <f>L31/L44</f>
        <v>9.4861140423411858E-2</v>
      </c>
      <c r="N31">
        <f>D31*基准地价修正!$C$33+E31*基准地价修正!$C$40</f>
        <v>108245316.33</v>
      </c>
      <c r="O31">
        <f t="shared" si="2"/>
        <v>7.9991297869939915E-2</v>
      </c>
      <c r="P31">
        <f ca="1">ROUND([2]结果表!$F$118*M31,2)</f>
        <v>48699.34</v>
      </c>
      <c r="Q31">
        <f ca="1">ROUND(O31*[2]结果表!$D$118,2)</f>
        <v>21629.97</v>
      </c>
      <c r="R31" s="3474">
        <f t="shared" ca="1" si="3"/>
        <v>70329</v>
      </c>
      <c r="S31" s="3474">
        <f t="shared" ca="1" si="4"/>
        <v>35528</v>
      </c>
      <c r="T31">
        <f t="shared" ca="1" si="5"/>
        <v>8.9730651114663704E-2</v>
      </c>
      <c r="U31" s="3470">
        <f ca="1">ROUND(T31*[2]结果表!$N$59,1)</f>
        <v>57273.3</v>
      </c>
      <c r="V31" s="3470">
        <f t="shared" ca="1" si="6"/>
        <v>28933</v>
      </c>
      <c r="W31">
        <f>面积表!I27*价值分列!I31</f>
        <v>276904.11800000002</v>
      </c>
      <c r="X31">
        <f t="shared" si="7"/>
        <v>0.13279479797105662</v>
      </c>
      <c r="Y31">
        <f>ROUND(X31*[3]结果表!$G$19,0)</f>
        <v>104187</v>
      </c>
      <c r="Z31">
        <f t="shared" si="8"/>
        <v>52632</v>
      </c>
    </row>
    <row r="32" spans="2:28" ht="14.25" thickBot="1">
      <c r="B32" s="3480" t="s">
        <v>3493</v>
      </c>
      <c r="C32" s="3481">
        <v>4402.47</v>
      </c>
      <c r="D32" s="3481">
        <v>11307.49</v>
      </c>
      <c r="E32" s="3481">
        <v>1828.26</v>
      </c>
      <c r="F32" s="3481">
        <v>0</v>
      </c>
      <c r="G32" s="3481">
        <v>292.44</v>
      </c>
      <c r="H32" s="3481">
        <v>13428.19</v>
      </c>
      <c r="I32">
        <f t="shared" si="1"/>
        <v>13135.75</v>
      </c>
      <c r="J32" s="3461" t="s">
        <v>3524</v>
      </c>
      <c r="K32">
        <f>面积表!F27</f>
        <v>14000</v>
      </c>
      <c r="L32">
        <f t="shared" si="0"/>
        <v>18507</v>
      </c>
      <c r="M32">
        <f>L32/L44</f>
        <v>6.40307508139209E-2</v>
      </c>
      <c r="N32">
        <f>D32*基准地价修正!$C$33+E32*基准地价修正!$C$40</f>
        <v>70254803.189999998</v>
      </c>
      <c r="O32">
        <f t="shared" si="2"/>
        <v>5.191700739857124E-2</v>
      </c>
      <c r="P32">
        <f ca="1">ROUND([2]结果表!$F$118*M32,2)</f>
        <v>32871.79</v>
      </c>
      <c r="Q32">
        <f ca="1">ROUND(O32*[2]结果表!$D$118,2)</f>
        <v>14038.57</v>
      </c>
      <c r="R32" s="3474">
        <f t="shared" ca="1" si="3"/>
        <v>46910</v>
      </c>
      <c r="S32" s="3474">
        <f t="shared" ca="1" si="4"/>
        <v>34934</v>
      </c>
      <c r="T32">
        <f t="shared" ca="1" si="5"/>
        <v>5.9851054952990576E-2</v>
      </c>
      <c r="U32" s="3470">
        <f ca="1">ROUND(T32*[2]结果表!$N$59,1)</f>
        <v>38201.699999999997</v>
      </c>
      <c r="V32" s="3470">
        <f t="shared" ca="1" si="6"/>
        <v>28449</v>
      </c>
      <c r="W32">
        <f>面积表!I28*价值分列!I32</f>
        <v>39407.25</v>
      </c>
      <c r="X32">
        <f t="shared" si="7"/>
        <v>1.8898519242479886E-2</v>
      </c>
      <c r="Y32">
        <f>ROUND(X32*[3]结果表!$G$19,0)</f>
        <v>14827</v>
      </c>
      <c r="Z32">
        <f t="shared" si="8"/>
        <v>11042</v>
      </c>
    </row>
    <row r="33" spans="2:26" ht="14.25" thickBot="1">
      <c r="B33" s="3480" t="s">
        <v>3494</v>
      </c>
      <c r="C33" s="3481">
        <v>6486.33</v>
      </c>
      <c r="D33" s="3481">
        <v>17658.11</v>
      </c>
      <c r="E33" s="3481">
        <v>1831.24</v>
      </c>
      <c r="F33" s="3481">
        <v>0</v>
      </c>
      <c r="G33" s="3481">
        <v>294.92</v>
      </c>
      <c r="H33" s="3481">
        <v>19784.27</v>
      </c>
      <c r="I33">
        <f t="shared" si="1"/>
        <v>19489.350000000002</v>
      </c>
      <c r="J33" s="3461" t="s">
        <v>3523</v>
      </c>
      <c r="K33">
        <f>面积表!F27</f>
        <v>14000</v>
      </c>
      <c r="L33">
        <f t="shared" si="0"/>
        <v>27403</v>
      </c>
      <c r="M33">
        <f>L33/L44</f>
        <v>9.4809243235201512E-2</v>
      </c>
      <c r="N33">
        <f>D33*基准地价修正!$C$33+E33*基准地价修正!$C$40</f>
        <v>108229475.20999999</v>
      </c>
      <c r="O33">
        <f t="shared" si="2"/>
        <v>7.9979591573617115E-2</v>
      </c>
      <c r="P33">
        <f ca="1">ROUND([2]结果表!$F$118*M33,2)</f>
        <v>48672.7</v>
      </c>
      <c r="Q33">
        <f ca="1">ROUND(O33*[2]结果表!$D$118,2)</f>
        <v>21626.799999999999</v>
      </c>
      <c r="R33" s="3474">
        <f t="shared" ca="1" si="3"/>
        <v>70300</v>
      </c>
      <c r="S33" s="3474">
        <f t="shared" ca="1" si="4"/>
        <v>35533</v>
      </c>
      <c r="T33">
        <f t="shared" ca="1" si="5"/>
        <v>8.9693650888834742E-2</v>
      </c>
      <c r="U33" s="3470">
        <f ca="1">ROUND(T33*[2]结果表!$N$59,1)</f>
        <v>57249.7</v>
      </c>
      <c r="V33" s="3470">
        <f t="shared" ca="1" si="6"/>
        <v>28937</v>
      </c>
      <c r="W33">
        <f>I33*面积表!I28</f>
        <v>58468.05</v>
      </c>
      <c r="X33">
        <f t="shared" si="7"/>
        <v>2.8039499533595372E-2</v>
      </c>
      <c r="Y33">
        <f>ROUND(X33*[3]结果表!$G$19,0)</f>
        <v>21999</v>
      </c>
      <c r="Z33">
        <f t="shared" si="8"/>
        <v>11119</v>
      </c>
    </row>
    <row r="34" spans="2:26" ht="14.25" thickBot="1">
      <c r="B34" s="3480" t="s">
        <v>3495</v>
      </c>
      <c r="C34" s="3481">
        <v>4613.8</v>
      </c>
      <c r="D34" s="3481">
        <v>11958.17</v>
      </c>
      <c r="E34" s="3481">
        <v>1822.18</v>
      </c>
      <c r="F34" s="3481">
        <v>0</v>
      </c>
      <c r="G34" s="3481">
        <v>292.44</v>
      </c>
      <c r="H34" s="3481">
        <v>14072.79</v>
      </c>
      <c r="I34">
        <f t="shared" si="1"/>
        <v>13780.35</v>
      </c>
      <c r="J34" s="3461" t="s">
        <v>3524</v>
      </c>
      <c r="K34">
        <f>面积表!F27</f>
        <v>14000</v>
      </c>
      <c r="L34">
        <f t="shared" si="0"/>
        <v>19409</v>
      </c>
      <c r="M34">
        <f>L34/L44</f>
        <v>6.7151501731636185E-2</v>
      </c>
      <c r="N34">
        <f>D34*基准地价修正!$C$33+E34*基准地价修正!$C$40</f>
        <v>74136415.070000008</v>
      </c>
      <c r="O34">
        <f t="shared" si="2"/>
        <v>5.4785447185489999E-2</v>
      </c>
      <c r="P34">
        <f ca="1">ROUND([2]结果表!$F$118*M34,2)</f>
        <v>34473.9</v>
      </c>
      <c r="Q34">
        <f ca="1">ROUND(O34*[2]结果表!$D$118,2)</f>
        <v>14814.2</v>
      </c>
      <c r="R34" s="3474">
        <f t="shared" ca="1" si="3"/>
        <v>49288</v>
      </c>
      <c r="S34" s="3474">
        <f t="shared" ca="1" si="4"/>
        <v>35024</v>
      </c>
      <c r="T34">
        <f t="shared" ca="1" si="5"/>
        <v>6.2885073470965669E-2</v>
      </c>
      <c r="U34" s="3470">
        <f ca="1">ROUND(T34*[2]结果表!$N$59,1)</f>
        <v>40138.300000000003</v>
      </c>
      <c r="V34" s="3470">
        <f t="shared" ca="1" si="6"/>
        <v>28522</v>
      </c>
      <c r="W34">
        <f>面积表!I27*价值分列!I34</f>
        <v>195680.97</v>
      </c>
      <c r="X34">
        <f t="shared" si="7"/>
        <v>9.3842645120685395E-2</v>
      </c>
      <c r="Y34">
        <f>ROUND(X34*[3]结果表!$G$19,0)</f>
        <v>73626</v>
      </c>
      <c r="Z34">
        <f t="shared" si="8"/>
        <v>52318</v>
      </c>
    </row>
    <row r="35" spans="2:26" ht="14.25" thickBot="1">
      <c r="B35" s="3480" t="s">
        <v>3496</v>
      </c>
      <c r="C35" s="3481">
        <v>6488.02</v>
      </c>
      <c r="D35" s="3481">
        <v>17658.11</v>
      </c>
      <c r="E35" s="3481">
        <v>1836.4</v>
      </c>
      <c r="F35" s="3481">
        <v>0</v>
      </c>
      <c r="G35" s="3481">
        <v>294.92</v>
      </c>
      <c r="H35" s="3481">
        <v>19789.43</v>
      </c>
      <c r="I35">
        <f t="shared" si="1"/>
        <v>19494.510000000002</v>
      </c>
      <c r="J35" s="3461" t="s">
        <v>3523</v>
      </c>
      <c r="K35">
        <f>面积表!F27</f>
        <v>14000</v>
      </c>
      <c r="L35">
        <f t="shared" si="0"/>
        <v>27410</v>
      </c>
      <c r="M35">
        <f>L35/L44</f>
        <v>9.4833461923033005E-2</v>
      </c>
      <c r="N35">
        <f>D35*基准地价修正!$C$33+E35*基准地价修正!$C$40</f>
        <v>108236946.89</v>
      </c>
      <c r="O35">
        <f t="shared" si="2"/>
        <v>7.998511300771452E-2</v>
      </c>
      <c r="P35">
        <f ca="1">ROUND([2]结果表!$F$118*M35,2)</f>
        <v>48685.13</v>
      </c>
      <c r="Q35">
        <f ca="1">ROUND(O35*[2]结果表!$D$118,2)</f>
        <v>21628.29</v>
      </c>
      <c r="R35" s="3474">
        <f t="shared" ca="1" si="3"/>
        <v>70313</v>
      </c>
      <c r="S35" s="3474">
        <f t="shared" ca="1" si="4"/>
        <v>35531</v>
      </c>
      <c r="T35">
        <f t="shared" ca="1" si="5"/>
        <v>8.9710237196964956E-2</v>
      </c>
      <c r="U35" s="3470">
        <f ca="1">ROUND(T35*[2]结果表!$N$59,1)</f>
        <v>57260.3</v>
      </c>
      <c r="V35" s="3470">
        <f t="shared" ca="1" si="6"/>
        <v>28935</v>
      </c>
      <c r="W35">
        <f>面积表!I28*价值分列!I35</f>
        <v>58483.530000000006</v>
      </c>
      <c r="X35">
        <f t="shared" si="7"/>
        <v>2.8046923271051641E-2</v>
      </c>
      <c r="Y35">
        <f>ROUND(X35*[3]结果表!$G$19,0)</f>
        <v>22005</v>
      </c>
      <c r="Z35">
        <f t="shared" si="8"/>
        <v>11120</v>
      </c>
    </row>
    <row r="36" spans="2:26" ht="14.25" thickBot="1">
      <c r="B36" s="3480" t="s">
        <v>3497</v>
      </c>
      <c r="C36" s="3481">
        <v>6610.79</v>
      </c>
      <c r="D36" s="3481">
        <v>18018.59</v>
      </c>
      <c r="E36" s="3481">
        <v>1848.39</v>
      </c>
      <c r="F36" s="3481">
        <v>0</v>
      </c>
      <c r="G36" s="3481">
        <v>296.91000000000003</v>
      </c>
      <c r="H36" s="3481">
        <v>20163.89</v>
      </c>
      <c r="I36">
        <f t="shared" si="1"/>
        <v>19866.98</v>
      </c>
      <c r="J36" s="3461" t="s">
        <v>3524</v>
      </c>
      <c r="K36">
        <f>面积表!F27</f>
        <v>14000</v>
      </c>
      <c r="L36">
        <f t="shared" si="0"/>
        <v>27933</v>
      </c>
      <c r="M36">
        <f>L36/L44</f>
        <v>9.66429438853003E-2</v>
      </c>
      <c r="N36">
        <f>D36*基准地价修正!$C$33+E36*基准地价修正!$C$40</f>
        <v>110409618.33</v>
      </c>
      <c r="O36">
        <f t="shared" si="2"/>
        <v>8.1590677241096365E-2</v>
      </c>
      <c r="P36">
        <f ca="1">ROUND([2]结果表!$F$118*M36,2)</f>
        <v>49614.07</v>
      </c>
      <c r="Q36">
        <f ca="1">ROUND(O36*[2]结果表!$D$118,2)</f>
        <v>22062.45</v>
      </c>
      <c r="R36" s="3474">
        <f t="shared" ca="1" si="3"/>
        <v>71677</v>
      </c>
      <c r="S36" s="3474">
        <f t="shared" ca="1" si="4"/>
        <v>35547</v>
      </c>
      <c r="T36">
        <f t="shared" ca="1" si="5"/>
        <v>9.1450523680782464E-2</v>
      </c>
      <c r="U36" s="3470">
        <f ca="1">ROUND(T36*[2]结果表!$N$59,1)</f>
        <v>58371</v>
      </c>
      <c r="V36" s="3470">
        <f t="shared" ca="1" si="6"/>
        <v>28948</v>
      </c>
      <c r="W36">
        <f>面积表!I27*价值分列!I36</f>
        <v>282111.11599999998</v>
      </c>
      <c r="X36">
        <f t="shared" si="7"/>
        <v>0.13529191593535389</v>
      </c>
      <c r="Y36">
        <f>ROUND(X36*[3]结果表!$G$19,0)</f>
        <v>106146</v>
      </c>
      <c r="Z36">
        <f t="shared" si="8"/>
        <v>52642</v>
      </c>
    </row>
    <row r="37" spans="2:26" ht="14.25" thickBot="1">
      <c r="B37" s="3480" t="s">
        <v>3498</v>
      </c>
      <c r="C37" s="3481">
        <v>6486.31</v>
      </c>
      <c r="D37" s="3481">
        <v>17658.11</v>
      </c>
      <c r="E37" s="3481">
        <v>1831.19</v>
      </c>
      <c r="F37" s="3481">
        <v>0</v>
      </c>
      <c r="G37" s="3481">
        <v>294.92</v>
      </c>
      <c r="H37" s="3481">
        <v>19784.22</v>
      </c>
      <c r="I37">
        <f t="shared" si="1"/>
        <v>19489.3</v>
      </c>
      <c r="J37" s="3461" t="s">
        <v>3524</v>
      </c>
      <c r="K37">
        <f>面积表!F27</f>
        <v>14000</v>
      </c>
      <c r="L37">
        <f t="shared" si="0"/>
        <v>27403</v>
      </c>
      <c r="M37">
        <f>L37/L44</f>
        <v>9.4809243235201512E-2</v>
      </c>
      <c r="N37">
        <f>D37*基准地价修正!$C$33+E37*基准地价修正!$C$40</f>
        <v>108229402.81</v>
      </c>
      <c r="O37">
        <f t="shared" si="2"/>
        <v>7.9979538071348735E-2</v>
      </c>
      <c r="P37">
        <f ca="1">ROUND([2]结果表!$F$118*M37,2)</f>
        <v>48672.7</v>
      </c>
      <c r="Q37">
        <f ca="1">ROUND(O37*[2]结果表!$D$118,2)</f>
        <v>21626.79</v>
      </c>
      <c r="R37" s="3474">
        <f t="shared" ca="1" si="3"/>
        <v>70299</v>
      </c>
      <c r="S37" s="3474">
        <f t="shared" ca="1" si="4"/>
        <v>35533</v>
      </c>
      <c r="T37">
        <f t="shared" ca="1" si="5"/>
        <v>8.969237501897856E-2</v>
      </c>
      <c r="U37" s="3470">
        <f ca="1">ROUND(T37*[2]结果表!$N$59,1)</f>
        <v>57248.800000000003</v>
      </c>
      <c r="V37" s="3470">
        <f t="shared" ca="1" si="6"/>
        <v>28937</v>
      </c>
      <c r="W37">
        <f>面积表!I27*价值分列!I37</f>
        <v>276748.06</v>
      </c>
      <c r="X37">
        <f t="shared" si="7"/>
        <v>0.13271995729793321</v>
      </c>
      <c r="Y37">
        <f>ROUND(X37*[3]结果表!$G$19,0)</f>
        <v>104128</v>
      </c>
      <c r="Z37">
        <f t="shared" si="8"/>
        <v>52632</v>
      </c>
    </row>
    <row r="38" spans="2:26" ht="14.25" thickBot="1">
      <c r="B38" s="3480" t="s">
        <v>3499</v>
      </c>
      <c r="C38" s="3481">
        <v>4613.79</v>
      </c>
      <c r="D38" s="3481">
        <v>11958.17</v>
      </c>
      <c r="E38" s="3481">
        <v>1822.15</v>
      </c>
      <c r="F38" s="3481">
        <v>0</v>
      </c>
      <c r="G38" s="3481">
        <v>292.44</v>
      </c>
      <c r="H38" s="3481">
        <v>14072.76</v>
      </c>
      <c r="I38">
        <f t="shared" si="1"/>
        <v>13780.32</v>
      </c>
      <c r="J38" s="3461" t="s">
        <v>3524</v>
      </c>
      <c r="K38">
        <f>面积表!F27</f>
        <v>14000</v>
      </c>
      <c r="L38">
        <f t="shared" si="0"/>
        <v>19409</v>
      </c>
      <c r="M38">
        <f>L38/L44</f>
        <v>6.7151501731636185E-2</v>
      </c>
      <c r="N38">
        <f>D38*基准地价修正!$C$33+E38*基准地价修正!$C$40</f>
        <v>74136371.63000001</v>
      </c>
      <c r="O38">
        <f t="shared" si="2"/>
        <v>5.4785415084128965E-2</v>
      </c>
      <c r="P38">
        <f ca="1">ROUND([2]结果表!$F$118*M38,2)</f>
        <v>34473.9</v>
      </c>
      <c r="Q38">
        <f ca="1">ROUND(O38*[2]结果表!$D$118,2)</f>
        <v>14814.2</v>
      </c>
      <c r="R38" s="3474">
        <f t="shared" ca="1" si="3"/>
        <v>49288</v>
      </c>
      <c r="S38" s="3474">
        <f t="shared" ca="1" si="4"/>
        <v>35024</v>
      </c>
      <c r="T38">
        <f t="shared" ca="1" si="5"/>
        <v>6.2885073470965669E-2</v>
      </c>
      <c r="U38" s="3470">
        <f ca="1">ROUND(T38*[2]结果表!$N$59,1)</f>
        <v>40138.300000000003</v>
      </c>
      <c r="V38" s="3470">
        <f t="shared" ca="1" si="6"/>
        <v>28522</v>
      </c>
      <c r="W38">
        <f>面积表!I27*价值分列!I38</f>
        <v>195680.54399999999</v>
      </c>
      <c r="X38">
        <f t="shared" si="7"/>
        <v>9.3842440824034465E-2</v>
      </c>
      <c r="Y38">
        <f>ROUND(X38*[3]结果表!$G$19,0)</f>
        <v>73626</v>
      </c>
      <c r="Z38">
        <f t="shared" si="8"/>
        <v>52318</v>
      </c>
    </row>
    <row r="39" spans="2:26" ht="14.25" thickBot="1">
      <c r="B39" s="3480" t="s">
        <v>3500</v>
      </c>
      <c r="C39" s="3481">
        <v>6606.67</v>
      </c>
      <c r="D39" s="3481">
        <v>18018.59</v>
      </c>
      <c r="E39" s="3481">
        <v>1837.92</v>
      </c>
      <c r="F39" s="3481">
        <v>0</v>
      </c>
      <c r="G39" s="3481">
        <v>294.83999999999997</v>
      </c>
      <c r="H39" s="3481">
        <v>20151.349999999999</v>
      </c>
      <c r="I39">
        <f t="shared" si="1"/>
        <v>19856.510000000002</v>
      </c>
      <c r="J39" s="3461" t="s">
        <v>3524</v>
      </c>
      <c r="K39">
        <f>面积表!F27</f>
        <v>14000</v>
      </c>
      <c r="L39">
        <f t="shared" si="0"/>
        <v>27917</v>
      </c>
      <c r="M39">
        <f>L39/L44</f>
        <v>9.6587586884542595E-2</v>
      </c>
      <c r="N39">
        <f>D39*基准地价修正!$C$33+E39*基准地价修正!$C$40</f>
        <v>110394457.77</v>
      </c>
      <c r="O39">
        <f t="shared" si="2"/>
        <v>8.1579473866096389E-2</v>
      </c>
      <c r="P39">
        <f ca="1">ROUND([2]结果表!$F$118*M39,2)</f>
        <v>49585.65</v>
      </c>
      <c r="Q39">
        <f ca="1">ROUND(O39*[2]结果表!$D$118,2)</f>
        <v>22059.42</v>
      </c>
      <c r="R39" s="3474">
        <f t="shared" ca="1" si="3"/>
        <v>71645</v>
      </c>
      <c r="S39" s="3474">
        <f t="shared" ca="1" si="4"/>
        <v>35553</v>
      </c>
      <c r="T39">
        <f t="shared" ca="1" si="5"/>
        <v>9.1409695845384983E-2</v>
      </c>
      <c r="U39" s="3470">
        <f ca="1">ROUND(T39*[2]结果表!$N$59,1)</f>
        <v>58345</v>
      </c>
      <c r="V39" s="3470">
        <f t="shared" ca="1" si="6"/>
        <v>28953</v>
      </c>
      <c r="W39">
        <f>面积表!I27*价值分列!I39</f>
        <v>281962.44200000004</v>
      </c>
      <c r="X39">
        <f t="shared" si="7"/>
        <v>0.13522061640417993</v>
      </c>
      <c r="Y39">
        <f>ROUND(X39*[3]结果表!$G$19,0)</f>
        <v>106090</v>
      </c>
      <c r="Z39">
        <f t="shared" si="8"/>
        <v>52647</v>
      </c>
    </row>
    <row r="40" spans="2:26" ht="14.25" thickBot="1">
      <c r="B40" s="3480" t="s">
        <v>3501</v>
      </c>
      <c r="C40" s="3481">
        <v>4538.87</v>
      </c>
      <c r="D40" s="3481">
        <v>11728.85</v>
      </c>
      <c r="E40" s="3481">
        <v>1822.93</v>
      </c>
      <c r="F40" s="3481">
        <v>0</v>
      </c>
      <c r="G40" s="3481">
        <v>292.44</v>
      </c>
      <c r="H40" s="3481">
        <v>13844.22</v>
      </c>
      <c r="I40">
        <f t="shared" si="1"/>
        <v>13551.78</v>
      </c>
      <c r="J40" s="3461" t="s">
        <v>3525</v>
      </c>
      <c r="K40">
        <f>面积表!F29</f>
        <v>4000</v>
      </c>
      <c r="L40">
        <f t="shared" si="0"/>
        <v>5538</v>
      </c>
      <c r="M40">
        <f>L40/L44</f>
        <v>1.9160441887258548E-2</v>
      </c>
      <c r="N40">
        <f>D40*基准地价修正!$C$33+E40*基准地价修正!$C$40</f>
        <v>72766396.790000007</v>
      </c>
      <c r="O40">
        <f t="shared" si="2"/>
        <v>5.3773028874579944E-2</v>
      </c>
      <c r="P40">
        <f ca="1">ROUND([2]结果表!$F$118*M40,2)</f>
        <v>9836.49</v>
      </c>
      <c r="Q40">
        <f ca="1">ROUND(O40*[2]结果表!$D$118,2)</f>
        <v>14540.44</v>
      </c>
      <c r="R40" s="3474">
        <f t="shared" ca="1" si="3"/>
        <v>24377</v>
      </c>
      <c r="S40" s="3474">
        <f t="shared" ca="1" si="4"/>
        <v>17608</v>
      </c>
      <c r="T40">
        <f t="shared" ca="1" si="5"/>
        <v>3.1101879483885125E-2</v>
      </c>
      <c r="U40" s="3470">
        <f ca="1">ROUND(T40*[2]结果表!$N$59,1)</f>
        <v>19851.7</v>
      </c>
      <c r="V40" s="3470">
        <f t="shared" ca="1" si="6"/>
        <v>14339</v>
      </c>
      <c r="W40">
        <f>面积表!I29*价值分列!I40</f>
        <v>40655.340000000004</v>
      </c>
      <c r="X40">
        <f t="shared" si="7"/>
        <v>1.9497065268435688E-2</v>
      </c>
      <c r="Y40">
        <f>ROUND(X40*[3]结果表!$G$19,0)</f>
        <v>15297</v>
      </c>
      <c r="Z40">
        <f t="shared" si="8"/>
        <v>11049</v>
      </c>
    </row>
    <row r="41" spans="2:26" ht="14.25" thickBot="1">
      <c r="B41" s="3480" t="s">
        <v>3502</v>
      </c>
      <c r="C41" s="3481">
        <v>4615.87</v>
      </c>
      <c r="D41" s="3481">
        <v>11958.17</v>
      </c>
      <c r="E41" s="3481">
        <v>1828.5</v>
      </c>
      <c r="F41" s="3481">
        <v>0</v>
      </c>
      <c r="G41" s="3481">
        <v>292.44</v>
      </c>
      <c r="H41" s="3481">
        <v>14079.11</v>
      </c>
      <c r="I41">
        <f t="shared" si="1"/>
        <v>13786.67</v>
      </c>
      <c r="J41" s="3461" t="s">
        <v>3524</v>
      </c>
      <c r="K41">
        <f>面积表!F27</f>
        <v>14000</v>
      </c>
      <c r="L41">
        <f t="shared" si="0"/>
        <v>19418</v>
      </c>
      <c r="M41">
        <f>L41/L44</f>
        <v>6.7182640044562383E-2</v>
      </c>
      <c r="N41">
        <f>D41*基准地价修正!$C$33+E41*基准地价修正!$C$40</f>
        <v>74145566.430000007</v>
      </c>
      <c r="O41">
        <f t="shared" si="2"/>
        <v>5.4792209872213948E-2</v>
      </c>
      <c r="P41">
        <f ca="1">ROUND([2]结果表!$F$118*M41,2)</f>
        <v>34489.89</v>
      </c>
      <c r="Q41">
        <f ca="1">ROUND(O41*[2]结果表!$D$118,2)</f>
        <v>14816.03</v>
      </c>
      <c r="R41" s="3474">
        <f t="shared" ca="1" si="3"/>
        <v>49306</v>
      </c>
      <c r="S41" s="3474">
        <f t="shared" ca="1" si="4"/>
        <v>35021</v>
      </c>
      <c r="T41">
        <f t="shared" ca="1" si="5"/>
        <v>6.2908039128376753E-2</v>
      </c>
      <c r="U41" s="3470">
        <f ca="1">ROUND(T41*[2]结果表!$N$59,1)</f>
        <v>40152.9</v>
      </c>
      <c r="V41" s="3470">
        <f t="shared" ca="1" si="6"/>
        <v>28519</v>
      </c>
      <c r="W41">
        <f>面积表!I27*价值分列!I41</f>
        <v>195770.71399999998</v>
      </c>
      <c r="X41">
        <f t="shared" si="7"/>
        <v>9.3885683615147625E-2</v>
      </c>
      <c r="Y41">
        <f>ROUND(X41*[3]结果表!$G$19,0)</f>
        <v>73660</v>
      </c>
      <c r="Z41">
        <f t="shared" si="8"/>
        <v>52319</v>
      </c>
    </row>
    <row r="42" spans="2:26" ht="14.25" thickBot="1">
      <c r="B42" s="3480" t="s">
        <v>3503</v>
      </c>
      <c r="C42" s="3481">
        <v>4577.83</v>
      </c>
      <c r="D42" s="3481">
        <v>11836</v>
      </c>
      <c r="E42" s="3481">
        <v>1834.64</v>
      </c>
      <c r="F42" s="3481">
        <v>0</v>
      </c>
      <c r="G42" s="3481">
        <v>292.44</v>
      </c>
      <c r="H42" s="3481">
        <v>13963.08</v>
      </c>
      <c r="I42">
        <f t="shared" si="1"/>
        <v>13670.64</v>
      </c>
      <c r="J42" s="3461" t="s">
        <v>3525</v>
      </c>
      <c r="K42">
        <f>面积表!F29</f>
        <v>4000</v>
      </c>
      <c r="L42">
        <f t="shared" si="0"/>
        <v>5585</v>
      </c>
      <c r="M42">
        <f>L42/L44</f>
        <v>1.932305307698429E-2</v>
      </c>
      <c r="N42">
        <f>D42*基准地价修正!$C$33+E42*基准地价修正!$C$40</f>
        <v>73424002.719999999</v>
      </c>
      <c r="O42">
        <f t="shared" si="2"/>
        <v>5.4258987561857479E-2</v>
      </c>
      <c r="P42">
        <f ca="1">ROUND([2]结果表!$F$118*M42,2)</f>
        <v>9919.9699999999993</v>
      </c>
      <c r="Q42">
        <f ca="1">ROUND(O42*[2]结果表!$D$118,2)</f>
        <v>14671.85</v>
      </c>
      <c r="R42" s="3474">
        <f t="shared" ca="1" si="3"/>
        <v>24592</v>
      </c>
      <c r="S42" s="3474">
        <f t="shared" ca="1" si="4"/>
        <v>17612</v>
      </c>
      <c r="T42">
        <f t="shared" ca="1" si="5"/>
        <v>3.1376191502961934E-2</v>
      </c>
      <c r="U42" s="3470">
        <f ca="1">ROUND(T42*[2]结果表!$N$59,1)</f>
        <v>20026.8</v>
      </c>
      <c r="V42" s="3470">
        <f t="shared" ca="1" si="6"/>
        <v>14343</v>
      </c>
      <c r="W42">
        <f>面积表!I29*价值分列!I42</f>
        <v>41011.919999999998</v>
      </c>
      <c r="X42">
        <f t="shared" si="7"/>
        <v>1.9668070197515576E-2</v>
      </c>
      <c r="Y42">
        <f>ROUND(X42*[3]结果表!$G$19,0)</f>
        <v>15431</v>
      </c>
      <c r="Z42">
        <f t="shared" si="8"/>
        <v>11051</v>
      </c>
    </row>
    <row r="43" spans="2:26" ht="14.25" thickBot="1">
      <c r="B43" s="3482" t="s">
        <v>3456</v>
      </c>
      <c r="C43" s="3481">
        <v>16272.2</v>
      </c>
      <c r="D43" s="3481">
        <v>0</v>
      </c>
      <c r="E43" s="3481">
        <v>6948.57</v>
      </c>
      <c r="F43" s="3481">
        <v>39209.79</v>
      </c>
      <c r="G43" s="3481">
        <v>3474.28</v>
      </c>
      <c r="H43" s="3481">
        <v>49632.639999999999</v>
      </c>
      <c r="I43">
        <f>E43</f>
        <v>6948.57</v>
      </c>
      <c r="J43" s="3461"/>
      <c r="K43">
        <f>面积表!F31</f>
        <v>4000</v>
      </c>
      <c r="L43">
        <f>ROUND(H43*K43/10000,0)</f>
        <v>19853</v>
      </c>
      <c r="M43">
        <f>L43/L44</f>
        <v>6.8687658502662327E-2</v>
      </c>
      <c r="N43">
        <f>E43*基准地价修正!C40+F43*基准地价修正!C42</f>
        <v>44134836.869999997</v>
      </c>
      <c r="O43">
        <f t="shared" si="2"/>
        <v>3.261483269859438E-2</v>
      </c>
      <c r="P43">
        <f ca="1">ROUND([2]结果表!$F$118*M43,2)</f>
        <v>35262.53</v>
      </c>
      <c r="Q43">
        <f ca="1">ROUND(O43*[2]结果表!$D$118,2)</f>
        <v>8819.18</v>
      </c>
      <c r="R43" s="3474">
        <f t="shared" ca="1" si="3"/>
        <v>44082</v>
      </c>
      <c r="S43" s="3474">
        <f t="shared" ca="1" si="4"/>
        <v>8882</v>
      </c>
      <c r="T43">
        <f t="shared" ca="1" si="5"/>
        <v>5.6242894999738446E-2</v>
      </c>
      <c r="U43" s="3470">
        <f ca="1">ROUND(T43*[2]结果表!$N$59,1)</f>
        <v>35898.699999999997</v>
      </c>
      <c r="V43" s="3470">
        <f t="shared" ca="1" si="6"/>
        <v>7233</v>
      </c>
      <c r="W43">
        <f>面积表!I31*价值分列!I43+(400/30/35)*F43</f>
        <v>25359.917857142857</v>
      </c>
      <c r="X43">
        <f t="shared" si="7"/>
        <v>1.2161845741860281E-2</v>
      </c>
      <c r="Y43">
        <f>ROUND(X43*[3]结果表!$G$19,0)</f>
        <v>9542</v>
      </c>
      <c r="Z43">
        <f t="shared" si="8"/>
        <v>1923</v>
      </c>
    </row>
    <row r="44" spans="2:26" ht="14.25" thickBot="1">
      <c r="B44" s="3483" t="s">
        <v>3504</v>
      </c>
      <c r="C44" s="3479">
        <f>SUM(C29:C43)</f>
        <v>95778.03</v>
      </c>
      <c r="D44" s="3484">
        <f>SUM(D29:D43)</f>
        <v>212732.69</v>
      </c>
      <c r="E44" s="3484">
        <f>SUM(E29:E43)</f>
        <v>32604.690000000002</v>
      </c>
      <c r="F44" s="3484">
        <f>F43</f>
        <v>39209.79</v>
      </c>
      <c r="G44" s="3484">
        <f>SUM(G29:G43)</f>
        <v>7590.1900000000005</v>
      </c>
      <c r="H44" s="3484">
        <f>SUM(H29:H43)</f>
        <v>292137.36</v>
      </c>
      <c r="L44">
        <f t="shared" ref="L44:R44" si="9">SUM(L29:L43)</f>
        <v>289033</v>
      </c>
      <c r="M44">
        <f t="shared" si="9"/>
        <v>1</v>
      </c>
      <c r="N44">
        <f t="shared" si="9"/>
        <v>1353213652.1400001</v>
      </c>
      <c r="O44">
        <f t="shared" si="9"/>
        <v>0.99999999999999978</v>
      </c>
      <c r="P44">
        <f t="shared" ca="1" si="9"/>
        <v>513375.01</v>
      </c>
      <c r="Q44">
        <f t="shared" ca="1" si="9"/>
        <v>270404.01</v>
      </c>
      <c r="R44" s="3474">
        <f t="shared" ca="1" si="9"/>
        <v>783779</v>
      </c>
      <c r="S44" s="3474">
        <f ca="1">ROUND(R44/H44*10000,0)</f>
        <v>26829</v>
      </c>
      <c r="T44">
        <f ca="1">SUM(T29:T43)</f>
        <v>0.99999999999999989</v>
      </c>
      <c r="U44" s="3470">
        <f ca="1">SUM(U29:U43)</f>
        <v>638280</v>
      </c>
      <c r="V44" s="3470">
        <f t="shared" ca="1" si="6"/>
        <v>21849</v>
      </c>
      <c r="W44">
        <f>SUM(W29:W43)</f>
        <v>2085203.0518571429</v>
      </c>
      <c r="X44">
        <f>SUM(X29:X43)</f>
        <v>0.99999999999999989</v>
      </c>
      <c r="Y44">
        <f>SUM(Y29:Y43)</f>
        <v>784570</v>
      </c>
      <c r="Z44">
        <f t="shared" si="8"/>
        <v>26856</v>
      </c>
    </row>
    <row r="46" spans="2:26" ht="14.25" thickBot="1">
      <c r="B46" s="3503" t="s">
        <v>3505</v>
      </c>
      <c r="C46" s="3481">
        <f>C71</f>
        <v>7212.96</v>
      </c>
      <c r="D46" s="3481">
        <f t="shared" ref="D46:G48" si="10">D20</f>
        <v>17658.11</v>
      </c>
      <c r="E46" s="3481">
        <f t="shared" si="10"/>
        <v>1834.45</v>
      </c>
      <c r="F46" s="3481">
        <f t="shared" si="10"/>
        <v>0</v>
      </c>
      <c r="G46" s="3481">
        <f t="shared" si="10"/>
        <v>294.92</v>
      </c>
      <c r="H46" s="3481">
        <f>SUM(D46:G46)</f>
        <v>19787.48</v>
      </c>
      <c r="I46" s="3504">
        <f>D46+E46</f>
        <v>19492.560000000001</v>
      </c>
      <c r="J46" s="3461" t="s">
        <v>3524</v>
      </c>
      <c r="K46">
        <f>面积表!F44</f>
        <v>14000</v>
      </c>
      <c r="L46">
        <f>ROUND((I46*K46+4000*G46)/10000,0)</f>
        <v>27408</v>
      </c>
      <c r="M46">
        <f>L46/L49</f>
        <v>0.63350591715976334</v>
      </c>
      <c r="N46">
        <f>D46*基准地价修正!$C$33+E46*基准地价修正!$C$40</f>
        <v>108234123.28999999</v>
      </c>
      <c r="O46">
        <f>N46/$N$49</f>
        <v>0.33333453739418561</v>
      </c>
      <c r="P46">
        <f ca="1">ROUND(结果表!$F$118*M46*面积表!P44,0)</f>
        <v>45246</v>
      </c>
      <c r="Q46">
        <f ca="1">ROUND(O46*结果表!$D$118,2)</f>
        <v>18514.400000000001</v>
      </c>
      <c r="R46" s="3474">
        <f ca="1">ROUND(P46/$P$49*结果表!$F$118+Q46,0)</f>
        <v>64218</v>
      </c>
      <c r="S46" s="3474">
        <f ca="1">ROUND(R46/H46*10000,0)</f>
        <v>32454</v>
      </c>
      <c r="T46">
        <f ca="1">R46/$R$49</f>
        <v>0.50293689206334291</v>
      </c>
      <c r="U46" s="3470">
        <f ca="1">ROUND(T46*结果表!$N$59,0)</f>
        <v>51307</v>
      </c>
      <c r="V46" s="3470">
        <f ca="1">ROUND(U46/H46*10000,0)</f>
        <v>25929</v>
      </c>
    </row>
    <row r="47" spans="2:26" ht="14.25" thickBot="1">
      <c r="B47" s="3480" t="s">
        <v>3508</v>
      </c>
      <c r="C47" s="3481">
        <f t="shared" ref="C47:C48" si="11">C72</f>
        <v>6635.28</v>
      </c>
      <c r="D47" s="3481">
        <f t="shared" si="10"/>
        <v>17658.11</v>
      </c>
      <c r="E47" s="3481">
        <f t="shared" si="10"/>
        <v>1833.48</v>
      </c>
      <c r="F47" s="3481">
        <f t="shared" si="10"/>
        <v>0</v>
      </c>
      <c r="G47" s="3481">
        <f t="shared" si="10"/>
        <v>361.2</v>
      </c>
      <c r="H47" s="3481">
        <f t="shared" ref="H47:H48" si="12">SUM(D47:G47)</f>
        <v>19852.79</v>
      </c>
      <c r="I47" s="3504">
        <f t="shared" ref="I47:I48" si="13">D47+E47</f>
        <v>19491.59</v>
      </c>
      <c r="J47" s="3461" t="s">
        <v>3567</v>
      </c>
      <c r="K47">
        <f>面积表!F46</f>
        <v>4000</v>
      </c>
      <c r="L47">
        <f t="shared" ref="L47:L48" si="14">ROUND((I47*K47+4000*G47)/10000,0)</f>
        <v>7941</v>
      </c>
      <c r="M47">
        <f>L47/L49</f>
        <v>0.18354752218934911</v>
      </c>
      <c r="N47">
        <f>D47*基准地价修正!$C$33+E47*基准地价修正!$C$40</f>
        <v>108232718.73</v>
      </c>
      <c r="O47">
        <f>N47/$N$49</f>
        <v>0.33333021169408655</v>
      </c>
      <c r="P47">
        <f ca="1">ROUND(结果表!$F$118*M47*面积表!P46,0)</f>
        <v>13109</v>
      </c>
      <c r="Q47">
        <f ca="1">ROUND(O47*结果表!$D$118,2)</f>
        <v>18514.16</v>
      </c>
      <c r="R47" s="3474">
        <f ca="1">ROUND(P47/$P$49*结果表!$F$118+Q47,0)</f>
        <v>31756</v>
      </c>
      <c r="S47" s="3474">
        <f t="shared" ref="S47:S49" ca="1" si="15">ROUND(R47/H47*10000,0)</f>
        <v>15996</v>
      </c>
      <c r="T47">
        <f ca="1">R47/$R$49</f>
        <v>0.24870385163604466</v>
      </c>
      <c r="U47" s="3470">
        <f ca="1">ROUND(T47*结果表!$N$59,0)</f>
        <v>25372</v>
      </c>
      <c r="V47" s="3470">
        <f t="shared" ref="V47:V49" ca="1" si="16">ROUND(U47/H47*10000,0)</f>
        <v>12780</v>
      </c>
    </row>
    <row r="48" spans="2:26" ht="14.25" thickBot="1">
      <c r="B48" s="3480" t="s">
        <v>3509</v>
      </c>
      <c r="C48" s="3481">
        <f t="shared" si="11"/>
        <v>6607.41</v>
      </c>
      <c r="D48" s="3481">
        <f t="shared" si="10"/>
        <v>17658.11</v>
      </c>
      <c r="E48" s="3481">
        <f t="shared" si="10"/>
        <v>1834.61</v>
      </c>
      <c r="F48" s="3481">
        <f t="shared" si="10"/>
        <v>0</v>
      </c>
      <c r="G48" s="3481">
        <f t="shared" si="10"/>
        <v>294.92</v>
      </c>
      <c r="H48" s="3481">
        <f t="shared" si="12"/>
        <v>19787.64</v>
      </c>
      <c r="I48" s="3504">
        <f t="shared" si="13"/>
        <v>19492.72</v>
      </c>
      <c r="J48" s="3485" t="s">
        <v>3567</v>
      </c>
      <c r="K48">
        <f>面积表!F46</f>
        <v>4000</v>
      </c>
      <c r="L48">
        <f t="shared" si="14"/>
        <v>7915</v>
      </c>
      <c r="M48">
        <f>L48/L49</f>
        <v>0.18294656065088757</v>
      </c>
      <c r="N48">
        <f>D48*基准地价修正!$C$33+E48*基准地价修正!$C$40</f>
        <v>108234354.97</v>
      </c>
      <c r="O48">
        <f>N48/$N$49</f>
        <v>0.33333525091172778</v>
      </c>
      <c r="P48">
        <f ca="1">ROUND(结果表!$F$118*M48*面积表!P46,0)</f>
        <v>13066</v>
      </c>
      <c r="Q48">
        <f ca="1">ROUND(O48*结果表!$D$118,2)</f>
        <v>18514.439999999999</v>
      </c>
      <c r="R48" s="3474">
        <f ca="1">ROUND(P48/$P$49*结果表!$F$118+Q48-1,0)</f>
        <v>31712</v>
      </c>
      <c r="S48" s="3474">
        <f t="shared" ca="1" si="15"/>
        <v>16026</v>
      </c>
      <c r="T48">
        <f ca="1">R48/$R$49</f>
        <v>0.24835925630061245</v>
      </c>
      <c r="U48" s="3470">
        <f ca="1">ROUND(T48*结果表!$N$59,0)</f>
        <v>25336</v>
      </c>
      <c r="V48" s="3470">
        <f t="shared" ca="1" si="16"/>
        <v>12804</v>
      </c>
    </row>
    <row r="49" spans="2:22" ht="14.25" thickBot="1">
      <c r="B49" s="3483" t="s">
        <v>3504</v>
      </c>
      <c r="C49" s="3479">
        <f t="shared" ref="C49:H49" si="17">SUM(C46:C48)</f>
        <v>20455.650000000001</v>
      </c>
      <c r="D49" s="3479">
        <f t="shared" si="17"/>
        <v>52974.33</v>
      </c>
      <c r="E49" s="3479">
        <f t="shared" si="17"/>
        <v>5502.54</v>
      </c>
      <c r="F49" s="3479">
        <f t="shared" si="17"/>
        <v>0</v>
      </c>
      <c r="G49" s="3479">
        <f t="shared" si="17"/>
        <v>951.04</v>
      </c>
      <c r="H49" s="3479">
        <f t="shared" si="17"/>
        <v>59427.91</v>
      </c>
      <c r="L49">
        <f t="shared" ref="L49:R49" si="18">SUM(L46:L48)</f>
        <v>43264</v>
      </c>
      <c r="M49">
        <f t="shared" si="18"/>
        <v>1</v>
      </c>
      <c r="N49">
        <f t="shared" si="18"/>
        <v>324701196.99000001</v>
      </c>
      <c r="O49">
        <f t="shared" si="18"/>
        <v>1</v>
      </c>
      <c r="P49">
        <f t="shared" ca="1" si="18"/>
        <v>71421</v>
      </c>
      <c r="Q49">
        <f t="shared" ca="1" si="18"/>
        <v>55543</v>
      </c>
      <c r="R49" s="3474">
        <f t="shared" ca="1" si="18"/>
        <v>127686</v>
      </c>
      <c r="S49" s="3474">
        <f t="shared" ca="1" si="15"/>
        <v>21486</v>
      </c>
      <c r="T49">
        <f ca="1">SUM(T46:T48)</f>
        <v>1</v>
      </c>
      <c r="U49" s="3470">
        <f ca="1">SUM(U46:U48)</f>
        <v>102015</v>
      </c>
      <c r="V49" s="3470">
        <f t="shared" ca="1" si="16"/>
        <v>17166</v>
      </c>
    </row>
    <row r="50" spans="2:22">
      <c r="C50">
        <f>C49+C44</f>
        <v>116233.68</v>
      </c>
      <c r="D50">
        <f t="shared" ref="D50:H50" si="19">D49+D44</f>
        <v>265707.02</v>
      </c>
      <c r="E50">
        <f t="shared" si="19"/>
        <v>38107.230000000003</v>
      </c>
      <c r="F50">
        <f t="shared" si="19"/>
        <v>39209.79</v>
      </c>
      <c r="G50">
        <f t="shared" si="19"/>
        <v>8541.23</v>
      </c>
      <c r="H50">
        <f t="shared" si="19"/>
        <v>351565.27</v>
      </c>
    </row>
    <row r="52" spans="2:22" ht="27" customHeight="1" thickBot="1">
      <c r="B52" s="3469" t="s">
        <v>3592</v>
      </c>
    </row>
    <row r="53" spans="2:22" ht="14.25" thickBot="1">
      <c r="B53" s="3693" t="s">
        <v>3479</v>
      </c>
      <c r="C53" s="3693" t="s">
        <v>3526</v>
      </c>
      <c r="D53" s="3704" t="s">
        <v>3527</v>
      </c>
      <c r="E53" s="3706" t="s">
        <v>3528</v>
      </c>
      <c r="F53" s="3707"/>
      <c r="G53" s="3708" t="s">
        <v>3529</v>
      </c>
      <c r="H53" s="3709"/>
      <c r="I53" s="3710" t="s">
        <v>3530</v>
      </c>
      <c r="M53" s="3461" t="s">
        <v>3585</v>
      </c>
      <c r="O53" s="3461" t="s">
        <v>3588</v>
      </c>
      <c r="R53" s="3461" t="s">
        <v>3589</v>
      </c>
    </row>
    <row r="54" spans="2:22" ht="14.25" thickBot="1">
      <c r="B54" s="3694"/>
      <c r="C54" s="3694"/>
      <c r="D54" s="3705"/>
      <c r="E54" s="3488" t="s">
        <v>3531</v>
      </c>
      <c r="F54" s="3489" t="s">
        <v>3518</v>
      </c>
      <c r="G54" s="3489" t="s">
        <v>3531</v>
      </c>
      <c r="H54" s="3490" t="s">
        <v>3518</v>
      </c>
      <c r="I54" s="3711"/>
      <c r="M54" s="3461" t="s">
        <v>3586</v>
      </c>
      <c r="N54" s="3461" t="s">
        <v>3587</v>
      </c>
      <c r="O54" s="3461" t="s">
        <v>3586</v>
      </c>
      <c r="P54" s="3461" t="s">
        <v>3587</v>
      </c>
      <c r="R54" s="3461" t="s">
        <v>3590</v>
      </c>
    </row>
    <row r="55" spans="2:22" ht="24.75" thickBot="1">
      <c r="B55" s="3876" t="s">
        <v>3489</v>
      </c>
      <c r="C55" s="3481">
        <f>C29</f>
        <v>6488.41</v>
      </c>
      <c r="D55" s="3481">
        <v>19790.61</v>
      </c>
      <c r="E55" s="3481">
        <f t="shared" ref="E55:F58" ca="1" si="20">R29</f>
        <v>35689</v>
      </c>
      <c r="F55" s="3481">
        <f t="shared" ca="1" si="20"/>
        <v>18033</v>
      </c>
      <c r="G55" s="3481">
        <f t="shared" ref="G55:H70" ca="1" si="21">U29</f>
        <v>29063.8</v>
      </c>
      <c r="H55" s="3481">
        <f t="shared" ca="1" si="21"/>
        <v>14686</v>
      </c>
      <c r="I55" s="3480" t="s">
        <v>3532</v>
      </c>
      <c r="L55" t="s">
        <v>3568</v>
      </c>
      <c r="M55">
        <v>34465</v>
      </c>
      <c r="N55">
        <v>17415</v>
      </c>
      <c r="O55">
        <v>28275</v>
      </c>
      <c r="P55">
        <v>14287</v>
      </c>
      <c r="R55">
        <f>M55/$M$69</f>
        <v>4.9009918589356181E-2</v>
      </c>
    </row>
    <row r="56" spans="2:22" ht="24.75" thickBot="1">
      <c r="B56" s="3876" t="s">
        <v>3491</v>
      </c>
      <c r="C56" s="3481">
        <f t="shared" ref="C56:C69" si="22">C30</f>
        <v>6486.76</v>
      </c>
      <c r="D56" s="3481">
        <v>19785.59</v>
      </c>
      <c r="E56" s="3481">
        <f t="shared" ca="1" si="20"/>
        <v>35684</v>
      </c>
      <c r="F56" s="3481">
        <f t="shared" ca="1" si="20"/>
        <v>18035</v>
      </c>
      <c r="G56" s="3481">
        <f t="shared" ca="1" si="21"/>
        <v>29059.7</v>
      </c>
      <c r="H56" s="3481">
        <f t="shared" ca="1" si="21"/>
        <v>14687</v>
      </c>
      <c r="I56" s="3480" t="s">
        <v>3532</v>
      </c>
      <c r="L56" t="s">
        <v>3569</v>
      </c>
      <c r="M56">
        <v>34460</v>
      </c>
      <c r="N56">
        <v>17417</v>
      </c>
      <c r="O56">
        <v>28271</v>
      </c>
      <c r="P56">
        <v>14289</v>
      </c>
      <c r="R56">
        <f t="shared" ref="R56:R68" si="23">M56/$M$69</f>
        <v>4.9002808489459274E-2</v>
      </c>
    </row>
    <row r="57" spans="2:22" ht="24.75" thickBot="1">
      <c r="B57" s="3480" t="s">
        <v>3492</v>
      </c>
      <c r="C57" s="3481">
        <f t="shared" si="22"/>
        <v>6489.91</v>
      </c>
      <c r="D57" s="3481">
        <v>19795.21</v>
      </c>
      <c r="E57" s="3481">
        <f t="shared" ca="1" si="20"/>
        <v>70329</v>
      </c>
      <c r="F57" s="3481">
        <f t="shared" ca="1" si="20"/>
        <v>35528</v>
      </c>
      <c r="G57" s="3481">
        <f t="shared" ca="1" si="21"/>
        <v>57273.3</v>
      </c>
      <c r="H57" s="3481">
        <f t="shared" ca="1" si="21"/>
        <v>28933</v>
      </c>
      <c r="I57" s="3480" t="s">
        <v>3533</v>
      </c>
      <c r="L57" t="s">
        <v>3570</v>
      </c>
      <c r="M57">
        <v>69429</v>
      </c>
      <c r="N57">
        <v>35074</v>
      </c>
      <c r="O57">
        <v>56960</v>
      </c>
      <c r="P57">
        <v>28775</v>
      </c>
      <c r="R57">
        <f t="shared" si="23"/>
        <v>9.8729425148423339E-2</v>
      </c>
    </row>
    <row r="58" spans="2:22" ht="24.75" thickBot="1">
      <c r="B58" s="3480" t="s">
        <v>3493</v>
      </c>
      <c r="C58" s="3481">
        <f t="shared" si="22"/>
        <v>4402.47</v>
      </c>
      <c r="D58" s="3481">
        <v>13428.19</v>
      </c>
      <c r="E58" s="3481">
        <f t="shared" ca="1" si="20"/>
        <v>46910</v>
      </c>
      <c r="F58" s="3481">
        <f t="shared" ca="1" si="20"/>
        <v>34934</v>
      </c>
      <c r="G58" s="3481">
        <f t="shared" ca="1" si="21"/>
        <v>38201.699999999997</v>
      </c>
      <c r="H58" s="3481">
        <f t="shared" ca="1" si="21"/>
        <v>28449</v>
      </c>
      <c r="I58" s="3480" t="s">
        <v>3534</v>
      </c>
      <c r="L58" t="s">
        <v>3571</v>
      </c>
      <c r="M58">
        <v>46328</v>
      </c>
      <c r="N58">
        <v>34501</v>
      </c>
      <c r="O58">
        <v>38008</v>
      </c>
      <c r="P58">
        <v>28305</v>
      </c>
      <c r="R58">
        <f t="shared" si="23"/>
        <v>6.587934160474955E-2</v>
      </c>
    </row>
    <row r="59" spans="2:22" ht="24.75" thickBot="1">
      <c r="B59" s="3876" t="s">
        <v>3494</v>
      </c>
      <c r="C59" s="3481">
        <f t="shared" si="22"/>
        <v>6486.33</v>
      </c>
      <c r="D59" s="3481">
        <v>19784.27</v>
      </c>
      <c r="E59" s="3491">
        <f ca="1">R33</f>
        <v>70300</v>
      </c>
      <c r="F59" s="3481">
        <f ca="1">ROUND(E59*10000/D59,0)</f>
        <v>35533</v>
      </c>
      <c r="G59" s="3481">
        <f t="shared" ca="1" si="21"/>
        <v>57249.7</v>
      </c>
      <c r="H59" s="3481">
        <f t="shared" ca="1" si="21"/>
        <v>28937</v>
      </c>
      <c r="I59" s="3480" t="s">
        <v>3532</v>
      </c>
      <c r="K59" s="3477"/>
      <c r="L59" t="s">
        <v>3572</v>
      </c>
      <c r="M59">
        <v>69399</v>
      </c>
      <c r="N59">
        <v>35078</v>
      </c>
      <c r="O59">
        <v>56935</v>
      </c>
      <c r="P59">
        <v>28778</v>
      </c>
      <c r="R59">
        <f t="shared" si="23"/>
        <v>9.8686764549041919E-2</v>
      </c>
    </row>
    <row r="60" spans="2:22" ht="24.75" thickBot="1">
      <c r="B60" s="3480" t="s">
        <v>3495</v>
      </c>
      <c r="C60" s="3481">
        <f t="shared" si="22"/>
        <v>4613.8</v>
      </c>
      <c r="D60" s="3481">
        <v>14072.79</v>
      </c>
      <c r="E60" s="3481">
        <f ca="1">R34</f>
        <v>49288</v>
      </c>
      <c r="F60" s="3481">
        <f ca="1">S34</f>
        <v>35024</v>
      </c>
      <c r="G60" s="3481">
        <f t="shared" ca="1" si="21"/>
        <v>40138.300000000003</v>
      </c>
      <c r="H60" s="3481">
        <f t="shared" ca="1" si="21"/>
        <v>28522</v>
      </c>
      <c r="I60" s="3480" t="s">
        <v>3535</v>
      </c>
      <c r="L60" t="s">
        <v>3573</v>
      </c>
      <c r="M60">
        <v>48674</v>
      </c>
      <c r="N60">
        <v>34587</v>
      </c>
      <c r="O60">
        <v>39932</v>
      </c>
      <c r="P60">
        <v>28375</v>
      </c>
      <c r="R60">
        <f t="shared" si="23"/>
        <v>6.9215400476376698E-2</v>
      </c>
    </row>
    <row r="61" spans="2:22" ht="24.75" thickBot="1">
      <c r="B61" s="3876" t="s">
        <v>3496</v>
      </c>
      <c r="C61" s="3481">
        <f t="shared" si="22"/>
        <v>6488.02</v>
      </c>
      <c r="D61" s="3481">
        <v>19789.43</v>
      </c>
      <c r="E61" s="3491">
        <f ca="1">R35</f>
        <v>70313</v>
      </c>
      <c r="F61" s="3481">
        <f ca="1">ROUND(E61*10000/D61,0)</f>
        <v>35531</v>
      </c>
      <c r="G61" s="3481">
        <f t="shared" ca="1" si="21"/>
        <v>57260.3</v>
      </c>
      <c r="H61" s="3481">
        <f t="shared" ca="1" si="21"/>
        <v>28935</v>
      </c>
      <c r="I61" s="3480" t="s">
        <v>3536</v>
      </c>
      <c r="L61" t="s">
        <v>3574</v>
      </c>
      <c r="M61">
        <v>69414</v>
      </c>
      <c r="N61">
        <v>35076</v>
      </c>
      <c r="O61">
        <v>56947</v>
      </c>
      <c r="P61">
        <v>28776</v>
      </c>
      <c r="R61">
        <f t="shared" si="23"/>
        <v>9.8708094848732622E-2</v>
      </c>
    </row>
    <row r="62" spans="2:22" ht="24.75" thickBot="1">
      <c r="B62" s="3480" t="s">
        <v>3497</v>
      </c>
      <c r="C62" s="3481">
        <f t="shared" si="22"/>
        <v>6610.79</v>
      </c>
      <c r="D62" s="3481">
        <v>20163.89</v>
      </c>
      <c r="E62" s="3481">
        <f ca="1">R36</f>
        <v>71677</v>
      </c>
      <c r="F62" s="3481">
        <f ca="1">S36</f>
        <v>35547</v>
      </c>
      <c r="G62" s="3481">
        <f t="shared" ca="1" si="21"/>
        <v>58371</v>
      </c>
      <c r="H62" s="3481">
        <f t="shared" ca="1" si="21"/>
        <v>28948</v>
      </c>
      <c r="I62" s="3480" t="s">
        <v>3537</v>
      </c>
      <c r="L62" t="s">
        <v>3575</v>
      </c>
      <c r="M62">
        <v>70758</v>
      </c>
      <c r="N62">
        <v>35091</v>
      </c>
      <c r="O62">
        <v>58050</v>
      </c>
      <c r="P62">
        <v>28789</v>
      </c>
      <c r="R62">
        <f t="shared" si="23"/>
        <v>0.1006192897010203</v>
      </c>
    </row>
    <row r="63" spans="2:22" ht="24.75" thickBot="1">
      <c r="B63" s="3480" t="s">
        <v>3498</v>
      </c>
      <c r="C63" s="3481">
        <f t="shared" si="22"/>
        <v>6486.31</v>
      </c>
      <c r="D63" s="3481">
        <v>19784.22</v>
      </c>
      <c r="E63" s="3481">
        <f ca="1">R37</f>
        <v>70299</v>
      </c>
      <c r="F63" s="3481">
        <f ca="1">S37</f>
        <v>35533</v>
      </c>
      <c r="G63" s="3481">
        <f t="shared" ca="1" si="21"/>
        <v>57248.800000000003</v>
      </c>
      <c r="H63" s="3481">
        <f t="shared" ca="1" si="21"/>
        <v>28937</v>
      </c>
      <c r="I63" s="3480" t="s">
        <v>3538</v>
      </c>
      <c r="L63" t="s">
        <v>3576</v>
      </c>
      <c r="M63">
        <v>48674</v>
      </c>
      <c r="N63">
        <v>34587</v>
      </c>
      <c r="O63">
        <v>39932</v>
      </c>
      <c r="P63">
        <v>28375</v>
      </c>
      <c r="R63">
        <f t="shared" si="23"/>
        <v>6.9215400476376698E-2</v>
      </c>
    </row>
    <row r="64" spans="2:22" ht="24.75" thickBot="1">
      <c r="B64" s="3480" t="s">
        <v>3499</v>
      </c>
      <c r="C64" s="3481">
        <f t="shared" si="22"/>
        <v>4613.79</v>
      </c>
      <c r="D64" s="3481">
        <v>14072.76</v>
      </c>
      <c r="E64" s="3481">
        <f t="shared" ref="E64:F69" ca="1" si="24">R38</f>
        <v>49288</v>
      </c>
      <c r="F64" s="3481">
        <f t="shared" ca="1" si="24"/>
        <v>35024</v>
      </c>
      <c r="G64" s="3481">
        <f t="shared" ca="1" si="21"/>
        <v>40138.300000000003</v>
      </c>
      <c r="H64" s="3481">
        <f t="shared" ca="1" si="21"/>
        <v>28522</v>
      </c>
      <c r="I64" s="3480" t="s">
        <v>3539</v>
      </c>
      <c r="L64" t="s">
        <v>3577</v>
      </c>
      <c r="M64">
        <v>70727</v>
      </c>
      <c r="N64">
        <v>35098</v>
      </c>
      <c r="O64">
        <v>58025</v>
      </c>
      <c r="P64">
        <v>28795</v>
      </c>
      <c r="R64">
        <f t="shared" si="23"/>
        <v>0.1005752070816595</v>
      </c>
    </row>
    <row r="65" spans="2:18" ht="24.75" thickBot="1">
      <c r="B65" s="3480" t="s">
        <v>3500</v>
      </c>
      <c r="C65" s="3481">
        <f t="shared" si="22"/>
        <v>6606.67</v>
      </c>
      <c r="D65" s="3481">
        <v>20151.349999999999</v>
      </c>
      <c r="E65" s="3481">
        <f t="shared" ca="1" si="24"/>
        <v>71645</v>
      </c>
      <c r="F65" s="3481">
        <f t="shared" ca="1" si="24"/>
        <v>35553</v>
      </c>
      <c r="G65" s="3481">
        <f t="shared" ca="1" si="21"/>
        <v>58345</v>
      </c>
      <c r="H65" s="3481">
        <f t="shared" ca="1" si="21"/>
        <v>28953</v>
      </c>
      <c r="I65" s="3480" t="s">
        <v>3540</v>
      </c>
      <c r="L65" t="s">
        <v>3578</v>
      </c>
      <c r="M65">
        <v>23549</v>
      </c>
      <c r="N65">
        <v>17010</v>
      </c>
      <c r="O65">
        <v>19320</v>
      </c>
      <c r="P65">
        <v>13955</v>
      </c>
      <c r="R65">
        <f t="shared" si="23"/>
        <v>3.3487148494436347E-2</v>
      </c>
    </row>
    <row r="66" spans="2:18" ht="24.75" thickBot="1">
      <c r="B66" s="3876" t="s">
        <v>3501</v>
      </c>
      <c r="C66" s="3481">
        <f t="shared" si="22"/>
        <v>4538.87</v>
      </c>
      <c r="D66" s="3481">
        <v>13844.22</v>
      </c>
      <c r="E66" s="3481">
        <f t="shared" ca="1" si="24"/>
        <v>24377</v>
      </c>
      <c r="F66" s="3481">
        <f t="shared" ca="1" si="24"/>
        <v>17608</v>
      </c>
      <c r="G66" s="3481">
        <f t="shared" ca="1" si="21"/>
        <v>19851.7</v>
      </c>
      <c r="H66" s="3481">
        <f t="shared" ca="1" si="21"/>
        <v>14339</v>
      </c>
      <c r="I66" s="3480" t="s">
        <v>3541</v>
      </c>
      <c r="L66" t="s">
        <v>3579</v>
      </c>
      <c r="M66">
        <v>48692</v>
      </c>
      <c r="N66">
        <v>34585</v>
      </c>
      <c r="O66">
        <v>39947</v>
      </c>
      <c r="P66">
        <v>28373</v>
      </c>
      <c r="R66">
        <f t="shared" si="23"/>
        <v>6.9240996836005542E-2</v>
      </c>
    </row>
    <row r="67" spans="2:18" ht="24.75" thickBot="1">
      <c r="B67" s="3480" t="s">
        <v>3502</v>
      </c>
      <c r="C67" s="3481">
        <f t="shared" si="22"/>
        <v>4615.87</v>
      </c>
      <c r="D67" s="3481">
        <v>14079.11</v>
      </c>
      <c r="E67" s="3481">
        <f t="shared" ca="1" si="24"/>
        <v>49306</v>
      </c>
      <c r="F67" s="3481">
        <f t="shared" ca="1" si="24"/>
        <v>35021</v>
      </c>
      <c r="G67" s="3481">
        <f t="shared" ca="1" si="21"/>
        <v>40152.9</v>
      </c>
      <c r="H67" s="3481">
        <f t="shared" ca="1" si="21"/>
        <v>28519</v>
      </c>
      <c r="I67" s="3492" t="s">
        <v>3542</v>
      </c>
      <c r="L67" t="s">
        <v>3580</v>
      </c>
      <c r="M67">
        <v>23756</v>
      </c>
      <c r="N67">
        <v>17013</v>
      </c>
      <c r="O67">
        <v>19489</v>
      </c>
      <c r="P67">
        <v>13958</v>
      </c>
      <c r="R67">
        <f t="shared" si="23"/>
        <v>3.3781506630168157E-2</v>
      </c>
    </row>
    <row r="68" spans="2:18" ht="24.75" thickBot="1">
      <c r="B68" s="3876" t="s">
        <v>3503</v>
      </c>
      <c r="C68" s="3481">
        <f t="shared" si="22"/>
        <v>4577.83</v>
      </c>
      <c r="D68" s="3481">
        <v>13963.08</v>
      </c>
      <c r="E68" s="3481">
        <f t="shared" ca="1" si="24"/>
        <v>24592</v>
      </c>
      <c r="F68" s="3481">
        <f t="shared" ca="1" si="24"/>
        <v>17612</v>
      </c>
      <c r="G68" s="3481">
        <f t="shared" ca="1" si="21"/>
        <v>20026.8</v>
      </c>
      <c r="H68" s="3493">
        <f t="shared" ca="1" si="21"/>
        <v>14343</v>
      </c>
      <c r="I68" s="3494" t="s">
        <v>3536</v>
      </c>
      <c r="L68" t="s">
        <v>3456</v>
      </c>
      <c r="M68">
        <v>44900</v>
      </c>
      <c r="N68">
        <v>9046</v>
      </c>
      <c r="O68">
        <v>36837</v>
      </c>
      <c r="P68">
        <v>7422</v>
      </c>
      <c r="R68">
        <f t="shared" si="23"/>
        <v>6.3848697074193897E-2</v>
      </c>
    </row>
    <row r="69" spans="2:18" ht="24.75" thickBot="1">
      <c r="B69" s="3877" t="s">
        <v>3456</v>
      </c>
      <c r="C69" s="3481">
        <f t="shared" si="22"/>
        <v>16272.2</v>
      </c>
      <c r="D69" s="3481">
        <v>49632.639999999999</v>
      </c>
      <c r="E69" s="3481">
        <f t="shared" ca="1" si="24"/>
        <v>44082</v>
      </c>
      <c r="F69" s="3481">
        <f t="shared" ca="1" si="24"/>
        <v>8882</v>
      </c>
      <c r="G69" s="3481">
        <f t="shared" ca="1" si="21"/>
        <v>35898.699999999997</v>
      </c>
      <c r="H69" s="3493">
        <f t="shared" ca="1" si="21"/>
        <v>7233</v>
      </c>
      <c r="I69" s="3495" t="s">
        <v>3543</v>
      </c>
      <c r="L69" t="s">
        <v>3504</v>
      </c>
      <c r="M69">
        <v>703225</v>
      </c>
      <c r="N69">
        <v>25820</v>
      </c>
      <c r="O69">
        <v>576928</v>
      </c>
      <c r="P69">
        <v>21183</v>
      </c>
    </row>
    <row r="70" spans="2:18" ht="14.25" thickBot="1">
      <c r="B70" s="3483" t="s">
        <v>3544</v>
      </c>
      <c r="C70" s="3496">
        <f>SUM(C55:C69)</f>
        <v>95778.03</v>
      </c>
      <c r="D70" s="3484">
        <f>SUM(D55:D69)</f>
        <v>292137.36</v>
      </c>
      <c r="E70" s="3484">
        <f ca="1">SUM(E55:E69)</f>
        <v>783779</v>
      </c>
      <c r="F70" s="3484">
        <f ca="1">ROUND(E70/D70*10000,0)</f>
        <v>26829</v>
      </c>
      <c r="G70" s="3484">
        <f t="shared" ca="1" si="21"/>
        <v>638280</v>
      </c>
      <c r="H70" s="3497">
        <f t="shared" ca="1" si="21"/>
        <v>21849</v>
      </c>
      <c r="I70" s="3498" t="s">
        <v>3545</v>
      </c>
      <c r="L70" t="s">
        <v>3581</v>
      </c>
      <c r="M70">
        <v>68761</v>
      </c>
      <c r="N70">
        <v>34750</v>
      </c>
      <c r="O70">
        <v>54976</v>
      </c>
      <c r="P70">
        <v>27783</v>
      </c>
      <c r="R70">
        <f>M70/$M$74</f>
        <v>0.33629058683712443</v>
      </c>
    </row>
    <row r="71" spans="2:18" ht="14.25" thickBot="1">
      <c r="B71" s="3878" t="s">
        <v>3505</v>
      </c>
      <c r="C71" s="3499">
        <v>7212.96</v>
      </c>
      <c r="D71" s="3481">
        <v>19787.48</v>
      </c>
      <c r="E71" s="3712">
        <f ca="1">结果表!H118</f>
        <v>127686</v>
      </c>
      <c r="F71" s="3712">
        <f ca="1">结果表!I118</f>
        <v>21486</v>
      </c>
      <c r="G71" s="3712">
        <f ca="1">结果表!N59</f>
        <v>102015</v>
      </c>
      <c r="H71" s="3715">
        <f ca="1">结果表!N61</f>
        <v>17166</v>
      </c>
      <c r="I71" s="3710" t="s">
        <v>3545</v>
      </c>
      <c r="L71" t="s">
        <v>3582</v>
      </c>
      <c r="M71">
        <v>33502</v>
      </c>
      <c r="N71">
        <v>16875</v>
      </c>
      <c r="O71">
        <v>26786</v>
      </c>
      <c r="P71">
        <v>13492</v>
      </c>
      <c r="R71">
        <f t="shared" ref="R71:R73" si="25">M71/$M$74</f>
        <v>0.16384879859538609</v>
      </c>
    </row>
    <row r="72" spans="2:18" ht="14.25" thickBot="1">
      <c r="B72" s="3878" t="s">
        <v>3508</v>
      </c>
      <c r="C72" s="3499">
        <v>6635.28</v>
      </c>
      <c r="D72" s="3481">
        <v>19852.79</v>
      </c>
      <c r="E72" s="3713"/>
      <c r="F72" s="3713"/>
      <c r="G72" s="3713"/>
      <c r="H72" s="3716"/>
      <c r="I72" s="3718"/>
      <c r="L72" t="s">
        <v>3583</v>
      </c>
      <c r="M72">
        <v>68751</v>
      </c>
      <c r="N72">
        <v>34750</v>
      </c>
      <c r="O72">
        <v>54968</v>
      </c>
      <c r="P72">
        <v>27784</v>
      </c>
      <c r="R72">
        <f t="shared" si="25"/>
        <v>0.33624167966782248</v>
      </c>
    </row>
    <row r="73" spans="2:18" ht="14.25" thickBot="1">
      <c r="B73" s="3878" t="s">
        <v>3509</v>
      </c>
      <c r="C73" s="3499">
        <v>6607.41</v>
      </c>
      <c r="D73" s="3481">
        <v>19787.64</v>
      </c>
      <c r="E73" s="3713"/>
      <c r="F73" s="3713"/>
      <c r="G73" s="3713"/>
      <c r="H73" s="3716"/>
      <c r="I73" s="3718"/>
      <c r="L73" t="s">
        <v>3584</v>
      </c>
      <c r="M73">
        <v>33455</v>
      </c>
      <c r="N73">
        <v>16907</v>
      </c>
      <c r="O73">
        <v>26748</v>
      </c>
      <c r="P73">
        <v>13518</v>
      </c>
      <c r="R73">
        <f t="shared" si="25"/>
        <v>0.16361893489966695</v>
      </c>
    </row>
    <row r="74" spans="2:18" ht="14.25" thickBot="1">
      <c r="B74" s="3483" t="s">
        <v>3504</v>
      </c>
      <c r="C74" s="3484">
        <f>SUM(C71:C73)</f>
        <v>20455.650000000001</v>
      </c>
      <c r="D74" s="3484">
        <f>SUM(D71:D73)</f>
        <v>59427.91</v>
      </c>
      <c r="E74" s="3714"/>
      <c r="F74" s="3714"/>
      <c r="G74" s="3714"/>
      <c r="H74" s="3717"/>
      <c r="I74" s="3719"/>
      <c r="L74" t="s">
        <v>3504</v>
      </c>
      <c r="M74">
        <v>204469</v>
      </c>
      <c r="N74">
        <v>25813</v>
      </c>
      <c r="O74">
        <v>163478</v>
      </c>
      <c r="P74">
        <v>20638</v>
      </c>
    </row>
    <row r="75" spans="2:18" ht="14.25" thickBot="1">
      <c r="B75" s="3483" t="s">
        <v>3483</v>
      </c>
      <c r="C75" s="3484">
        <f>C70+C74</f>
        <v>116233.68</v>
      </c>
      <c r="D75" s="3484">
        <f>D70+D74</f>
        <v>351565.27</v>
      </c>
      <c r="E75" s="3484">
        <f ca="1">E70+E71</f>
        <v>911465</v>
      </c>
      <c r="F75" s="3484" t="s">
        <v>3545</v>
      </c>
      <c r="G75" s="3484">
        <f ca="1">G70+G71</f>
        <v>740295</v>
      </c>
      <c r="H75" s="3497" t="s">
        <v>3545</v>
      </c>
      <c r="I75" s="3500" t="s">
        <v>3545</v>
      </c>
      <c r="L75" t="s">
        <v>3483</v>
      </c>
      <c r="M75">
        <v>907694</v>
      </c>
      <c r="N75" t="s">
        <v>43</v>
      </c>
      <c r="O75">
        <v>740406</v>
      </c>
      <c r="P75" t="s">
        <v>43</v>
      </c>
    </row>
    <row r="77" spans="2:18">
      <c r="C77" s="3461" t="s">
        <v>3591</v>
      </c>
      <c r="D77">
        <f ca="1">E55+E56+E59+E61+E66+E68+E69+E71</f>
        <v>432723</v>
      </c>
    </row>
    <row r="78" spans="2:18">
      <c r="C78" s="3461" t="s">
        <v>3588</v>
      </c>
      <c r="D78">
        <f ca="1">G55+G56+G59+G61+G66+G68+G69+G71</f>
        <v>350425.7</v>
      </c>
    </row>
    <row r="79" spans="2:18">
      <c r="C79" s="3461"/>
    </row>
    <row r="80" spans="2:18">
      <c r="C80" s="3461"/>
    </row>
    <row r="81" spans="2:23" ht="27" customHeight="1" thickBot="1">
      <c r="B81" s="3469" t="s">
        <v>3593</v>
      </c>
    </row>
    <row r="82" spans="2:23" ht="14.25" customHeight="1" thickBot="1">
      <c r="B82" s="3693" t="s">
        <v>3479</v>
      </c>
      <c r="C82" s="3693" t="s">
        <v>3526</v>
      </c>
      <c r="D82" s="3704" t="s">
        <v>3527</v>
      </c>
      <c r="E82" s="3706" t="s">
        <v>3528</v>
      </c>
      <c r="F82" s="3707"/>
      <c r="G82" s="3708" t="s">
        <v>3529</v>
      </c>
      <c r="H82" s="3709"/>
      <c r="I82" s="3710" t="s">
        <v>3530</v>
      </c>
      <c r="M82" s="3461" t="s">
        <v>3585</v>
      </c>
      <c r="O82" s="3461" t="s">
        <v>3588</v>
      </c>
      <c r="R82" s="3461" t="s">
        <v>3589</v>
      </c>
      <c r="U82" s="3461" t="s">
        <v>3594</v>
      </c>
    </row>
    <row r="83" spans="2:23" ht="14.25" thickBot="1">
      <c r="B83" s="3694"/>
      <c r="C83" s="3694"/>
      <c r="D83" s="3705"/>
      <c r="E83" s="3488" t="s">
        <v>3531</v>
      </c>
      <c r="F83" s="3489" t="s">
        <v>3518</v>
      </c>
      <c r="G83" s="3489" t="s">
        <v>3531</v>
      </c>
      <c r="H83" s="3490" t="s">
        <v>3518</v>
      </c>
      <c r="I83" s="3711"/>
      <c r="M83" s="3461" t="s">
        <v>3586</v>
      </c>
      <c r="N83" s="3461" t="s">
        <v>3587</v>
      </c>
      <c r="O83" s="3461" t="s">
        <v>3586</v>
      </c>
      <c r="P83" s="3461" t="s">
        <v>3587</v>
      </c>
      <c r="R83" s="3461" t="s">
        <v>3590</v>
      </c>
      <c r="S83" s="3461" t="s">
        <v>3595</v>
      </c>
      <c r="T83" s="3461" t="s">
        <v>3596</v>
      </c>
      <c r="U83" s="3461" t="s">
        <v>3597</v>
      </c>
      <c r="V83" s="3461" t="s">
        <v>3595</v>
      </c>
      <c r="W83" s="3461" t="s">
        <v>3596</v>
      </c>
    </row>
    <row r="84" spans="2:23" ht="24.75" thickBot="1">
      <c r="B84" s="3876" t="s">
        <v>3489</v>
      </c>
      <c r="C84" s="3481">
        <v>6488.41</v>
      </c>
      <c r="D84" s="3481">
        <v>19790.61</v>
      </c>
      <c r="E84" s="3481">
        <f ca="1">S84</f>
        <v>34608</v>
      </c>
      <c r="F84" s="3481">
        <f t="shared" ref="F84:F87" si="26">S58</f>
        <v>0</v>
      </c>
      <c r="G84" s="3481">
        <f ca="1">V84</f>
        <v>28271</v>
      </c>
      <c r="H84" s="3481">
        <f t="shared" ref="H84:H99" si="27">V58</f>
        <v>0</v>
      </c>
      <c r="I84" s="3509" t="s">
        <v>3532</v>
      </c>
      <c r="L84" s="3474" t="s">
        <v>3568</v>
      </c>
      <c r="M84">
        <v>34465</v>
      </c>
      <c r="N84">
        <v>17415</v>
      </c>
      <c r="O84">
        <v>28275</v>
      </c>
      <c r="P84">
        <v>14287</v>
      </c>
      <c r="R84">
        <f>M84/$M$104</f>
        <v>3.7969844463001848E-2</v>
      </c>
      <c r="S84">
        <f ca="1">ROUND(R84*$E$75,0)</f>
        <v>34608</v>
      </c>
      <c r="T84">
        <f ca="1">ROUND(S84/D84*10000,0)</f>
        <v>17487</v>
      </c>
      <c r="U84">
        <f>O84/$O$104</f>
        <v>3.8188507386487956E-2</v>
      </c>
      <c r="V84">
        <f ca="1">ROUND(U84*$G$75,0)</f>
        <v>28271</v>
      </c>
      <c r="W84">
        <f ca="1">ROUND(V84/D84*10000,0)</f>
        <v>14285</v>
      </c>
    </row>
    <row r="85" spans="2:23" ht="24.75" thickBot="1">
      <c r="B85" s="3876" t="s">
        <v>3491</v>
      </c>
      <c r="C85" s="3481">
        <v>6486.76</v>
      </c>
      <c r="D85" s="3481">
        <v>19785.59</v>
      </c>
      <c r="E85" s="3481">
        <f t="shared" ref="E85:E91" ca="1" si="28">S85</f>
        <v>34603</v>
      </c>
      <c r="F85" s="3481">
        <f t="shared" si="26"/>
        <v>0</v>
      </c>
      <c r="G85" s="3481">
        <f t="shared" ref="G85:G91" ca="1" si="29">V85</f>
        <v>28267</v>
      </c>
      <c r="H85" s="3481">
        <f t="shared" si="27"/>
        <v>0</v>
      </c>
      <c r="I85" s="3509" t="s">
        <v>3532</v>
      </c>
      <c r="L85" s="3474" t="s">
        <v>3569</v>
      </c>
      <c r="M85">
        <v>34460</v>
      </c>
      <c r="N85">
        <v>17417</v>
      </c>
      <c r="O85">
        <v>28271</v>
      </c>
      <c r="P85">
        <v>14289</v>
      </c>
      <c r="R85">
        <f t="shared" ref="R85:R97" si="30">M85/$M$104</f>
        <v>3.7964335998695593E-2</v>
      </c>
      <c r="S85">
        <f t="shared" ref="S85:S97" ca="1" si="31">ROUND(R85*$E$75,0)</f>
        <v>34603</v>
      </c>
      <c r="T85">
        <f t="shared" ref="T85:T102" ca="1" si="32">ROUND(S85/D85*10000,0)</f>
        <v>17489</v>
      </c>
      <c r="U85">
        <f>O85/$O$104</f>
        <v>3.8183104945124703E-2</v>
      </c>
      <c r="V85">
        <f t="shared" ref="V85:V97" ca="1" si="33">ROUND(U85*$G$75,0)</f>
        <v>28267</v>
      </c>
      <c r="W85">
        <f t="shared" ref="W85:W97" ca="1" si="34">ROUND(V85/D85*10000,0)</f>
        <v>14287</v>
      </c>
    </row>
    <row r="86" spans="2:23" ht="24.75" thickBot="1">
      <c r="B86" s="3509" t="s">
        <v>3492</v>
      </c>
      <c r="C86" s="3481">
        <v>6489.91</v>
      </c>
      <c r="D86" s="3481">
        <v>19795.21</v>
      </c>
      <c r="E86" s="3481">
        <f t="shared" ca="1" si="28"/>
        <v>69717</v>
      </c>
      <c r="F86" s="3481">
        <f t="shared" si="26"/>
        <v>0</v>
      </c>
      <c r="G86" s="3481">
        <f t="shared" ca="1" si="29"/>
        <v>56951</v>
      </c>
      <c r="H86" s="3481">
        <f t="shared" si="27"/>
        <v>0</v>
      </c>
      <c r="I86" s="3509" t="s">
        <v>3533</v>
      </c>
      <c r="L86" t="s">
        <v>3570</v>
      </c>
      <c r="M86">
        <v>69429</v>
      </c>
      <c r="N86">
        <v>35074</v>
      </c>
      <c r="O86">
        <v>56960</v>
      </c>
      <c r="P86">
        <v>28775</v>
      </c>
      <c r="R86">
        <f t="shared" si="30"/>
        <v>7.6489433663767745E-2</v>
      </c>
      <c r="S86">
        <f t="shared" ca="1" si="31"/>
        <v>69717</v>
      </c>
      <c r="T86">
        <f t="shared" ca="1" si="32"/>
        <v>35219</v>
      </c>
      <c r="U86">
        <f>O86/$O$104</f>
        <v>7.6930765012709248E-2</v>
      </c>
      <c r="V86">
        <f t="shared" ca="1" si="33"/>
        <v>56951</v>
      </c>
      <c r="W86">
        <f t="shared" ca="1" si="34"/>
        <v>28770</v>
      </c>
    </row>
    <row r="87" spans="2:23" ht="24.75" thickBot="1">
      <c r="B87" s="3509" t="s">
        <v>3493</v>
      </c>
      <c r="C87" s="3481">
        <v>4402.47</v>
      </c>
      <c r="D87" s="3481">
        <v>13428.19</v>
      </c>
      <c r="E87" s="3481">
        <f t="shared" ca="1" si="28"/>
        <v>46520</v>
      </c>
      <c r="F87" s="3481">
        <f t="shared" si="26"/>
        <v>0</v>
      </c>
      <c r="G87" s="3481">
        <f t="shared" ca="1" si="29"/>
        <v>38002</v>
      </c>
      <c r="H87" s="3481">
        <f t="shared" si="27"/>
        <v>0</v>
      </c>
      <c r="I87" s="3509" t="s">
        <v>3534</v>
      </c>
      <c r="L87" t="s">
        <v>3571</v>
      </c>
      <c r="M87">
        <v>46328</v>
      </c>
      <c r="N87">
        <v>34501</v>
      </c>
      <c r="O87">
        <v>38008</v>
      </c>
      <c r="P87">
        <v>28305</v>
      </c>
      <c r="R87">
        <f t="shared" si="30"/>
        <v>5.1039226876017689E-2</v>
      </c>
      <c r="S87">
        <f t="shared" ca="1" si="31"/>
        <v>46520</v>
      </c>
      <c r="T87">
        <f t="shared" ca="1" si="32"/>
        <v>34644</v>
      </c>
      <c r="U87">
        <f>O87/$O$104</f>
        <v>5.1333997833621012E-2</v>
      </c>
      <c r="V87">
        <f t="shared" ca="1" si="33"/>
        <v>38002</v>
      </c>
      <c r="W87">
        <f t="shared" ca="1" si="34"/>
        <v>28300</v>
      </c>
    </row>
    <row r="88" spans="2:23" ht="24.75" thickBot="1">
      <c r="B88" s="3876" t="s">
        <v>3494</v>
      </c>
      <c r="C88" s="3481">
        <v>6486.33</v>
      </c>
      <c r="D88" s="3481">
        <v>19784.27</v>
      </c>
      <c r="E88" s="3481">
        <f t="shared" ca="1" si="28"/>
        <v>69687</v>
      </c>
      <c r="F88" s="3481">
        <f ca="1">ROUND(E88*10000/D88,0)</f>
        <v>35223</v>
      </c>
      <c r="G88" s="3481">
        <f t="shared" ca="1" si="29"/>
        <v>56926</v>
      </c>
      <c r="H88" s="3481">
        <f t="shared" si="27"/>
        <v>0</v>
      </c>
      <c r="I88" s="3509" t="s">
        <v>3532</v>
      </c>
      <c r="K88" s="3477"/>
      <c r="L88" s="3474" t="s">
        <v>3572</v>
      </c>
      <c r="M88">
        <v>69399</v>
      </c>
      <c r="N88">
        <v>35078</v>
      </c>
      <c r="O88">
        <v>56935</v>
      </c>
      <c r="P88">
        <v>28778</v>
      </c>
      <c r="R88">
        <f t="shared" si="30"/>
        <v>7.6456382877930232E-2</v>
      </c>
      <c r="S88">
        <f t="shared" ca="1" si="31"/>
        <v>69687</v>
      </c>
      <c r="T88">
        <f t="shared" ca="1" si="32"/>
        <v>35223</v>
      </c>
      <c r="U88">
        <f>O88/$O$104</f>
        <v>7.6896999754188913E-2</v>
      </c>
      <c r="V88">
        <f t="shared" ca="1" si="33"/>
        <v>56926</v>
      </c>
      <c r="W88">
        <f t="shared" ca="1" si="34"/>
        <v>28773</v>
      </c>
    </row>
    <row r="89" spans="2:23" ht="24.75" thickBot="1">
      <c r="B89" s="3509" t="s">
        <v>3495</v>
      </c>
      <c r="C89" s="3481">
        <v>4613.8</v>
      </c>
      <c r="D89" s="3481">
        <v>14072.79</v>
      </c>
      <c r="E89" s="3481">
        <f t="shared" ca="1" si="28"/>
        <v>48876</v>
      </c>
      <c r="F89" s="3481">
        <f>S63</f>
        <v>0</v>
      </c>
      <c r="G89" s="3481">
        <f t="shared" ca="1" si="29"/>
        <v>39926</v>
      </c>
      <c r="H89" s="3481">
        <f t="shared" si="27"/>
        <v>0</v>
      </c>
      <c r="I89" s="3509" t="s">
        <v>3535</v>
      </c>
      <c r="L89" t="s">
        <v>3573</v>
      </c>
      <c r="M89">
        <v>48674</v>
      </c>
      <c r="N89">
        <v>34587</v>
      </c>
      <c r="O89">
        <v>39932</v>
      </c>
      <c r="P89">
        <v>28375</v>
      </c>
      <c r="R89">
        <f t="shared" si="30"/>
        <v>5.3623798328511593E-2</v>
      </c>
      <c r="S89">
        <f t="shared" ca="1" si="31"/>
        <v>48876</v>
      </c>
      <c r="T89">
        <f t="shared" ca="1" si="32"/>
        <v>34731</v>
      </c>
      <c r="U89">
        <f>O89/$O$104</f>
        <v>5.3932572129345248E-2</v>
      </c>
      <c r="V89">
        <f t="shared" ca="1" si="33"/>
        <v>39926</v>
      </c>
      <c r="W89">
        <f t="shared" ca="1" si="34"/>
        <v>28371</v>
      </c>
    </row>
    <row r="90" spans="2:23" ht="24.75" thickBot="1">
      <c r="B90" s="3876" t="s">
        <v>3496</v>
      </c>
      <c r="C90" s="3481">
        <v>6488.02</v>
      </c>
      <c r="D90" s="3481">
        <v>19789.43</v>
      </c>
      <c r="E90" s="3481">
        <f t="shared" ca="1" si="28"/>
        <v>69702</v>
      </c>
      <c r="F90" s="3481">
        <f ca="1">ROUND(E90*10000/D90,0)</f>
        <v>35222</v>
      </c>
      <c r="G90" s="3481">
        <f t="shared" ca="1" si="29"/>
        <v>56938</v>
      </c>
      <c r="H90" s="3481">
        <f t="shared" si="27"/>
        <v>0</v>
      </c>
      <c r="I90" s="3509" t="s">
        <v>3536</v>
      </c>
      <c r="L90" s="3474" t="s">
        <v>3574</v>
      </c>
      <c r="M90">
        <v>69414</v>
      </c>
      <c r="N90">
        <v>35076</v>
      </c>
      <c r="O90">
        <v>56947</v>
      </c>
      <c r="P90">
        <v>28776</v>
      </c>
      <c r="R90">
        <f t="shared" si="30"/>
        <v>7.6472908270848988E-2</v>
      </c>
      <c r="S90">
        <f t="shared" ca="1" si="31"/>
        <v>69702</v>
      </c>
      <c r="T90">
        <f t="shared" ca="1" si="32"/>
        <v>35222</v>
      </c>
      <c r="U90">
        <f>O90/$O$104</f>
        <v>7.6913207078278673E-2</v>
      </c>
      <c r="V90">
        <f t="shared" ca="1" si="33"/>
        <v>56938</v>
      </c>
      <c r="W90">
        <f t="shared" ca="1" si="34"/>
        <v>28772</v>
      </c>
    </row>
    <row r="91" spans="2:23" ht="24.75" thickBot="1">
      <c r="B91" s="3509" t="s">
        <v>3497</v>
      </c>
      <c r="C91" s="3481">
        <v>6610.79</v>
      </c>
      <c r="D91" s="3481">
        <v>20163.89</v>
      </c>
      <c r="E91" s="3481">
        <f t="shared" ca="1" si="28"/>
        <v>71052</v>
      </c>
      <c r="F91" s="3481">
        <f>S65</f>
        <v>0</v>
      </c>
      <c r="G91" s="3481">
        <f t="shared" ca="1" si="29"/>
        <v>58041</v>
      </c>
      <c r="H91" s="3481">
        <f t="shared" si="27"/>
        <v>0</v>
      </c>
      <c r="I91" s="3509" t="s">
        <v>3537</v>
      </c>
      <c r="L91" t="s">
        <v>3575</v>
      </c>
      <c r="M91">
        <v>70758</v>
      </c>
      <c r="N91">
        <v>35091</v>
      </c>
      <c r="O91">
        <v>58050</v>
      </c>
      <c r="P91">
        <v>28789</v>
      </c>
      <c r="R91">
        <f t="shared" si="30"/>
        <v>7.7953583476369784E-2</v>
      </c>
      <c r="S91">
        <f t="shared" ca="1" si="31"/>
        <v>71052</v>
      </c>
      <c r="T91">
        <f t="shared" ca="1" si="32"/>
        <v>35237</v>
      </c>
      <c r="U91">
        <f>O91/$O$104</f>
        <v>7.8402930284195427E-2</v>
      </c>
      <c r="V91">
        <f t="shared" ca="1" si="33"/>
        <v>58041</v>
      </c>
      <c r="W91">
        <f t="shared" ca="1" si="34"/>
        <v>28785</v>
      </c>
    </row>
    <row r="92" spans="2:23" ht="24.75" thickBot="1">
      <c r="B92" s="3509" t="s">
        <v>3498</v>
      </c>
      <c r="C92" s="3481">
        <v>6486.31</v>
      </c>
      <c r="D92" s="3481">
        <v>19784.22</v>
      </c>
      <c r="E92" s="3481">
        <f ca="1">S101</f>
        <v>69037</v>
      </c>
      <c r="F92" s="3481">
        <f>S66</f>
        <v>0</v>
      </c>
      <c r="G92" s="3481">
        <f ca="1">V101</f>
        <v>54960</v>
      </c>
      <c r="H92" s="3481">
        <f t="shared" si="27"/>
        <v>0</v>
      </c>
      <c r="I92" s="3509" t="s">
        <v>3538</v>
      </c>
      <c r="L92" t="s">
        <v>3576</v>
      </c>
      <c r="M92">
        <v>48674</v>
      </c>
      <c r="N92">
        <v>34587</v>
      </c>
      <c r="O92">
        <v>39932</v>
      </c>
      <c r="P92">
        <v>28375</v>
      </c>
      <c r="R92">
        <f t="shared" si="30"/>
        <v>5.3623798328511593E-2</v>
      </c>
      <c r="S92">
        <f t="shared" ca="1" si="31"/>
        <v>48876</v>
      </c>
      <c r="T92">
        <f t="shared" ca="1" si="32"/>
        <v>24705</v>
      </c>
      <c r="U92">
        <f>O92/$O$104</f>
        <v>5.3932572129345248E-2</v>
      </c>
      <c r="V92">
        <f t="shared" ca="1" si="33"/>
        <v>39926</v>
      </c>
      <c r="W92">
        <f t="shared" ca="1" si="34"/>
        <v>20181</v>
      </c>
    </row>
    <row r="93" spans="2:23" ht="24.75" thickBot="1">
      <c r="B93" s="3509" t="s">
        <v>3499</v>
      </c>
      <c r="C93" s="3481">
        <v>4613.79</v>
      </c>
      <c r="D93" s="3481">
        <v>14072.76</v>
      </c>
      <c r="E93" s="3481">
        <f ca="1">S92</f>
        <v>48876</v>
      </c>
      <c r="F93" s="3481">
        <f t="shared" ref="F93:F98" si="35">S67</f>
        <v>0</v>
      </c>
      <c r="G93" s="3481">
        <f ca="1">V92</f>
        <v>39926</v>
      </c>
      <c r="H93" s="3481">
        <f t="shared" si="27"/>
        <v>0</v>
      </c>
      <c r="I93" s="3509" t="s">
        <v>3539</v>
      </c>
      <c r="L93" t="s">
        <v>3577</v>
      </c>
      <c r="M93">
        <v>70727</v>
      </c>
      <c r="N93">
        <v>35098</v>
      </c>
      <c r="O93">
        <v>58025</v>
      </c>
      <c r="P93">
        <v>28795</v>
      </c>
      <c r="R93">
        <f t="shared" si="30"/>
        <v>7.7919430997671027E-2</v>
      </c>
      <c r="S93">
        <f t="shared" ca="1" si="31"/>
        <v>71021</v>
      </c>
      <c r="T93">
        <f t="shared" ca="1" si="32"/>
        <v>50467</v>
      </c>
      <c r="U93">
        <f>O93/$O$104</f>
        <v>7.8369165025675105E-2</v>
      </c>
      <c r="V93">
        <f t="shared" ca="1" si="33"/>
        <v>58016</v>
      </c>
      <c r="W93">
        <f t="shared" ca="1" si="34"/>
        <v>41226</v>
      </c>
    </row>
    <row r="94" spans="2:23" ht="24.75" thickBot="1">
      <c r="B94" s="3509" t="s">
        <v>3500</v>
      </c>
      <c r="C94" s="3481">
        <v>6606.67</v>
      </c>
      <c r="D94" s="3481">
        <v>20151.349999999999</v>
      </c>
      <c r="E94" s="3481">
        <f t="shared" ref="E94:E98" ca="1" si="36">S93</f>
        <v>71021</v>
      </c>
      <c r="F94" s="3481">
        <f t="shared" si="35"/>
        <v>0</v>
      </c>
      <c r="G94" s="3481">
        <f t="shared" ref="G94:G98" ca="1" si="37">V93</f>
        <v>58016</v>
      </c>
      <c r="H94" s="3481">
        <f t="shared" si="27"/>
        <v>0</v>
      </c>
      <c r="I94" s="3509" t="s">
        <v>3540</v>
      </c>
      <c r="L94" s="3474" t="s">
        <v>3578</v>
      </c>
      <c r="M94">
        <v>23549</v>
      </c>
      <c r="N94">
        <v>17010</v>
      </c>
      <c r="O94">
        <v>19320</v>
      </c>
      <c r="P94">
        <v>13955</v>
      </c>
      <c r="R94">
        <f t="shared" si="30"/>
        <v>2.5943765189590323E-2</v>
      </c>
      <c r="S94">
        <f t="shared" ca="1" si="31"/>
        <v>23647</v>
      </c>
      <c r="T94">
        <f t="shared" ca="1" si="32"/>
        <v>11735</v>
      </c>
      <c r="U94">
        <f>O94/$O$104</f>
        <v>2.6093791784507419E-2</v>
      </c>
      <c r="V94">
        <f t="shared" ca="1" si="33"/>
        <v>19317</v>
      </c>
      <c r="W94">
        <f t="shared" ca="1" si="34"/>
        <v>9586</v>
      </c>
    </row>
    <row r="95" spans="2:23" ht="24.75" thickBot="1">
      <c r="B95" s="3876" t="s">
        <v>3501</v>
      </c>
      <c r="C95" s="3481">
        <v>4538.87</v>
      </c>
      <c r="D95" s="3481">
        <v>13844.22</v>
      </c>
      <c r="E95" s="3481">
        <f t="shared" ca="1" si="36"/>
        <v>23647</v>
      </c>
      <c r="F95" s="3481">
        <f t="shared" si="35"/>
        <v>0</v>
      </c>
      <c r="G95" s="3481">
        <f t="shared" ca="1" si="37"/>
        <v>19317</v>
      </c>
      <c r="H95" s="3481">
        <f t="shared" si="27"/>
        <v>0</v>
      </c>
      <c r="I95" s="3509" t="s">
        <v>3541</v>
      </c>
      <c r="L95" t="s">
        <v>3579</v>
      </c>
      <c r="M95">
        <v>48692</v>
      </c>
      <c r="N95">
        <v>34585</v>
      </c>
      <c r="O95">
        <v>39947</v>
      </c>
      <c r="P95">
        <v>28373</v>
      </c>
      <c r="R95">
        <f t="shared" si="30"/>
        <v>5.3643628800014102E-2</v>
      </c>
      <c r="S95">
        <f t="shared" ca="1" si="31"/>
        <v>48894</v>
      </c>
      <c r="T95">
        <f t="shared" ca="1" si="32"/>
        <v>35317</v>
      </c>
      <c r="U95">
        <f>O95/$O$104</f>
        <v>5.3952831284457443E-2</v>
      </c>
      <c r="V95">
        <f t="shared" ca="1" si="33"/>
        <v>39941</v>
      </c>
      <c r="W95">
        <f t="shared" ca="1" si="34"/>
        <v>28850</v>
      </c>
    </row>
    <row r="96" spans="2:23" ht="24.75" thickBot="1">
      <c r="B96" s="3509" t="s">
        <v>3502</v>
      </c>
      <c r="C96" s="3481">
        <v>4615.87</v>
      </c>
      <c r="D96" s="3481">
        <v>14079.11</v>
      </c>
      <c r="E96" s="3481">
        <f t="shared" ca="1" si="36"/>
        <v>48894</v>
      </c>
      <c r="F96" s="3481">
        <f t="shared" si="35"/>
        <v>0</v>
      </c>
      <c r="G96" s="3481">
        <f t="shared" ca="1" si="37"/>
        <v>39941</v>
      </c>
      <c r="H96" s="3481">
        <f t="shared" si="27"/>
        <v>0</v>
      </c>
      <c r="I96" s="3508" t="s">
        <v>3542</v>
      </c>
      <c r="L96" s="3474" t="s">
        <v>3580</v>
      </c>
      <c r="M96">
        <v>23756</v>
      </c>
      <c r="N96">
        <v>17013</v>
      </c>
      <c r="O96">
        <v>19489</v>
      </c>
      <c r="P96">
        <v>13958</v>
      </c>
      <c r="R96">
        <f t="shared" si="30"/>
        <v>2.6171815611869199E-2</v>
      </c>
      <c r="S96">
        <f t="shared" ca="1" si="31"/>
        <v>23855</v>
      </c>
      <c r="T96">
        <f t="shared" ca="1" si="32"/>
        <v>16944</v>
      </c>
      <c r="U96">
        <f>O96/$O$104</f>
        <v>2.632204493210482E-2</v>
      </c>
      <c r="V96">
        <f t="shared" ca="1" si="33"/>
        <v>19486</v>
      </c>
      <c r="W96">
        <f t="shared" ca="1" si="34"/>
        <v>13840</v>
      </c>
    </row>
    <row r="97" spans="2:23" ht="24.75" thickBot="1">
      <c r="B97" s="3876" t="s">
        <v>3503</v>
      </c>
      <c r="C97" s="3481">
        <v>4577.83</v>
      </c>
      <c r="D97" s="3481">
        <v>13963.08</v>
      </c>
      <c r="E97" s="3481">
        <f t="shared" ca="1" si="36"/>
        <v>23855</v>
      </c>
      <c r="F97" s="3481">
        <f t="shared" si="35"/>
        <v>0</v>
      </c>
      <c r="G97" s="3481">
        <f t="shared" ca="1" si="37"/>
        <v>19486</v>
      </c>
      <c r="H97" s="3493">
        <f t="shared" si="27"/>
        <v>0</v>
      </c>
      <c r="I97" s="3494" t="s">
        <v>3536</v>
      </c>
      <c r="L97" s="3474" t="s">
        <v>3456</v>
      </c>
      <c r="M97">
        <v>44900</v>
      </c>
      <c r="N97">
        <v>9046</v>
      </c>
      <c r="O97">
        <v>36837</v>
      </c>
      <c r="P97">
        <v>7422</v>
      </c>
      <c r="R97">
        <f t="shared" si="30"/>
        <v>4.9466009470151832E-2</v>
      </c>
      <c r="S97">
        <f t="shared" ca="1" si="31"/>
        <v>45087</v>
      </c>
      <c r="T97">
        <f t="shared" ca="1" si="32"/>
        <v>32290</v>
      </c>
      <c r="U97">
        <f>O97/$O$104</f>
        <v>4.9752433124528976E-2</v>
      </c>
      <c r="V97">
        <f t="shared" ca="1" si="33"/>
        <v>36831</v>
      </c>
      <c r="W97">
        <f t="shared" ca="1" si="34"/>
        <v>26377</v>
      </c>
    </row>
    <row r="98" spans="2:23" ht="24.75" thickBot="1">
      <c r="B98" s="3877" t="s">
        <v>3456</v>
      </c>
      <c r="C98" s="3481">
        <v>16272.2</v>
      </c>
      <c r="D98" s="3481">
        <v>49632.639999999999</v>
      </c>
      <c r="E98" s="3481">
        <f t="shared" ca="1" si="36"/>
        <v>45087</v>
      </c>
      <c r="F98" s="3481">
        <f t="shared" si="35"/>
        <v>0</v>
      </c>
      <c r="G98" s="3481">
        <f t="shared" ca="1" si="37"/>
        <v>36831</v>
      </c>
      <c r="H98" s="3493">
        <f t="shared" si="27"/>
        <v>0</v>
      </c>
      <c r="I98" s="3495" t="s">
        <v>3543</v>
      </c>
      <c r="L98" t="s">
        <v>3504</v>
      </c>
      <c r="M98">
        <v>703225</v>
      </c>
      <c r="N98">
        <v>25820</v>
      </c>
      <c r="O98">
        <v>576928</v>
      </c>
      <c r="P98">
        <v>21183</v>
      </c>
    </row>
    <row r="99" spans="2:23" ht="14.25" thickBot="1">
      <c r="B99" s="3507" t="s">
        <v>3544</v>
      </c>
      <c r="C99" s="3496">
        <f>SUM(C84:C98)</f>
        <v>95778.03</v>
      </c>
      <c r="D99" s="3484">
        <f>SUM(D84:D98)</f>
        <v>292137.36</v>
      </c>
      <c r="E99" s="3484">
        <f ca="1">SUM(E84:E98)</f>
        <v>775182</v>
      </c>
      <c r="F99" s="3484">
        <f ca="1">ROUND(E99/D99*10000,0)</f>
        <v>26535</v>
      </c>
      <c r="G99" s="3484">
        <f ca="1">SUM(G84:G98)</f>
        <v>631799</v>
      </c>
      <c r="H99" s="3497">
        <f t="shared" si="27"/>
        <v>0</v>
      </c>
      <c r="I99" s="3498" t="s">
        <v>3545</v>
      </c>
      <c r="L99" s="3474" t="s">
        <v>3581</v>
      </c>
      <c r="M99">
        <v>68761</v>
      </c>
      <c r="N99">
        <v>34750</v>
      </c>
      <c r="O99">
        <v>54976</v>
      </c>
      <c r="P99">
        <v>27783</v>
      </c>
      <c r="R99">
        <f>M99/$M$104</f>
        <v>7.5753502832452344E-2</v>
      </c>
      <c r="S99">
        <f ca="1">ROUND(R99*$E$75,0)</f>
        <v>69047</v>
      </c>
      <c r="T99">
        <f ca="1">ROUND(S99/D100*10000,0)</f>
        <v>34894</v>
      </c>
      <c r="U99">
        <f>O99/$O$104</f>
        <v>7.4251154096536223E-2</v>
      </c>
      <c r="V99">
        <f ca="1">ROUND(U99*$G$75,0)</f>
        <v>54968</v>
      </c>
      <c r="W99">
        <f ca="1">ROUND(V99/D100*10000,0)</f>
        <v>27779</v>
      </c>
    </row>
    <row r="100" spans="2:23" ht="14.25" thickBot="1">
      <c r="B100" s="3878" t="s">
        <v>3505</v>
      </c>
      <c r="C100" s="3499">
        <v>7212.96</v>
      </c>
      <c r="D100" s="3481">
        <v>19787.48</v>
      </c>
      <c r="E100" s="3481">
        <f ca="1">S99</f>
        <v>69047</v>
      </c>
      <c r="F100" s="3481">
        <f>结果表!I147</f>
        <v>0</v>
      </c>
      <c r="G100" s="3481">
        <f ca="1">V99</f>
        <v>54968</v>
      </c>
      <c r="H100" s="3481">
        <f>结果表!N90</f>
        <v>0</v>
      </c>
      <c r="I100" s="3481" t="s">
        <v>3545</v>
      </c>
      <c r="L100" s="3474" t="s">
        <v>3582</v>
      </c>
      <c r="M100">
        <v>33502</v>
      </c>
      <c r="N100">
        <v>16875</v>
      </c>
      <c r="O100">
        <v>26786</v>
      </c>
      <c r="P100">
        <v>13492</v>
      </c>
      <c r="R100">
        <f>M100/$M$104</f>
        <v>3.6908914237617524E-2</v>
      </c>
      <c r="S100">
        <f t="shared" ref="S100:S102" ca="1" si="38">ROUND(R100*$E$75,0)</f>
        <v>33641</v>
      </c>
      <c r="T100">
        <f ca="1">ROUND(S100/D101*10000,0)</f>
        <v>16945</v>
      </c>
      <c r="U100">
        <f>O100/$O$104</f>
        <v>3.6177448589017377E-2</v>
      </c>
      <c r="V100">
        <f t="shared" ref="V100:V102" ca="1" si="39">ROUND(U100*$G$75,0)</f>
        <v>26782</v>
      </c>
      <c r="W100">
        <f t="shared" ref="W100" ca="1" si="40">ROUND(V100/D101*10000,0)</f>
        <v>13490</v>
      </c>
    </row>
    <row r="101" spans="2:23" ht="14.25" thickBot="1">
      <c r="B101" s="3878" t="s">
        <v>3508</v>
      </c>
      <c r="C101" s="3499">
        <v>6635.28</v>
      </c>
      <c r="D101" s="3481">
        <v>19852.79</v>
      </c>
      <c r="E101" s="3481">
        <f ca="1">S100</f>
        <v>33641</v>
      </c>
      <c r="F101" s="3481"/>
      <c r="G101" s="3481">
        <f ca="1">V100</f>
        <v>26782</v>
      </c>
      <c r="H101" s="3481"/>
      <c r="I101" s="3481" t="s">
        <v>3545</v>
      </c>
      <c r="L101" t="s">
        <v>3583</v>
      </c>
      <c r="M101">
        <v>68751</v>
      </c>
      <c r="N101">
        <v>34750</v>
      </c>
      <c r="O101">
        <v>54968</v>
      </c>
      <c r="P101">
        <v>27784</v>
      </c>
      <c r="R101">
        <f t="shared" ref="R101:R102" si="41">M101/$M$104</f>
        <v>7.5742485903839835E-2</v>
      </c>
      <c r="S101">
        <f ca="1">ROUND(R101*$E$75,0)</f>
        <v>69037</v>
      </c>
      <c r="T101">
        <f ca="1">ROUND(S101/D92*10000,0)</f>
        <v>34895</v>
      </c>
      <c r="U101">
        <f>O101/$O$104</f>
        <v>7.4240349213809717E-2</v>
      </c>
      <c r="V101">
        <f t="shared" ca="1" si="39"/>
        <v>54960</v>
      </c>
      <c r="W101">
        <f ca="1">ROUND(V101/D92*10000,0)</f>
        <v>27780</v>
      </c>
    </row>
    <row r="102" spans="2:23" ht="14.25" customHeight="1" thickBot="1">
      <c r="B102" s="3878" t="s">
        <v>3509</v>
      </c>
      <c r="C102" s="3499">
        <v>6607.41</v>
      </c>
      <c r="D102" s="3481">
        <v>19787.64</v>
      </c>
      <c r="E102" s="3481">
        <f ca="1">S102</f>
        <v>33594</v>
      </c>
      <c r="F102" s="3481"/>
      <c r="G102" s="3481">
        <f ca="1">V102</f>
        <v>26744</v>
      </c>
      <c r="H102" s="3481"/>
      <c r="I102" s="3481" t="s">
        <v>3545</v>
      </c>
      <c r="L102" s="3474" t="s">
        <v>3584</v>
      </c>
      <c r="M102">
        <v>33455</v>
      </c>
      <c r="N102">
        <v>16907</v>
      </c>
      <c r="O102">
        <v>26748</v>
      </c>
      <c r="P102">
        <v>13518</v>
      </c>
      <c r="R102">
        <f t="shared" si="41"/>
        <v>3.6857134673138746E-2</v>
      </c>
      <c r="S102">
        <f t="shared" ca="1" si="38"/>
        <v>33594</v>
      </c>
      <c r="T102">
        <f t="shared" ca="1" si="32"/>
        <v>16977</v>
      </c>
      <c r="U102">
        <f>O102/$O$104</f>
        <v>3.612612539606648E-2</v>
      </c>
      <c r="V102">
        <f t="shared" ca="1" si="39"/>
        <v>26744</v>
      </c>
      <c r="W102">
        <f ca="1">ROUND(V102/D102*10000,0)</f>
        <v>13516</v>
      </c>
    </row>
    <row r="103" spans="2:23" ht="14.25" thickBot="1">
      <c r="B103" s="3507" t="s">
        <v>3504</v>
      </c>
      <c r="C103" s="3484">
        <f>SUM(C100:C102)</f>
        <v>20455.650000000001</v>
      </c>
      <c r="D103" s="3484">
        <f>SUM(D100:D102)</f>
        <v>59427.91</v>
      </c>
      <c r="E103" s="3484">
        <f ca="1">SUM(E100:E102)</f>
        <v>136282</v>
      </c>
      <c r="F103" s="3484"/>
      <c r="G103" s="3484">
        <f ca="1">SUM(G100:G102)</f>
        <v>108494</v>
      </c>
      <c r="H103" s="3484"/>
      <c r="I103" s="3481" t="s">
        <v>3545</v>
      </c>
      <c r="L103" t="s">
        <v>3504</v>
      </c>
      <c r="M103">
        <v>204469</v>
      </c>
      <c r="N103">
        <v>25813</v>
      </c>
      <c r="O103">
        <v>163478</v>
      </c>
      <c r="P103">
        <v>20638</v>
      </c>
    </row>
    <row r="104" spans="2:23" ht="14.25" thickBot="1">
      <c r="B104" s="3507" t="s">
        <v>3483</v>
      </c>
      <c r="C104" s="3484">
        <f>C99+C103</f>
        <v>116233.68</v>
      </c>
      <c r="D104" s="3484">
        <f>D99+D103</f>
        <v>351565.27</v>
      </c>
      <c r="E104" s="3484">
        <f ca="1">E99+E103</f>
        <v>911464</v>
      </c>
      <c r="F104" s="3484" t="s">
        <v>3545</v>
      </c>
      <c r="G104" s="3484">
        <f ca="1">G99+G103</f>
        <v>740293</v>
      </c>
      <c r="H104" s="3497" t="s">
        <v>3545</v>
      </c>
      <c r="I104" s="3500" t="s">
        <v>3545</v>
      </c>
      <c r="L104" t="s">
        <v>3483</v>
      </c>
      <c r="M104">
        <v>907694</v>
      </c>
      <c r="N104" t="s">
        <v>43</v>
      </c>
      <c r="O104">
        <v>740406</v>
      </c>
      <c r="P104" t="s">
        <v>43</v>
      </c>
      <c r="S104">
        <f ca="1">SUM(S84:S103)</f>
        <v>911464</v>
      </c>
      <c r="V104">
        <f ca="1">SUM(V84:V103)</f>
        <v>740293</v>
      </c>
    </row>
    <row r="107" spans="2:23">
      <c r="C107" s="3461" t="s">
        <v>3591</v>
      </c>
      <c r="D107">
        <f ca="1">E84+E85+E88+E90+E95+E97+E98+E100+E101+E102</f>
        <v>437471</v>
      </c>
    </row>
    <row r="108" spans="2:23">
      <c r="C108" s="3461" t="s">
        <v>3588</v>
      </c>
      <c r="D108">
        <f ca="1">G84+G85+G88+G90+G95+G97+G98+G100+G101+G102</f>
        <v>354530</v>
      </c>
    </row>
  </sheetData>
  <mergeCells count="33">
    <mergeCell ref="B82:B83"/>
    <mergeCell ref="C82:C83"/>
    <mergeCell ref="D82:D83"/>
    <mergeCell ref="E82:F82"/>
    <mergeCell ref="G82:H82"/>
    <mergeCell ref="I82:I83"/>
    <mergeCell ref="I53:I54"/>
    <mergeCell ref="E71:E74"/>
    <mergeCell ref="F71:F74"/>
    <mergeCell ref="G71:G74"/>
    <mergeCell ref="H71:H74"/>
    <mergeCell ref="I71:I74"/>
    <mergeCell ref="B27:B28"/>
    <mergeCell ref="C27:C28"/>
    <mergeCell ref="D27:F27"/>
    <mergeCell ref="H27:H28"/>
    <mergeCell ref="B53:B54"/>
    <mergeCell ref="C53:C54"/>
    <mergeCell ref="D53:D54"/>
    <mergeCell ref="E53:F53"/>
    <mergeCell ref="G53:H53"/>
    <mergeCell ref="C4:C18"/>
    <mergeCell ref="I4:I18"/>
    <mergeCell ref="J4:J18"/>
    <mergeCell ref="C20:C22"/>
    <mergeCell ref="I20:I22"/>
    <mergeCell ref="J20:J22"/>
    <mergeCell ref="J2:J3"/>
    <mergeCell ref="B2:B3"/>
    <mergeCell ref="C2:C3"/>
    <mergeCell ref="D2:F2"/>
    <mergeCell ref="H2:H3"/>
    <mergeCell ref="I2:I3"/>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31" sqref="C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4">
        <f>MATCH(B1,'数据-取费表'!A6:A16,0)+5</f>
        <v>7</v>
      </c>
    </row>
    <row r="2" spans="1:9" s="200" customFormat="1" ht="18" customHeight="1">
      <c r="A2" s="201" t="s">
        <v>1461</v>
      </c>
      <c r="B2" s="202">
        <f ca="1">IF(D2="——",C52,C52-E2)</f>
        <v>123336</v>
      </c>
      <c r="C2" s="199" t="s">
        <v>1462</v>
      </c>
      <c r="D2" s="1851" t="s">
        <v>43</v>
      </c>
      <c r="E2" s="1167"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20754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34470</v>
      </c>
      <c r="D5" s="211" t="s">
        <v>1468</v>
      </c>
      <c r="E5" s="212" t="s">
        <v>1469</v>
      </c>
      <c r="F5" s="212" t="s">
        <v>1470</v>
      </c>
      <c r="G5" s="213"/>
    </row>
    <row r="6" spans="1:9" s="214" customFormat="1" ht="13.5" customHeight="1">
      <c r="A6" s="778" t="s">
        <v>1471</v>
      </c>
      <c r="B6" s="215" t="s">
        <v>1472</v>
      </c>
      <c r="C6" s="216">
        <f>基准地价修正!B2</f>
        <v>32470</v>
      </c>
      <c r="D6" s="217"/>
      <c r="E6" s="218"/>
      <c r="F6" s="218"/>
      <c r="G6" s="219"/>
    </row>
    <row r="7" spans="1:9" s="214" customFormat="1" ht="13.5" customHeight="1">
      <c r="A7" s="778" t="s">
        <v>1473</v>
      </c>
      <c r="B7" s="215" t="s">
        <v>1474</v>
      </c>
      <c r="C7" s="220">
        <f>ROUND(C6*F7,0)</f>
        <v>990</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1010</v>
      </c>
      <c r="D8" s="222"/>
      <c r="E8" s="220"/>
      <c r="F8" s="221"/>
      <c r="G8" s="1854" t="s">
        <v>3469</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5" t="s">
        <v>3470</v>
      </c>
      <c r="H9" s="1135"/>
      <c r="I9" s="1856" t="s">
        <v>1478</v>
      </c>
    </row>
    <row r="10" spans="1:9" s="214" customFormat="1" ht="13.5" customHeight="1">
      <c r="A10" s="779" t="s">
        <v>356</v>
      </c>
      <c r="B10" s="224" t="s">
        <v>1479</v>
      </c>
      <c r="C10" s="225">
        <f ca="1">ROUND(D10*E10/10000,0)</f>
        <v>1010</v>
      </c>
      <c r="D10" s="845">
        <f ca="1">IF(B1="",'数据-汇总表'!E6,IF(INDIRECT("'数据-取费表'!c"&amp;$G$1)="住宅",INDIRECT("'数据-取费表'!s"&amp;$G$1),INDIRECT("'数据-取费表'!k"&amp;$G$1)+INDIRECT("'数据-取费表'!s"&amp;$G$1)))</f>
        <v>59427.91</v>
      </c>
      <c r="E10" s="225">
        <f>'数据-取费表'!B28</f>
        <v>170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59427.91</v>
      </c>
      <c r="E19" s="211">
        <f>'数据-取费表'!B31</f>
        <v>200</v>
      </c>
      <c r="F19" s="231"/>
      <c r="G19" s="1854" t="s">
        <v>3471</v>
      </c>
    </row>
    <row r="20" spans="1:7" s="214" customFormat="1" ht="13.5" customHeight="1">
      <c r="A20" s="255" t="s">
        <v>1492</v>
      </c>
      <c r="B20" s="210" t="s">
        <v>1493</v>
      </c>
      <c r="C20" s="232">
        <f ca="1">ROUND((C5+C19)*F20,0)</f>
        <v>1034</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4489</v>
      </c>
      <c r="D22" s="235">
        <f ca="1">C26</f>
        <v>1.9E-3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4425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64</v>
      </c>
      <c r="D25" s="238"/>
      <c r="E25" s="241"/>
      <c r="F25" s="239"/>
      <c r="G25" s="242" t="s">
        <v>1509</v>
      </c>
    </row>
    <row r="26" spans="1:7" s="214" customFormat="1">
      <c r="A26" s="780" t="s">
        <v>350</v>
      </c>
      <c r="B26" s="215" t="s">
        <v>1510</v>
      </c>
      <c r="C26" s="238">
        <f ca="1">ROUND(IF('数据-取费表'!B22&lt;=1,F21*F22*'数据-取费表'!B23/2,F21*(POWER((1+F22),'数据-取费表'!B23/2)-1)),4)</f>
        <v>1.9E-3</v>
      </c>
      <c r="D26" s="238"/>
      <c r="E26" s="241"/>
      <c r="F26" s="239"/>
      <c r="G26" s="243"/>
    </row>
    <row r="27" spans="1:7" s="214" customFormat="1" ht="24.75">
      <c r="A27" s="255" t="s">
        <v>1511</v>
      </c>
      <c r="B27" s="244" t="s">
        <v>1512</v>
      </c>
      <c r="C27" s="245">
        <f ca="1">C28</f>
        <v>8787</v>
      </c>
      <c r="D27" s="235">
        <f ca="1">C29</f>
        <v>7.4000000000000003E-3</v>
      </c>
      <c r="E27" s="236" t="s">
        <v>1513</v>
      </c>
      <c r="F27" s="246">
        <f ca="1">IF(B1="",'数据-取费表'!Q16,INDIRECT("'数据-取费表'!q"&amp;$G$1))</f>
        <v>0.25</v>
      </c>
      <c r="G27" s="247" t="s">
        <v>1514</v>
      </c>
    </row>
    <row r="28" spans="1:7" s="214" customFormat="1" ht="13.5" customHeight="1">
      <c r="A28" s="780" t="s">
        <v>346</v>
      </c>
      <c r="B28" s="248" t="s">
        <v>1515</v>
      </c>
      <c r="C28" s="249">
        <f ca="1">ROUND((C5+C19+C20)*F27*'数据-取费表'!B21/'数据-取费表'!B20,0)</f>
        <v>8787</v>
      </c>
      <c r="D28" s="235"/>
      <c r="E28" s="236"/>
      <c r="F28" s="246"/>
      <c r="G28" s="247"/>
    </row>
    <row r="29" spans="1:7" s="214" customFormat="1" ht="13.5" customHeight="1">
      <c r="A29" s="780" t="s">
        <v>347</v>
      </c>
      <c r="B29" s="248" t="s">
        <v>1516</v>
      </c>
      <c r="C29" s="238">
        <f ca="1">ROUND(C21*F27*'数据-取费表'!B21/'数据-取费表'!B20,4)</f>
        <v>7.4000000000000003E-3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53705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46788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42828</v>
      </c>
      <c r="D34" s="217"/>
      <c r="E34" s="220"/>
      <c r="F34" s="257">
        <f ca="1">IF('数据-取费表'!B24=0,1,IF(B1="",'数据-取费表'!N16,INDIRECT("'数据-取费表'!n"&amp;$G$1)))</f>
        <v>0.99</v>
      </c>
      <c r="G34" s="219" t="s">
        <v>1525</v>
      </c>
    </row>
    <row r="35" spans="1:7" ht="13.5" customHeight="1">
      <c r="A35" s="780" t="s">
        <v>351</v>
      </c>
      <c r="B35" s="215" t="s">
        <v>1526</v>
      </c>
      <c r="C35" s="220">
        <f ca="1">ROUND(C34*F35,0)</f>
        <v>2141</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1177</v>
      </c>
      <c r="D37" s="217">
        <f ca="1">D19</f>
        <v>59427.91</v>
      </c>
      <c r="E37" s="249">
        <f>'数据-取费表'!B35</f>
        <v>200</v>
      </c>
      <c r="F37" s="259"/>
      <c r="G37" s="261" t="s">
        <v>1531</v>
      </c>
    </row>
    <row r="38" spans="1:7" ht="13.5" customHeight="1">
      <c r="A38" s="780" t="s">
        <v>354</v>
      </c>
      <c r="B38" s="215" t="s">
        <v>1532</v>
      </c>
      <c r="C38" s="220">
        <f ca="1">ROUND(C34*F38,0)</f>
        <v>642</v>
      </c>
      <c r="D38" s="220"/>
      <c r="E38" s="220"/>
      <c r="F38" s="259">
        <f>'数据-取费表'!B36</f>
        <v>1.4999999999999999E-2</v>
      </c>
      <c r="G38" s="219" t="s">
        <v>1527</v>
      </c>
    </row>
    <row r="39" spans="1:7" s="214" customFormat="1" ht="13.5" customHeight="1">
      <c r="A39" s="255" t="s">
        <v>1533</v>
      </c>
      <c r="B39" s="210" t="s">
        <v>1534</v>
      </c>
      <c r="C39" s="232">
        <f ca="1">ROUND(C33*F20,0)</f>
        <v>1404</v>
      </c>
      <c r="D39" s="232"/>
      <c r="E39" s="232"/>
      <c r="F39" s="233">
        <f>F20</f>
        <v>0.03</v>
      </c>
      <c r="G39" s="234" t="s">
        <v>1535</v>
      </c>
    </row>
    <row r="40" spans="1:7" s="214" customFormat="1" ht="13.5" customHeight="1">
      <c r="A40" s="255" t="s">
        <v>1536</v>
      </c>
      <c r="B40" s="210" t="s">
        <v>1537</v>
      </c>
      <c r="C40" s="1325">
        <f>F21</f>
        <v>0.03</v>
      </c>
      <c r="D40" s="236" t="s">
        <v>1538</v>
      </c>
      <c r="E40" s="232"/>
      <c r="F40" s="233">
        <f>F21</f>
        <v>0.03</v>
      </c>
      <c r="G40" s="234" t="s">
        <v>1539</v>
      </c>
    </row>
    <row r="41" spans="1:7" s="214" customFormat="1" ht="13.5" customHeight="1">
      <c r="A41" s="255" t="s">
        <v>1540</v>
      </c>
      <c r="B41" s="210" t="s">
        <v>1541</v>
      </c>
      <c r="C41" s="232">
        <f ca="1">ROUND(SUM(C42:C43),0)</f>
        <v>2999</v>
      </c>
      <c r="D41" s="235">
        <f ca="1">C44</f>
        <v>1.9E-3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2912</v>
      </c>
      <c r="D42" s="238"/>
      <c r="E42" s="238"/>
      <c r="F42" s="239"/>
      <c r="G42" s="3720" t="s">
        <v>1543</v>
      </c>
    </row>
    <row r="43" spans="1:7" ht="13.5" customHeight="1">
      <c r="A43" s="780" t="s">
        <v>347</v>
      </c>
      <c r="B43" s="215" t="s">
        <v>1544</v>
      </c>
      <c r="C43" s="238">
        <f ca="1">ROUND(IF('数据-取费表'!B22&lt;=1,C39*F22*'数据-取费表'!B21/2,C39*(POWER((1+F22),'数据-取费表'!B21/2)-1)),0)</f>
        <v>87</v>
      </c>
      <c r="D43" s="238"/>
      <c r="E43" s="238"/>
      <c r="F43" s="239"/>
      <c r="G43" s="3721"/>
    </row>
    <row r="44" spans="1:7" ht="13.5" customHeight="1">
      <c r="A44" s="780" t="s">
        <v>348</v>
      </c>
      <c r="B44" s="215" t="s">
        <v>1545</v>
      </c>
      <c r="C44" s="238">
        <f ca="1">ROUND(IF('数据-取费表'!B22&lt;=1,C40*F22*'数据-取费表'!B21/2,C40*(POWER((1+F22),'数据-取费表'!B21/2)-1)),4)</f>
        <v>1.9E-3</v>
      </c>
      <c r="D44" s="238"/>
      <c r="E44" s="238"/>
      <c r="F44" s="239"/>
      <c r="G44" s="3722"/>
    </row>
    <row r="45" spans="1:7" s="214" customFormat="1" ht="13.5" customHeight="1">
      <c r="A45" s="255" t="s">
        <v>1546</v>
      </c>
      <c r="B45" s="244" t="s">
        <v>1512</v>
      </c>
      <c r="C45" s="245">
        <f ca="1">C46</f>
        <v>12048</v>
      </c>
      <c r="D45" s="235">
        <f ca="1">C47</f>
        <v>7.4999999999999997E-3</v>
      </c>
      <c r="E45" s="236" t="s">
        <v>1538</v>
      </c>
      <c r="F45" s="246">
        <f ca="1">F27</f>
        <v>0.25</v>
      </c>
      <c r="G45" s="247" t="s">
        <v>1547</v>
      </c>
    </row>
    <row r="46" spans="1:7" s="214" customFormat="1" ht="13.5" customHeight="1">
      <c r="A46" s="780" t="s">
        <v>346</v>
      </c>
      <c r="B46" s="248" t="s">
        <v>1548</v>
      </c>
      <c r="C46" s="249">
        <f ca="1">ROUND((C33+C39)*F27,0)</f>
        <v>12048</v>
      </c>
      <c r="D46" s="263"/>
      <c r="E46" s="236"/>
      <c r="F46" s="246"/>
      <c r="G46" s="247"/>
    </row>
    <row r="47" spans="1:7" s="214" customFormat="1" ht="13.5" customHeight="1">
      <c r="A47" s="780" t="s">
        <v>347</v>
      </c>
      <c r="B47" s="248" t="s">
        <v>1549</v>
      </c>
      <c r="C47" s="238">
        <f ca="1">ROUND(C40*F27,4)</f>
        <v>7.4999999999999997E-3</v>
      </c>
      <c r="D47" s="263"/>
      <c r="E47" s="236"/>
      <c r="F47" s="246"/>
      <c r="G47" s="247"/>
    </row>
    <row r="48" spans="1:7" s="214" customFormat="1" ht="13.5" customHeight="1">
      <c r="A48" s="255" t="s">
        <v>1511</v>
      </c>
      <c r="B48" s="210" t="s">
        <v>1550</v>
      </c>
      <c r="C48" s="1325">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69631</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69631</v>
      </c>
      <c r="D51" s="232"/>
      <c r="E51" s="232"/>
      <c r="F51" s="264"/>
      <c r="G51" s="234" t="s">
        <v>1559</v>
      </c>
    </row>
    <row r="52" spans="1:7" s="208" customFormat="1" ht="16.5" thickBot="1">
      <c r="A52" s="265" t="s">
        <v>1560</v>
      </c>
      <c r="B52" s="266"/>
      <c r="C52" s="267">
        <f ca="1">C31+C51</f>
        <v>123336</v>
      </c>
      <c r="D52" s="266"/>
      <c r="E52" s="266"/>
      <c r="F52" s="266"/>
      <c r="G52" s="268"/>
    </row>
    <row r="55" spans="1:7" ht="15">
      <c r="B55" s="270" t="s">
        <v>1561</v>
      </c>
      <c r="C55" s="271"/>
    </row>
    <row r="56" spans="1:7">
      <c r="B56" s="273" t="s">
        <v>802</v>
      </c>
      <c r="C56" s="275">
        <f ca="1">1-C57</f>
        <v>0.43500000000000005</v>
      </c>
    </row>
    <row r="57" spans="1:7">
      <c r="B57" s="273" t="s">
        <v>803</v>
      </c>
      <c r="C57" s="274">
        <f ca="1">ROUND(C51/C52,3)</f>
        <v>0.56499999999999995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4">
        <f>MATCH(B1,'数据-取费表'!A6:A16,0)+5</f>
        <v>7</v>
      </c>
      <c r="H1" s="1061" t="str">
        <f>IF(ISERROR(FIND("住宅",B1)),"非住宅","住宅")</f>
        <v>非住宅</v>
      </c>
    </row>
    <row r="2" spans="1:8" s="200" customFormat="1" ht="18" customHeight="1">
      <c r="A2" s="201" t="s">
        <v>1461</v>
      </c>
      <c r="B2" s="3421">
        <f ca="1">ROUND(IF(D2="——",C52/10000,C52/10000-E2),4)</f>
        <v>73807.390700000004</v>
      </c>
      <c r="C2" s="199" t="s">
        <v>1462</v>
      </c>
      <c r="D2" s="1851" t="s">
        <v>43</v>
      </c>
      <c r="E2" s="1167"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12420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10102745</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10102745</v>
      </c>
      <c r="D8" s="222"/>
      <c r="E8" s="220"/>
      <c r="F8" s="221"/>
      <c r="G8" s="1854"/>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10102745</v>
      </c>
      <c r="D10" s="845">
        <f ca="1">IF(B1="",'数据-汇总表'!E6,IF(INDIRECT("'数据-取费表'!c"&amp;$G$1)="住宅",INDIRECT("'数据-取费表'!s"&amp;$G$1),INDIRECT("'数据-取费表'!k"&amp;$G$1)+INDIRECT("'数据-取费表'!s"&amp;$G$1)))</f>
        <v>59427.91</v>
      </c>
      <c r="E10" s="225">
        <f>'数据-取费表'!B28</f>
        <v>170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11885582</v>
      </c>
      <c r="D19" s="849">
        <f ca="1">D9+D10</f>
        <v>59427.91</v>
      </c>
      <c r="E19" s="211">
        <f>'数据-取费表'!B31</f>
        <v>200</v>
      </c>
      <c r="F19" s="231"/>
      <c r="G19" s="1854"/>
    </row>
    <row r="20" spans="1:7" s="214" customFormat="1" ht="13.5" customHeight="1">
      <c r="A20" s="255" t="s">
        <v>1573</v>
      </c>
      <c r="B20" s="210" t="s">
        <v>1574</v>
      </c>
      <c r="C20" s="232">
        <f ca="1">ROUND((C5+C19)*F20,0)</f>
        <v>659650</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5">
        <f ca="1">ROUND(SUM(C23:C25),0)</f>
        <v>2894212</v>
      </c>
      <c r="D22" s="235">
        <f ca="1">C26</f>
        <v>1.9E-3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6">
        <f ca="1">ROUND(IF('数据-取费表'!B22&lt;=1,C5*F22*'数据-取费表'!B22,C5*(POWER((1+F22),'数据-取费表'!B22)-1)),0)</f>
        <v>1310712</v>
      </c>
      <c r="D23" s="238"/>
      <c r="E23" s="238"/>
      <c r="F23" s="239"/>
      <c r="G23" s="240" t="s">
        <v>1583</v>
      </c>
    </row>
    <row r="24" spans="1:7" s="214" customFormat="1" ht="13.5" customHeight="1">
      <c r="A24" s="780" t="s">
        <v>1473</v>
      </c>
      <c r="B24" s="215" t="s">
        <v>1584</v>
      </c>
      <c r="C24" s="1126">
        <f ca="1">ROUND(IF('数据-取费表'!B22&lt;=1,C19*F22*('数据-取费表'!B19/2+'数据-取费表'!B20),C19*(POWER((1+F22),('数据-取费表'!B19/2+'数据-取费表'!B20))-1)),0)</f>
        <v>1542014</v>
      </c>
      <c r="D24" s="238"/>
      <c r="E24" s="238"/>
      <c r="F24" s="239"/>
      <c r="G24" s="240" t="s">
        <v>1585</v>
      </c>
    </row>
    <row r="25" spans="1:7" s="214" customFormat="1" ht="24">
      <c r="A25" s="780" t="s">
        <v>1475</v>
      </c>
      <c r="B25" s="215" t="s">
        <v>1586</v>
      </c>
      <c r="C25" s="1126">
        <f ca="1">ROUND(IF('数据-取费表'!B22&lt;=1,C20*F22*'数据-取费表'!B22/2,C20*(POWER((1+F22),'数据-取费表'!B22/2)-1)),0)</f>
        <v>41486</v>
      </c>
      <c r="D25" s="238"/>
      <c r="E25" s="241"/>
      <c r="F25" s="239"/>
      <c r="G25" s="242" t="s">
        <v>1587</v>
      </c>
    </row>
    <row r="26" spans="1:7" s="214" customFormat="1">
      <c r="A26" s="780" t="s">
        <v>350</v>
      </c>
      <c r="B26" s="215" t="s">
        <v>1510</v>
      </c>
      <c r="C26" s="238">
        <f ca="1">ROUND(IF('数据-取费表'!B22&lt;=1,F21*F22*'数据-取费表'!B22/2,F21*(POWER((1+F22),'数据-取费表'!B22/2)-1)),4)</f>
        <v>1.9E-3</v>
      </c>
      <c r="D26" s="238"/>
      <c r="E26" s="241"/>
      <c r="F26" s="239"/>
      <c r="G26" s="243"/>
    </row>
    <row r="27" spans="1:7" s="214" customFormat="1" ht="24.75">
      <c r="A27" s="255" t="s">
        <v>1511</v>
      </c>
      <c r="B27" s="244" t="s">
        <v>1512</v>
      </c>
      <c r="C27" s="245">
        <f ca="1">C28</f>
        <v>5661994</v>
      </c>
      <c r="D27" s="235">
        <f ca="1">C29</f>
        <v>7.4999999999999997E-3</v>
      </c>
      <c r="E27" s="236" t="s">
        <v>1513</v>
      </c>
      <c r="F27" s="246">
        <f ca="1">IF(B1="",'数据-取费表'!Q16,INDIRECT("'数据-取费表'!q"&amp;$G$1))</f>
        <v>0.25</v>
      </c>
      <c r="G27" s="247" t="s">
        <v>1514</v>
      </c>
    </row>
    <row r="28" spans="1:7" s="214" customFormat="1" ht="13.5" customHeight="1">
      <c r="A28" s="780" t="s">
        <v>346</v>
      </c>
      <c r="B28" s="248" t="s">
        <v>1515</v>
      </c>
      <c r="C28" s="249">
        <f ca="1">ROUND((C5+C19+C20)*F27,0)</f>
        <v>5661994</v>
      </c>
      <c r="D28" s="235"/>
      <c r="E28" s="236"/>
      <c r="F28" s="246"/>
      <c r="G28" s="247"/>
    </row>
    <row r="29" spans="1:7" s="214" customFormat="1" ht="13.5" customHeight="1">
      <c r="A29" s="780" t="s">
        <v>347</v>
      </c>
      <c r="B29" s="248" t="s">
        <v>1516</v>
      </c>
      <c r="C29" s="238">
        <f ca="1">ROUND(C21*F27,4)</f>
        <v>7.4999999999999997E-3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34358272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472620608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432615048</v>
      </c>
      <c r="D34" s="217"/>
      <c r="E34" s="220"/>
      <c r="F34" s="257"/>
      <c r="G34" s="219"/>
    </row>
    <row r="35" spans="1:7" ht="13.5" customHeight="1">
      <c r="A35" s="780" t="s">
        <v>351</v>
      </c>
      <c r="B35" s="215" t="s">
        <v>1526</v>
      </c>
      <c r="C35" s="220">
        <f ca="1">ROUND(C34*F35,0)</f>
        <v>21630752</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11885582</v>
      </c>
      <c r="D37" s="217">
        <f ca="1">D19</f>
        <v>59427.91</v>
      </c>
      <c r="E37" s="249">
        <f>'数据-取费表'!B35</f>
        <v>200</v>
      </c>
      <c r="F37" s="259"/>
      <c r="G37" s="261"/>
    </row>
    <row r="38" spans="1:7" ht="13.5" customHeight="1">
      <c r="A38" s="780" t="s">
        <v>354</v>
      </c>
      <c r="B38" s="215" t="s">
        <v>1532</v>
      </c>
      <c r="C38" s="220">
        <f ca="1">ROUND(C34*F38,0)</f>
        <v>6489226</v>
      </c>
      <c r="D38" s="220"/>
      <c r="E38" s="220"/>
      <c r="F38" s="259">
        <f>'数据-取费表'!B36</f>
        <v>1.4999999999999999E-2</v>
      </c>
      <c r="G38" s="219" t="s">
        <v>1527</v>
      </c>
    </row>
    <row r="39" spans="1:7" s="214" customFormat="1" ht="13.5" customHeight="1">
      <c r="A39" s="255" t="s">
        <v>1533</v>
      </c>
      <c r="B39" s="210" t="s">
        <v>1534</v>
      </c>
      <c r="C39" s="232">
        <f ca="1">ROUND(C33*F20,0)</f>
        <v>14178618</v>
      </c>
      <c r="D39" s="232"/>
      <c r="E39" s="232"/>
      <c r="F39" s="233">
        <f>F20</f>
        <v>0.03</v>
      </c>
      <c r="G39" s="234" t="s">
        <v>1535</v>
      </c>
    </row>
    <row r="40" spans="1:7" s="214" customFormat="1" ht="13.5" customHeight="1">
      <c r="A40" s="255" t="s">
        <v>1536</v>
      </c>
      <c r="B40" s="210" t="s">
        <v>1537</v>
      </c>
      <c r="C40" s="1325">
        <f>F21</f>
        <v>0.03</v>
      </c>
      <c r="D40" s="236" t="s">
        <v>1538</v>
      </c>
      <c r="E40" s="232"/>
      <c r="F40" s="233">
        <f>F21</f>
        <v>0.03</v>
      </c>
      <c r="G40" s="234" t="s">
        <v>1539</v>
      </c>
    </row>
    <row r="41" spans="1:7" s="214" customFormat="1" ht="13.5" customHeight="1">
      <c r="A41" s="255" t="s">
        <v>1540</v>
      </c>
      <c r="B41" s="210" t="s">
        <v>1541</v>
      </c>
      <c r="C41" s="232">
        <f ca="1">ROUND(SUM(C42:C43),0)</f>
        <v>30615507</v>
      </c>
      <c r="D41" s="235">
        <f ca="1">C44</f>
        <v>1.9E-3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29723793</v>
      </c>
      <c r="D42" s="238"/>
      <c r="E42" s="238"/>
      <c r="F42" s="239"/>
      <c r="G42" s="3720" t="s">
        <v>1590</v>
      </c>
    </row>
    <row r="43" spans="1:7" ht="13.5" customHeight="1">
      <c r="A43" s="780" t="s">
        <v>347</v>
      </c>
      <c r="B43" s="215" t="s">
        <v>1544</v>
      </c>
      <c r="C43" s="238">
        <f ca="1">ROUND(IF('数据-取费表'!B22&lt;=1,C39*F22*'数据-取费表'!B20/2,C39*(POWER((1+F22),'数据-取费表'!B20/2)-1)),0)</f>
        <v>891714</v>
      </c>
      <c r="D43" s="238"/>
      <c r="E43" s="238"/>
      <c r="F43" s="239"/>
      <c r="G43" s="3721"/>
    </row>
    <row r="44" spans="1:7" ht="13.5" customHeight="1">
      <c r="A44" s="780" t="s">
        <v>348</v>
      </c>
      <c r="B44" s="215" t="s">
        <v>1545</v>
      </c>
      <c r="C44" s="238">
        <f ca="1">ROUND(IF('数据-取费表'!B22&lt;=1,C40*F22*'数据-取费表'!B20/2,C40*(POWER((1+F22),'数据-取费表'!B20/2)-1)),4)</f>
        <v>1.9E-3</v>
      </c>
      <c r="D44" s="238"/>
      <c r="E44" s="238"/>
      <c r="F44" s="239"/>
      <c r="G44" s="3722"/>
    </row>
    <row r="45" spans="1:7" s="214" customFormat="1" ht="13.5" customHeight="1">
      <c r="A45" s="255" t="s">
        <v>1546</v>
      </c>
      <c r="B45" s="244" t="s">
        <v>1512</v>
      </c>
      <c r="C45" s="245">
        <f ca="1">C46</f>
        <v>121699807</v>
      </c>
      <c r="D45" s="235">
        <f ca="1">C47</f>
        <v>7.4999999999999997E-3</v>
      </c>
      <c r="E45" s="236" t="s">
        <v>1538</v>
      </c>
      <c r="F45" s="246">
        <f ca="1">F27</f>
        <v>0.25</v>
      </c>
      <c r="G45" s="247" t="s">
        <v>1547</v>
      </c>
    </row>
    <row r="46" spans="1:7" s="214" customFormat="1" ht="13.5" customHeight="1">
      <c r="A46" s="780" t="s">
        <v>346</v>
      </c>
      <c r="B46" s="248" t="s">
        <v>1548</v>
      </c>
      <c r="C46" s="249">
        <f ca="1">ROUND((C33+C39)*F27,0)</f>
        <v>121699807</v>
      </c>
      <c r="D46" s="263"/>
      <c r="E46" s="236"/>
      <c r="F46" s="246"/>
      <c r="G46" s="247"/>
    </row>
    <row r="47" spans="1:7" s="214" customFormat="1" ht="13.5" customHeight="1">
      <c r="A47" s="780" t="s">
        <v>347</v>
      </c>
      <c r="B47" s="248" t="s">
        <v>1549</v>
      </c>
      <c r="C47" s="238">
        <f ca="1">ROUND(C40*F27,4)</f>
        <v>7.4999999999999997E-3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703715635</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703715635</v>
      </c>
      <c r="D51" s="232"/>
      <c r="E51" s="232"/>
      <c r="F51" s="264"/>
      <c r="G51" s="234" t="s">
        <v>1559</v>
      </c>
    </row>
    <row r="52" spans="1:7" s="208" customFormat="1" ht="16.5" thickBot="1">
      <c r="A52" s="265" t="s">
        <v>1560</v>
      </c>
      <c r="B52" s="266"/>
      <c r="C52" s="267">
        <f ca="1">C31+C51</f>
        <v>738073907</v>
      </c>
      <c r="D52" s="266"/>
      <c r="E52" s="266"/>
      <c r="F52" s="266"/>
      <c r="G52" s="268"/>
    </row>
    <row r="55" spans="1:7" ht="15">
      <c r="B55" s="270" t="s">
        <v>1561</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K26" sqref="K2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1925</v>
      </c>
      <c r="B1" s="197"/>
      <c r="C1" s="201" t="s">
        <v>1926</v>
      </c>
      <c r="D1" s="342">
        <f>SUM(D33:D34,D37:D42)</f>
        <v>58476.87</v>
      </c>
      <c r="E1" s="1993"/>
      <c r="F1" s="1993"/>
      <c r="G1" s="1993"/>
      <c r="H1" s="1993"/>
      <c r="I1" s="1993"/>
      <c r="J1" s="1993"/>
      <c r="K1" s="1117"/>
      <c r="L1" s="1994" t="s">
        <v>1927</v>
      </c>
      <c r="M1" s="863">
        <f>SUMPRODUCT((区片价!B5:B9=I2)*(区片价!C3:G3=E2)*(区片价!C5:G9))</f>
        <v>0</v>
      </c>
      <c r="N1" s="866">
        <f>SUMPRODUCT((因素修正幅度!B5:B9=I2)*(因素修正幅度!C3:G3=E2)*(因素修正幅度!C5:G9))</f>
        <v>0</v>
      </c>
      <c r="O1" s="1995"/>
      <c r="P1" s="1995"/>
      <c r="Q1" s="1117"/>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32470</v>
      </c>
      <c r="C2" s="1997" t="s">
        <v>1934</v>
      </c>
      <c r="D2" s="1998" t="s">
        <v>1935</v>
      </c>
      <c r="E2" s="3419" t="s">
        <v>21</v>
      </c>
      <c r="F2" s="1998" t="s">
        <v>1936</v>
      </c>
      <c r="G2" s="1999" t="str">
        <f>IF(E2="商业",项目基本情况!B37,IF(E2="办公",项目基本情况!C37,IF(E2="住宅",项目基本情况!D37,IF(E2="工业",项目基本情况!E37,项目基本情况!F37))))</f>
        <v>七级</v>
      </c>
      <c r="H2" s="1998" t="s">
        <v>1937</v>
      </c>
      <c r="I2" s="1999" t="str">
        <f>IF(E2="商业",项目基本情况!B38,IF(E2="办公",项目基本情况!C38,IF(E2="住宅",项目基本情况!D38,IF(E2="工业",项目基本情况!E38,项目基本情况!F38))))</f>
        <v>Ⅶ-通1</v>
      </c>
      <c r="J2" s="2000"/>
      <c r="K2" s="1117"/>
      <c r="L2" s="2001" t="s">
        <v>1938</v>
      </c>
      <c r="M2" s="864">
        <f>SUMPRODUCT((区片价!B10:B29=I2)*(区片价!C3:G3=E2)*(区片价!C10:G29))</f>
        <v>0</v>
      </c>
      <c r="N2" s="866">
        <f>SUMPRODUCT((因素修正幅度!B10:B29=I2)*(因素修正幅度!C3:G3=E2)*(因素修正幅度!C10:G29))</f>
        <v>0</v>
      </c>
      <c r="O2" s="1117"/>
      <c r="P2" s="1117"/>
      <c r="Q2" s="1117"/>
      <c r="R2" s="1210">
        <v>1</v>
      </c>
      <c r="S2" s="3358">
        <f>ROUND(SUMPRODUCT((B106:B110=R2)*(C105:N105=G2)*(C106:N110)),4)</f>
        <v>1.5019</v>
      </c>
      <c r="T2" s="3358">
        <f t="shared" ref="T2:T16" si="0">ROUND($C$5*$C$22*$C$23*$C$24*S2*$C$28,0)</f>
        <v>8701</v>
      </c>
      <c r="U2" s="1211"/>
      <c r="V2" s="3358">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5553</v>
      </c>
      <c r="C3" s="1997" t="s">
        <v>1940</v>
      </c>
      <c r="D3" s="1998" t="s">
        <v>1941</v>
      </c>
      <c r="E3" s="3417" t="s">
        <v>2460</v>
      </c>
      <c r="F3" s="2002" t="s">
        <v>3462</v>
      </c>
      <c r="G3" s="752">
        <f>IF(F3="宗地容积率",'数据-汇总表'!I4,IF(F3="估价对象容积率",'数据-汇总表'!I6,'数据-汇总表'!I7))</f>
        <v>2.17</v>
      </c>
      <c r="H3" s="170" t="s">
        <v>1942</v>
      </c>
      <c r="I3" s="775"/>
      <c r="J3" s="2000" t="s">
        <v>1943</v>
      </c>
      <c r="K3" s="1117"/>
      <c r="L3" s="2001" t="s">
        <v>1944</v>
      </c>
      <c r="M3" s="864">
        <f>SUMPRODUCT((区片价!B30:B54=I2)*(区片价!C3:G3=E2)*(区片价!C30:G54))</f>
        <v>0</v>
      </c>
      <c r="N3" s="866">
        <f>SUMPRODUCT((因素修正幅度!B30:B54=I2)*(因素修正幅度!C3:G3=E2)*(因素修正幅度!C30:G54))</f>
        <v>0</v>
      </c>
      <c r="O3" s="1117"/>
      <c r="P3" s="1117"/>
      <c r="Q3" s="1117"/>
      <c r="R3" s="1210">
        <v>2</v>
      </c>
      <c r="S3" s="3358">
        <f>ROUND(SUMPRODUCT((B106:B110=R3)*(C105:N105=G2)*(C106:N110)),4)</f>
        <v>1.1838</v>
      </c>
      <c r="T3" s="3358">
        <f t="shared" si="0"/>
        <v>6858</v>
      </c>
      <c r="U3" s="1211"/>
      <c r="V3" s="3358">
        <f t="shared" ref="V3:V16" si="1">ROUND(T3*U3/10000,0)</f>
        <v>0</v>
      </c>
      <c r="W3" s="1214"/>
      <c r="X3" s="1214"/>
      <c r="Y3" s="1214"/>
      <c r="Z3" s="1214"/>
      <c r="AA3" s="1214"/>
      <c r="AB3" s="1214"/>
      <c r="AC3" s="1215"/>
      <c r="AD3" s="1216"/>
      <c r="AE3" s="1216"/>
      <c r="AF3" s="1216"/>
      <c r="AG3" s="1216"/>
      <c r="AH3" s="1216"/>
      <c r="AI3" s="1216"/>
      <c r="AJ3" s="1217"/>
    </row>
    <row r="4" spans="1:36" ht="15.75">
      <c r="A4" s="3730"/>
      <c r="B4" s="3731"/>
      <c r="C4" s="3731"/>
      <c r="D4" s="3732"/>
      <c r="E4" s="3732"/>
      <c r="F4" s="3732"/>
      <c r="G4" s="3732"/>
      <c r="H4" s="3732"/>
      <c r="I4" s="3732"/>
      <c r="J4" s="3733"/>
      <c r="K4" s="1117"/>
      <c r="L4" s="2001" t="s">
        <v>1945</v>
      </c>
      <c r="M4" s="864">
        <f>SUMPRODUCT((区片价!B55:B86=I2)*(区片价!C3:G3=E2)*(区片价!C55:G86))</f>
        <v>0</v>
      </c>
      <c r="N4" s="866">
        <f>SUMPRODUCT((因素修正幅度!B55:B86=I2)*(因素修正幅度!C3:G3=E2)*(因素修正幅度!C55:G86))</f>
        <v>0</v>
      </c>
      <c r="O4" s="1117"/>
      <c r="P4" s="1117"/>
      <c r="Q4" s="1117"/>
      <c r="R4" s="1210">
        <v>3</v>
      </c>
      <c r="S4" s="3358">
        <f>ROUND(SUMPRODUCT((B106:B110=R4)*(C105:N105=G2)*(C106:N110)),4)</f>
        <v>1.0004999999999999</v>
      </c>
      <c r="T4" s="3358">
        <f t="shared" si="0"/>
        <v>5796</v>
      </c>
      <c r="U4" s="1211"/>
      <c r="V4" s="3358">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3">
        <f>ROUND(IF(E2="商业",C6*C7*C17+C20,(IF(E2="住宅",C6*C13*C17+C20,IF(E2="办公",C6*C12*C17+C20,C6+C20)))),0)</f>
        <v>8034</v>
      </c>
      <c r="D5" s="1337">
        <f>ROUND(C6*C17+C20,0)</f>
        <v>8034</v>
      </c>
      <c r="E5" s="1337"/>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7"/>
      <c r="P5" s="1117"/>
      <c r="Q5" s="1117"/>
      <c r="R5" s="1210">
        <v>4</v>
      </c>
      <c r="S5" s="3358">
        <f>ROUND(SUMPRODUCT((B106:B110=R5)*(C105:N105=G2)*(C106:N110)),4)</f>
        <v>0.88239999999999996</v>
      </c>
      <c r="T5" s="3358">
        <f t="shared" si="0"/>
        <v>5112</v>
      </c>
      <c r="U5" s="1211"/>
      <c r="V5" s="3358">
        <f t="shared" si="1"/>
        <v>0</v>
      </c>
      <c r="W5" s="1214"/>
      <c r="X5" s="1214"/>
      <c r="Y5" s="1214"/>
      <c r="Z5" s="1214"/>
      <c r="AA5" s="1214"/>
      <c r="AB5" s="1214"/>
      <c r="AC5" s="2009"/>
      <c r="AD5" s="2010"/>
      <c r="AE5" s="2010"/>
      <c r="AF5" s="2010"/>
      <c r="AG5" s="2010"/>
      <c r="AH5" s="2010"/>
      <c r="AI5" s="2010"/>
      <c r="AJ5" s="2011"/>
    </row>
    <row r="6" spans="1:36" ht="15.75" thickBot="1">
      <c r="A6" s="2013" t="s">
        <v>1948</v>
      </c>
      <c r="B6" s="2014" t="s">
        <v>1949</v>
      </c>
      <c r="C6" s="754">
        <f>SUMIF(L1:L12,G2,M1:M12)</f>
        <v>8070</v>
      </c>
      <c r="D6" s="2015"/>
      <c r="E6" s="2016"/>
      <c r="F6" s="2016"/>
      <c r="G6" s="2017"/>
      <c r="H6" s="2017"/>
      <c r="I6" s="2017"/>
      <c r="J6" s="2018"/>
      <c r="K6" s="1382"/>
      <c r="L6" s="2001" t="s">
        <v>1950</v>
      </c>
      <c r="M6" s="864">
        <f>SUMPRODUCT((区片价!B127:B189=I2)*(区片价!C3:G3=E2)*(区片价!C127:G189))</f>
        <v>0</v>
      </c>
      <c r="N6" s="866">
        <f>SUMPRODUCT((因素修正幅度!B127:B189=I2)*(因素修正幅度!C3:G3=E2)*(因素修正幅度!C127:G189))</f>
        <v>0</v>
      </c>
      <c r="O6" s="1117"/>
      <c r="P6" s="1117"/>
      <c r="Q6" s="1117"/>
      <c r="R6" s="1210">
        <v>5</v>
      </c>
      <c r="S6" s="3358">
        <f>ROUND(SUMPRODUCT((B106:B110=R6)*(C105:N105=G2)*(C106:N110)),4)</f>
        <v>0.84799999999999998</v>
      </c>
      <c r="T6" s="3358">
        <f t="shared" si="0"/>
        <v>4913</v>
      </c>
      <c r="U6" s="1211"/>
      <c r="V6" s="3358">
        <f t="shared" si="1"/>
        <v>0</v>
      </c>
      <c r="W6" s="1214"/>
      <c r="X6" s="1214"/>
      <c r="Y6" s="1214"/>
      <c r="Z6" s="1214"/>
      <c r="AA6" s="1214"/>
      <c r="AB6" s="1214"/>
      <c r="AC6" s="2009"/>
      <c r="AD6" s="2010"/>
      <c r="AE6" s="2010"/>
      <c r="AF6" s="2010"/>
      <c r="AG6" s="2010"/>
      <c r="AH6" s="2010"/>
      <c r="AI6" s="2010"/>
      <c r="AJ6" s="2011"/>
    </row>
    <row r="7" spans="1:36" ht="24.75" thickBot="1">
      <c r="A7" s="3300" t="s">
        <v>3245</v>
      </c>
      <c r="B7" s="2019" t="s">
        <v>1951</v>
      </c>
      <c r="C7" s="755">
        <f>IF(C8="不临65条商业街",1,ROUND(1+(1.6*E8+1.2*E9+0.8*E10+0.4*E11)*C9,4))</f>
        <v>1</v>
      </c>
      <c r="D7" s="2020" t="s">
        <v>1952</v>
      </c>
      <c r="E7" s="776"/>
      <c r="F7" s="2021"/>
      <c r="G7" s="2022"/>
      <c r="H7" s="2022"/>
      <c r="I7" s="2022"/>
      <c r="J7" s="2023"/>
      <c r="K7" s="1382"/>
      <c r="L7" s="2001" t="s">
        <v>1953</v>
      </c>
      <c r="M7" s="864">
        <f>SUMPRODUCT((区片价!B190:B233=I2)*(区片价!C3:G3=E2)*(区片价!C190:G233))</f>
        <v>8070</v>
      </c>
      <c r="N7" s="866">
        <f>SUMPRODUCT((因素修正幅度!B190:B233=I2)*(因素修正幅度!C3:G3=E2)*(因素修正幅度!C190:G233))</f>
        <v>0.129</v>
      </c>
      <c r="O7" s="1117"/>
      <c r="P7" s="1117"/>
      <c r="Q7" s="1117"/>
      <c r="R7" s="1210">
        <v>6</v>
      </c>
      <c r="S7" s="3416"/>
      <c r="T7" s="3358">
        <f t="shared" si="0"/>
        <v>0</v>
      </c>
      <c r="U7" s="1211"/>
      <c r="V7" s="3358">
        <f t="shared" si="1"/>
        <v>0</v>
      </c>
      <c r="W7" s="1356" t="s">
        <v>1954</v>
      </c>
      <c r="X7" s="1212" t="str">
        <f>G2</f>
        <v>七级</v>
      </c>
      <c r="Y7" s="1212" t="s">
        <v>1955</v>
      </c>
      <c r="Z7" s="1213">
        <f>G3</f>
        <v>2.17</v>
      </c>
      <c r="AA7" s="1214"/>
      <c r="AB7" s="1214"/>
      <c r="AC7" s="1215"/>
      <c r="AD7" s="1216"/>
      <c r="AE7" s="1216"/>
      <c r="AF7" s="1216"/>
      <c r="AG7" s="1216"/>
      <c r="AH7" s="1216"/>
      <c r="AI7" s="1216"/>
      <c r="AJ7" s="1217"/>
    </row>
    <row r="8" spans="1:36" ht="25.5">
      <c r="A8" s="3295"/>
      <c r="B8" s="170" t="s">
        <v>1956</v>
      </c>
      <c r="C8" s="2024" t="s">
        <v>3463</v>
      </c>
      <c r="D8" s="756" t="s">
        <v>112</v>
      </c>
      <c r="E8" s="757" t="e">
        <f>ROUND(C11/E7,4)</f>
        <v>#DIV/0!</v>
      </c>
      <c r="F8" s="2025" t="s">
        <v>1957</v>
      </c>
      <c r="G8" s="2026"/>
      <c r="H8" s="2026"/>
      <c r="I8" s="2026"/>
      <c r="J8" s="2027"/>
      <c r="K8" s="1117"/>
      <c r="L8" s="2001" t="s">
        <v>1958</v>
      </c>
      <c r="M8" s="864">
        <f>SUMPRODUCT((区片价!B234:B276=I2)*(区片价!C3:G3=E2)*(区片价!C234:G276))</f>
        <v>0</v>
      </c>
      <c r="N8" s="866">
        <f>SUMPRODUCT((因素修正幅度!B234:B276=I2)*(因素修正幅度!C3:G3=E2)*(因素修正幅度!C234:G276))</f>
        <v>0</v>
      </c>
      <c r="O8" s="1117"/>
      <c r="P8" s="1117"/>
      <c r="Q8" s="1117"/>
      <c r="R8" s="1210">
        <v>7</v>
      </c>
      <c r="S8" s="1211"/>
      <c r="T8" s="3358">
        <f t="shared" si="0"/>
        <v>0</v>
      </c>
      <c r="U8" s="1211"/>
      <c r="V8" s="3358">
        <f t="shared" si="1"/>
        <v>0</v>
      </c>
      <c r="W8" s="3727" t="s">
        <v>1959</v>
      </c>
      <c r="X8" s="3728"/>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5"/>
      <c r="B9" s="170" t="s">
        <v>1972</v>
      </c>
      <c r="C9" s="758">
        <f>SUMIF(修正!C71:C138,C8,修正!E71:E138)</f>
        <v>0</v>
      </c>
      <c r="D9" s="171" t="s">
        <v>113</v>
      </c>
      <c r="E9" s="171" t="e">
        <f>ROUND(C11/E7,4)</f>
        <v>#DIV/0!</v>
      </c>
      <c r="F9" s="2025" t="s">
        <v>1973</v>
      </c>
      <c r="G9" s="2026"/>
      <c r="H9" s="2026"/>
      <c r="I9" s="2026"/>
      <c r="J9" s="2027"/>
      <c r="K9" s="1117"/>
      <c r="L9" s="2001" t="s">
        <v>1974</v>
      </c>
      <c r="M9" s="864">
        <f>SUMPRODUCT((区片价!B277:B326=I2)*(区片价!C3:G3=E2)*(区片价!C277:G326))</f>
        <v>0</v>
      </c>
      <c r="N9" s="866">
        <f>SUMPRODUCT((因素修正幅度!B277:B326=I2)*(因素修正幅度!C3:G3=E2)*(因素修正幅度!C277:G326))</f>
        <v>0</v>
      </c>
      <c r="O9" s="1117"/>
      <c r="P9" s="1117"/>
      <c r="Q9" s="1117"/>
      <c r="R9" s="1210">
        <v>8</v>
      </c>
      <c r="S9" s="1211"/>
      <c r="T9" s="3358">
        <f t="shared" si="0"/>
        <v>0</v>
      </c>
      <c r="U9" s="1211"/>
      <c r="V9" s="3358">
        <f t="shared" si="1"/>
        <v>0</v>
      </c>
      <c r="W9" s="3729"/>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5"/>
      <c r="B10" s="170" t="s">
        <v>1975</v>
      </c>
      <c r="C10" s="171">
        <f>SUMIF(修正!C71:C138,C8,修正!F71:F138)</f>
        <v>0</v>
      </c>
      <c r="D10" s="171" t="s">
        <v>114</v>
      </c>
      <c r="E10" s="171" t="e">
        <f>ROUND(C11/E7,4)</f>
        <v>#DIV/0!</v>
      </c>
      <c r="F10" s="2025" t="s">
        <v>1976</v>
      </c>
      <c r="G10" s="2026"/>
      <c r="H10" s="2026"/>
      <c r="I10" s="2026"/>
      <c r="J10" s="2027"/>
      <c r="K10" s="1117"/>
      <c r="L10" s="2001" t="s">
        <v>1977</v>
      </c>
      <c r="M10" s="864">
        <f>SUMPRODUCT((区片价!B327:B357=I2)*(区片价!C3:G3=E2)*(区片价!C327:G357))</f>
        <v>0</v>
      </c>
      <c r="N10" s="866">
        <f>SUMPRODUCT((因素修正幅度!B327:B357=I2)*(因素修正幅度!C3:G3=E2)*(因素修正幅度!C327:G357))</f>
        <v>0</v>
      </c>
      <c r="O10" s="1117"/>
      <c r="P10" s="1117"/>
      <c r="Q10" s="1117"/>
      <c r="R10" s="1210">
        <v>9</v>
      </c>
      <c r="S10" s="1211"/>
      <c r="T10" s="3358">
        <f t="shared" si="0"/>
        <v>0</v>
      </c>
      <c r="U10" s="1211"/>
      <c r="V10" s="3358">
        <f t="shared" si="1"/>
        <v>0</v>
      </c>
      <c r="W10" s="372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299"/>
      <c r="B11" s="2028" t="s">
        <v>1978</v>
      </c>
      <c r="C11" s="759">
        <f>C10/4</f>
        <v>0</v>
      </c>
      <c r="D11" s="759" t="s">
        <v>115</v>
      </c>
      <c r="E11" s="759" t="e">
        <f>ROUND(C11/E7,4)</f>
        <v>#DIV/0!</v>
      </c>
      <c r="F11" s="2029" t="s">
        <v>1979</v>
      </c>
      <c r="G11" s="2030"/>
      <c r="H11" s="2030"/>
      <c r="I11" s="2030"/>
      <c r="J11" s="2031"/>
      <c r="K11" s="1117"/>
      <c r="L11" s="2001" t="s">
        <v>1980</v>
      </c>
      <c r="M11" s="864">
        <f>SUMPRODUCT((区片价!B358:B377=I2)*(区片价!C3:G3=E2)*(区片价!C358:G377))</f>
        <v>0</v>
      </c>
      <c r="N11" s="866">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4"/>
      <c r="AE11" s="2784"/>
      <c r="AF11" s="2784"/>
      <c r="AG11" s="2784"/>
      <c r="AH11" s="2784"/>
      <c r="AI11" s="2784"/>
      <c r="AJ11" s="2785"/>
    </row>
    <row r="12" spans="1:36" ht="25.5" thickBot="1">
      <c r="A12" s="3300" t="s">
        <v>3246</v>
      </c>
      <c r="B12" s="3301" t="s">
        <v>3247</v>
      </c>
      <c r="C12" s="3302">
        <v>1</v>
      </c>
      <c r="D12" s="3303" t="s">
        <v>3248</v>
      </c>
      <c r="E12" s="3304" t="s">
        <v>3249</v>
      </c>
      <c r="F12" s="3305"/>
      <c r="G12" s="3306"/>
      <c r="H12" s="3306"/>
      <c r="I12" s="3306"/>
      <c r="J12" s="3307"/>
      <c r="K12" s="1117"/>
      <c r="L12" s="2037" t="s">
        <v>1983</v>
      </c>
      <c r="M12" s="865">
        <f>SUMPRODUCT((区片价!B378:B384=I2)*(区片价!C3:G3=E2)*(区片价!C378:G384))</f>
        <v>0</v>
      </c>
      <c r="N12" s="866">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4"/>
      <c r="AE12" s="2784"/>
      <c r="AF12" s="2784"/>
      <c r="AG12" s="2784"/>
      <c r="AH12" s="2784"/>
      <c r="AI12" s="2784"/>
      <c r="AJ12" s="2785"/>
    </row>
    <row r="13" spans="1:36" ht="15.75" thickBot="1">
      <c r="A13" s="3300" t="s">
        <v>3250</v>
      </c>
      <c r="B13" s="2032" t="s">
        <v>1981</v>
      </c>
      <c r="C13" s="755">
        <f>ROUND(C16*D16*E16*F16*G16*H16*I16*J16,4)</f>
        <v>0</v>
      </c>
      <c r="D13" s="2033" t="s">
        <v>1982</v>
      </c>
      <c r="E13" s="2034"/>
      <c r="F13" s="2034"/>
      <c r="G13" s="2035"/>
      <c r="H13" s="2035"/>
      <c r="I13" s="2035"/>
      <c r="J13" s="2036"/>
      <c r="K13" s="1117"/>
      <c r="L13" s="3296"/>
      <c r="M13" s="3297"/>
      <c r="N13" s="3298"/>
      <c r="O13" s="1117"/>
      <c r="P13" s="1117"/>
      <c r="Q13" s="1117"/>
      <c r="R13" s="1210">
        <v>12</v>
      </c>
      <c r="S13" s="1211"/>
      <c r="T13" s="3358">
        <f t="shared" si="0"/>
        <v>0</v>
      </c>
      <c r="U13" s="1211"/>
      <c r="V13" s="3358">
        <f t="shared" si="1"/>
        <v>0</v>
      </c>
      <c r="W13" s="1214"/>
      <c r="X13" s="1214"/>
      <c r="Y13" s="1214"/>
      <c r="Z13" s="1214"/>
      <c r="AA13" s="1214"/>
      <c r="AB13" s="1214"/>
      <c r="AC13" s="1215"/>
      <c r="AD13" s="2784"/>
      <c r="AE13" s="2784"/>
      <c r="AF13" s="2784"/>
      <c r="AG13" s="2784"/>
      <c r="AH13" s="2784"/>
      <c r="AI13" s="2784"/>
      <c r="AJ13" s="2785"/>
    </row>
    <row r="14" spans="1:36" ht="15">
      <c r="A14" s="3294"/>
      <c r="B14" s="2038" t="s">
        <v>1984</v>
      </c>
      <c r="C14" s="2039" t="s">
        <v>1985</v>
      </c>
      <c r="D14" s="1348" t="s">
        <v>1986</v>
      </c>
      <c r="E14" s="27" t="s">
        <v>1987</v>
      </c>
      <c r="F14" s="3308" t="s">
        <v>3251</v>
      </c>
      <c r="G14" s="3308" t="s">
        <v>3251</v>
      </c>
      <c r="H14" s="3308" t="s">
        <v>3251</v>
      </c>
      <c r="I14" s="3308" t="s">
        <v>3251</v>
      </c>
      <c r="J14" s="3308" t="s">
        <v>3251</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4"/>
      <c r="AE14" s="2784"/>
      <c r="AF14" s="2784"/>
      <c r="AG14" s="2784"/>
      <c r="AH14" s="2784"/>
      <c r="AI14" s="2784"/>
      <c r="AJ14" s="2785"/>
    </row>
    <row r="15" spans="1:36" ht="15">
      <c r="A15" s="3294"/>
      <c r="B15" s="2040"/>
      <c r="C15" s="2041"/>
      <c r="D15" s="2042"/>
      <c r="E15" s="2043"/>
      <c r="F15" s="3309" t="s">
        <v>3252</v>
      </c>
      <c r="G15" s="3310"/>
      <c r="H15" s="3311"/>
      <c r="I15" s="3312"/>
      <c r="J15" s="3313"/>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4"/>
      <c r="AE15" s="2784"/>
      <c r="AF15" s="2784"/>
      <c r="AG15" s="2784"/>
      <c r="AH15" s="2784"/>
      <c r="AI15" s="2784"/>
      <c r="AJ15" s="2785"/>
    </row>
    <row r="16" spans="1:36" ht="15.75" thickBot="1">
      <c r="A16" s="3294"/>
      <c r="B16" s="3316" t="s">
        <v>1988</v>
      </c>
      <c r="C16" s="3314"/>
      <c r="D16" s="3314"/>
      <c r="E16" s="3314"/>
      <c r="F16" s="3314">
        <v>1</v>
      </c>
      <c r="G16" s="3314">
        <v>1</v>
      </c>
      <c r="H16" s="3314">
        <v>1</v>
      </c>
      <c r="I16" s="3314">
        <v>1</v>
      </c>
      <c r="J16" s="3315">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4"/>
      <c r="AE16" s="2784"/>
      <c r="AF16" s="2784"/>
      <c r="AG16" s="2784"/>
      <c r="AH16" s="2784"/>
      <c r="AI16" s="2784"/>
      <c r="AJ16" s="2785"/>
    </row>
    <row r="17" spans="1:37">
      <c r="A17" s="3326" t="s">
        <v>3253</v>
      </c>
      <c r="B17" s="3317" t="s">
        <v>3254</v>
      </c>
      <c r="C17" s="3327">
        <f>ROUND(IF(OR(E2="工业",E2="公共服务"),1,IF(AND(E18=0,E19=0),1,IF(AND(E18=J24,E19=G19),0.8,IF(E19=0,1+E17*(-0.2),1+E17*G17*(-0.2))))),4)</f>
        <v>1</v>
      </c>
      <c r="D17" s="3318" t="s">
        <v>3255</v>
      </c>
      <c r="E17" s="3327">
        <f>ROUND(G18/I18,2)</f>
        <v>0</v>
      </c>
      <c r="F17" s="3318" t="s">
        <v>3258</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5"/>
      <c r="C18" s="3324"/>
      <c r="D18" s="3319" t="s">
        <v>3256</v>
      </c>
      <c r="E18" s="3325"/>
      <c r="F18" s="3320" t="s">
        <v>3259</v>
      </c>
      <c r="G18" s="3324">
        <f>ROUND(1-(1/(POWER(1+G24,E18))),4)</f>
        <v>0</v>
      </c>
      <c r="H18" s="3320" t="s">
        <v>3261</v>
      </c>
      <c r="I18" s="3324">
        <f>ROUND(1-(1/(POWER(1+G24,J24))),4)</f>
        <v>0.93120000000000003</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3"/>
    </row>
    <row r="19" spans="1:37" s="2012" customFormat="1" ht="15" thickBot="1">
      <c r="A19" s="3331"/>
      <c r="B19" s="3332"/>
      <c r="C19" s="3333"/>
      <c r="D19" s="3333" t="s">
        <v>3257</v>
      </c>
      <c r="E19" s="3334"/>
      <c r="F19" s="3335" t="s">
        <v>3260</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6"/>
      <c r="AH19" s="2139"/>
      <c r="AI19" s="2787"/>
      <c r="AJ19" s="2787"/>
      <c r="AK19" s="2055"/>
    </row>
    <row r="20" spans="1:37" s="2012" customFormat="1" ht="14.25">
      <c r="A20" s="3734" t="s">
        <v>3262</v>
      </c>
      <c r="B20" s="167" t="s">
        <v>1993</v>
      </c>
      <c r="C20" s="3321">
        <f>ROUND(IF(F21="与级别开发程度一致",0,(G21-E21)/C21),0)</f>
        <v>-36</v>
      </c>
      <c r="D20" s="3337" t="s">
        <v>1997</v>
      </c>
      <c r="E20" s="3338"/>
      <c r="F20" s="3740" t="s">
        <v>1994</v>
      </c>
      <c r="G20" s="3741"/>
      <c r="H20" s="3322" t="s">
        <v>3380</v>
      </c>
      <c r="I20" s="3322" t="s">
        <v>3381</v>
      </c>
      <c r="J20" s="3323" t="s">
        <v>3382</v>
      </c>
      <c r="K20" s="2045" t="s">
        <v>3383</v>
      </c>
      <c r="L20" s="2045" t="s">
        <v>3384</v>
      </c>
      <c r="M20" s="2045" t="s">
        <v>3385</v>
      </c>
      <c r="N20" s="2045"/>
      <c r="O20" s="2046"/>
      <c r="P20" s="1995"/>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12" customFormat="1" ht="15" thickBot="1">
      <c r="A21" s="3735"/>
      <c r="B21" s="2162" t="s">
        <v>1996</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12" customFormat="1" ht="15.75" thickBot="1">
      <c r="A22" s="2156" t="s">
        <v>363</v>
      </c>
      <c r="B22" s="2157" t="s">
        <v>1999</v>
      </c>
      <c r="C22" s="2158">
        <f>SUMIF(修正!C20:C51,E3,修正!E20:E51)</f>
        <v>0.8</v>
      </c>
      <c r="D22" s="2159"/>
      <c r="E22" s="2160"/>
      <c r="F22" s="2160"/>
      <c r="G22" s="2160"/>
      <c r="H22" s="2160"/>
      <c r="I22" s="2160"/>
      <c r="J22" s="2161"/>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8" t="s">
        <v>364</v>
      </c>
      <c r="B23" s="2049"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1.0164</v>
      </c>
      <c r="D23" s="2052" t="s">
        <v>2001</v>
      </c>
      <c r="E23" s="761">
        <v>44197</v>
      </c>
      <c r="F23" s="2052" t="s">
        <v>2002</v>
      </c>
      <c r="G23" s="762">
        <f>'数据-取费表'!B2</f>
        <v>45001</v>
      </c>
      <c r="H23" s="3339" t="s">
        <v>3263</v>
      </c>
      <c r="I23" s="3340" t="str">
        <f>IF(H23="季度增幅（自定义）",SUMIF(N25:N28,E2,O25:O28),"")</f>
        <v/>
      </c>
      <c r="J23" s="3341" t="s">
        <v>3464</v>
      </c>
      <c r="K23" s="1123"/>
      <c r="L23" s="2053" t="s">
        <v>2003</v>
      </c>
      <c r="M23" s="1326">
        <f>ROUND(SUMIF(地价!B2:G2,E2,地价!B16:G16),0)</f>
        <v>350</v>
      </c>
      <c r="N23" s="2054" t="s">
        <v>2004</v>
      </c>
      <c r="O23" s="763">
        <f>ROUNDDOWN(DATEDIF(E23,G23,"M")/3,0)</f>
        <v>8</v>
      </c>
      <c r="P23" s="1120"/>
      <c r="Q23" s="2783"/>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2005</v>
      </c>
      <c r="C24" s="764">
        <f>ROUND(POWER(1+G24,J24-I24)*(POWER(1+G24,I24)-1)/(POWER(1+G24,J24)-1),4)</f>
        <v>0.93930000000000002</v>
      </c>
      <c r="D24" s="2058" t="s">
        <v>2006</v>
      </c>
      <c r="E24" s="1333">
        <f>存贷款利率!E22/100</f>
        <v>4.3499999999999997E-2</v>
      </c>
      <c r="F24" s="2058" t="s">
        <v>1998</v>
      </c>
      <c r="G24" s="768">
        <f>SUMIF(M30:Q30,E2,M33:Q33)</f>
        <v>5.5E-2</v>
      </c>
      <c r="H24" s="2058" t="s">
        <v>2007</v>
      </c>
      <c r="I24" s="769">
        <f>SUMIF('数据-取费表'!C6:C15,E2,'数据-取费表'!F6:F15)/COUNTIF('数据-取费表'!C6:C15,E2)</f>
        <v>38.799999999999997</v>
      </c>
      <c r="J24" s="770">
        <f>IF(E2="住宅",70,IF(E2="商业",40,50))</f>
        <v>50</v>
      </c>
      <c r="K24" s="1123"/>
      <c r="L24" s="2059" t="s">
        <v>2008</v>
      </c>
      <c r="M24" s="1327">
        <f>ROUND(SUMPRODUCT((地价!A4:A16=YEAR(G23)&amp;"-"&amp;ROUNDUP(MONTH(G23)/3,0))*(地价!B2:G2=E2)*(地价!B4:G16)),0)</f>
        <v>0</v>
      </c>
      <c r="N24" s="2060" t="s">
        <v>2009</v>
      </c>
      <c r="O24" s="2061" t="s">
        <v>2010</v>
      </c>
      <c r="P24" s="2062" t="s">
        <v>2011</v>
      </c>
      <c r="Q24" s="1995"/>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3" t="s">
        <v>366</v>
      </c>
      <c r="B25" s="2064" t="s">
        <v>3342</v>
      </c>
      <c r="C25" s="771">
        <f>IF(B25="容积率修正",IF(G3&lt;10,D26,J26),C27)</f>
        <v>1.0321</v>
      </c>
      <c r="D25" s="2065"/>
      <c r="E25" s="2065"/>
      <c r="F25" s="2065"/>
      <c r="G25" s="2065"/>
      <c r="H25" s="2065"/>
      <c r="I25" s="2065"/>
      <c r="J25" s="2066"/>
      <c r="K25" s="1123"/>
      <c r="L25" s="2783"/>
      <c r="M25" s="2783"/>
      <c r="N25" s="2067" t="s">
        <v>2012</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2013</v>
      </c>
      <c r="B26" s="2068" t="s">
        <v>2014</v>
      </c>
      <c r="C26" s="3342" t="s">
        <v>3264</v>
      </c>
      <c r="D26" s="1350">
        <f>IF(E26=G26,F26,IF(G3&lt;10,ROUND(F26+(H26-F26)*(G3-E26)/(G26-E26),4),"——"))</f>
        <v>1.0321</v>
      </c>
      <c r="E26" s="752">
        <f>ROUNDDOWN(G3,1)</f>
        <v>2.1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1.0397000000000001</v>
      </c>
      <c r="G26" s="752">
        <f>ROUNDUP(G3,1)</f>
        <v>2.2000000000000002</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1.0287999999999999</v>
      </c>
      <c r="I26" s="3342" t="s">
        <v>3265</v>
      </c>
      <c r="J26" s="772" t="str">
        <f>IF(G3&gt;=10,D115,"——")</f>
        <v>——</v>
      </c>
      <c r="K26" s="1123"/>
      <c r="L26" s="2783"/>
      <c r="M26" s="2783"/>
      <c r="N26" s="2067" t="s">
        <v>2015</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2016</v>
      </c>
      <c r="B27" s="2069" t="s">
        <v>2017</v>
      </c>
      <c r="C27" s="841">
        <f>ROUND(IF(I3&lt;6,SUMPRODUCT((B106:B110=I3)*(C105:N105=G2)*(C106:N110)),SUMIF(C105:N105,G2,C112:N112)),4)</f>
        <v>0</v>
      </c>
      <c r="D27" s="2044"/>
      <c r="E27" s="2044"/>
      <c r="F27" s="2070"/>
      <c r="G27" s="2071"/>
      <c r="H27" s="2072"/>
      <c r="I27" s="2073"/>
      <c r="J27" s="2074"/>
      <c r="K27" s="1117"/>
      <c r="L27" s="1995"/>
      <c r="M27" s="1995"/>
      <c r="N27" s="2067" t="s">
        <v>2018</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2019</v>
      </c>
      <c r="C28" s="760">
        <f>SUMIF(A47:A101,E2,B47:B101)</f>
        <v>0.94410000000000005</v>
      </c>
      <c r="D28" s="2050"/>
      <c r="E28" s="2075"/>
      <c r="F28" s="2075"/>
      <c r="G28" s="2075"/>
      <c r="H28" s="2075"/>
      <c r="I28" s="2075"/>
      <c r="J28" s="2076"/>
      <c r="K28" s="1123"/>
      <c r="L28" s="2783"/>
      <c r="M28" s="2783"/>
      <c r="N28" s="2077"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2021</v>
      </c>
      <c r="C29" s="765"/>
      <c r="D29" s="2022"/>
      <c r="E29" s="2022"/>
      <c r="F29" s="2079"/>
      <c r="G29" s="2022"/>
      <c r="H29" s="2022"/>
      <c r="I29" s="2022"/>
      <c r="J29" s="2023"/>
      <c r="K29" s="1117"/>
      <c r="L29" s="1995"/>
      <c r="M29" s="1995"/>
      <c r="N29" s="2780" t="s">
        <v>2022</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2023</v>
      </c>
      <c r="C30" s="2319">
        <f>IF(B25="容积率修正",E33+SUM(E37:E42),SUM(V2:V16)+SUM(E37:E42))</f>
        <v>32470</v>
      </c>
      <c r="D30" s="2081"/>
      <c r="E30" s="2044"/>
      <c r="F30" s="2082"/>
      <c r="G30" s="2044"/>
      <c r="H30" s="2044"/>
      <c r="I30" s="2044"/>
      <c r="J30" s="2083"/>
      <c r="K30" s="1117"/>
      <c r="L30" s="3348" t="s">
        <v>1935</v>
      </c>
      <c r="M30" s="3349" t="s">
        <v>1989</v>
      </c>
      <c r="N30" s="3349" t="s">
        <v>1990</v>
      </c>
      <c r="O30" s="3349" t="s">
        <v>1991</v>
      </c>
      <c r="P30" s="3349" t="s">
        <v>1992</v>
      </c>
      <c r="Q30" s="3352" t="s">
        <v>3269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2024</v>
      </c>
      <c r="C31" s="766">
        <f>E34+SUM(I37:I42)</f>
        <v>199</v>
      </c>
      <c r="D31" s="2085"/>
      <c r="E31" s="2086"/>
      <c r="F31" s="2087"/>
      <c r="G31" s="2086"/>
      <c r="H31" s="2086"/>
      <c r="I31" s="2086"/>
      <c r="J31" s="2088"/>
      <c r="K31" s="1117"/>
      <c r="L31" s="3350" t="s">
        <v>1995</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7"/>
      <c r="L32" s="3351" t="s">
        <v>1998</v>
      </c>
      <c r="M32" s="2566">
        <f>ROUND($E$24*(1+M31),3)</f>
        <v>5.3999999999999999E-2</v>
      </c>
      <c r="N32" s="2566">
        <f>ROUND($E$24*(1+N31),3)</f>
        <v>5.1999999999999998E-2</v>
      </c>
      <c r="O32" s="2566">
        <f>ROUND($E$24*(1+O31),3)</f>
        <v>0.05</v>
      </c>
      <c r="P32" s="2566">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2029</v>
      </c>
      <c r="C33" s="175">
        <f>ROUND(C5*C22*C23*C24*C25*C28,0)</f>
        <v>5979</v>
      </c>
      <c r="D33" s="2096">
        <f>'数据-汇总表'!F19</f>
        <v>52974.33</v>
      </c>
      <c r="E33" s="773">
        <f>ROUND(C33*D33/10000,0)</f>
        <v>31673</v>
      </c>
      <c r="F33" s="3343" t="s">
        <v>3267</v>
      </c>
      <c r="G33" s="2097"/>
      <c r="H33" s="2097"/>
      <c r="I33" s="2097"/>
      <c r="J33" s="2098"/>
      <c r="K33" s="1117"/>
      <c r="L33" s="3346" t="s">
        <v>3270</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2030</v>
      </c>
      <c r="C34" s="187">
        <f>ROUND(IF(E2="工业",C33*M42,IF(B25="楼层修正",SUM(V2:V16)*M41*10000/D34,C33*M41)),0)</f>
        <v>1495</v>
      </c>
      <c r="D34" s="2101"/>
      <c r="E34" s="773">
        <f>ROUND(IF(B25="楼层修正",SUM(V2:V16)*M40,C34*D34/10000),0)</f>
        <v>0</v>
      </c>
      <c r="F34" s="2102" t="s">
        <v>2031</v>
      </c>
      <c r="G34" s="2103"/>
      <c r="H34" s="2103"/>
      <c r="I34" s="2103"/>
      <c r="J34" s="2104"/>
      <c r="K34" s="1117"/>
      <c r="L34" s="3346" t="s">
        <v>3271</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2032</v>
      </c>
      <c r="C35" s="3344" t="s">
        <v>3268</v>
      </c>
      <c r="D35" s="2035"/>
      <c r="E35" s="2107"/>
      <c r="F35" s="2107"/>
      <c r="G35" s="2033" t="s">
        <v>2033</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4" t="s">
        <v>3272</v>
      </c>
      <c r="L36" s="3354">
        <v>3.6999999999999998E-2</v>
      </c>
      <c r="M36" s="3355">
        <f>ROUND($L$36*(1+M31),3)</f>
        <v>4.5999999999999999E-2</v>
      </c>
      <c r="N36" s="3355">
        <f>ROUND($L$36*(1+N31),3)</f>
        <v>4.3999999999999997E-2</v>
      </c>
      <c r="O36" s="3355">
        <f>ROUND($L$36*(1+O31),3)</f>
        <v>4.2999999999999997E-2</v>
      </c>
      <c r="P36" s="3355">
        <f>ROUND($L$36*(1+P31),3)</f>
        <v>4.1000000000000002E-2</v>
      </c>
      <c r="Q36" s="3355">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38"/>
      <c r="B37" s="2111" t="s">
        <v>2035</v>
      </c>
      <c r="C37" s="175">
        <f>ROUND(D5*C22*C23*C24*C28*F37,0)</f>
        <v>3476</v>
      </c>
      <c r="D37" s="2096"/>
      <c r="E37" s="171">
        <f>ROUND(C37*D37/10000,0)</f>
        <v>0</v>
      </c>
      <c r="F37" s="171">
        <f>SUMIF(修正!A57:A68,G2,修正!B57:B68)</f>
        <v>0.6</v>
      </c>
      <c r="G37" s="171">
        <f>ROUND(IF(E2="工业",C37*$M$42,C37*$M$41),0)</f>
        <v>869</v>
      </c>
      <c r="H37" s="171">
        <f>D37</f>
        <v>0</v>
      </c>
      <c r="I37" s="171">
        <f>ROUND(G37*H37/10000,0)</f>
        <v>0</v>
      </c>
      <c r="J37" s="3007"/>
      <c r="K37" s="3356" t="s">
        <v>3273</v>
      </c>
      <c r="L37" s="3354">
        <f>L36+K38</f>
        <v>4.1999999999999996E-2</v>
      </c>
      <c r="M37" s="3355">
        <f>ROUND($L$37*(1+M31),3)</f>
        <v>5.2999999999999999E-2</v>
      </c>
      <c r="N37" s="3355">
        <f t="shared" ref="N37:Q37" si="3">ROUND($L$37*(1+N31),3)</f>
        <v>0.05</v>
      </c>
      <c r="O37" s="3355">
        <f t="shared" si="3"/>
        <v>4.8000000000000001E-2</v>
      </c>
      <c r="P37" s="3355">
        <f t="shared" si="3"/>
        <v>4.5999999999999999E-2</v>
      </c>
      <c r="Q37" s="3355">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39"/>
      <c r="B38" s="2039" t="s">
        <v>2036</v>
      </c>
      <c r="C38" s="175">
        <f>ROUND(D5*C22*C23*C24*C28*F38,0)</f>
        <v>1738</v>
      </c>
      <c r="D38" s="2096"/>
      <c r="E38" s="171">
        <f t="shared" ref="E38:E42" si="4">ROUND(C38*D38/10000,0)</f>
        <v>0</v>
      </c>
      <c r="F38" s="171">
        <f>SUMIF(修正!A57:A68,G2,修正!C57:C68)</f>
        <v>0.3</v>
      </c>
      <c r="G38" s="171">
        <f>ROUND(IF(E2="工业",C38*$M$42,C38*$M$41),0)</f>
        <v>435</v>
      </c>
      <c r="H38" s="171">
        <f t="shared" ref="H38:H42" si="5">D38</f>
        <v>0</v>
      </c>
      <c r="I38" s="171">
        <f t="shared" ref="I38:I42" si="6">ROUND(G38*H38/10000,0)</f>
        <v>0</v>
      </c>
      <c r="J38" s="3006"/>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739"/>
      <c r="B39" s="2039" t="s">
        <v>3266</v>
      </c>
      <c r="C39" s="175">
        <f>ROUND(D5*C22*C23*C24*C28*F39,0)</f>
        <v>1448</v>
      </c>
      <c r="D39" s="2096"/>
      <c r="E39" s="171">
        <f t="shared" si="4"/>
        <v>0</v>
      </c>
      <c r="F39" s="171">
        <f>SUMIF(修正!A57:A68,G2,修正!D57:D68)</f>
        <v>0.25</v>
      </c>
      <c r="G39" s="171">
        <f>ROUND(IF(E2="工业",C39*$M$42,C39*$M$41),0)</f>
        <v>362</v>
      </c>
      <c r="H39" s="171">
        <f t="shared" si="5"/>
        <v>0</v>
      </c>
      <c r="I39" s="171">
        <f t="shared" si="6"/>
        <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2037</v>
      </c>
      <c r="C40" s="171">
        <f>ROUND(D5*C22*C23*C24*C28*F40,0)</f>
        <v>1448</v>
      </c>
      <c r="D40" s="2096">
        <f>'数据-汇总表'!G19</f>
        <v>5502.54</v>
      </c>
      <c r="E40" s="171">
        <f t="shared" si="4"/>
        <v>797</v>
      </c>
      <c r="F40" s="175">
        <f>SUMIF(修正!A57:A68,G2,修正!E57:E68)</f>
        <v>0.25</v>
      </c>
      <c r="G40" s="171">
        <f>ROUND(IF(E2="工业",C40*$M$42,C40*$M$41),0)</f>
        <v>362</v>
      </c>
      <c r="H40" s="171">
        <f t="shared" si="5"/>
        <v>5502.54</v>
      </c>
      <c r="I40" s="171">
        <f t="shared" si="6"/>
        <v>199</v>
      </c>
      <c r="J40" s="2112"/>
      <c r="L40" s="2114" t="s">
        <v>2038</v>
      </c>
      <c r="M40" s="2115"/>
      <c r="Z40" s="1118"/>
      <c r="AA40" s="1118"/>
      <c r="AB40" s="1118"/>
      <c r="AC40" s="1118"/>
      <c r="AD40" s="1118"/>
      <c r="AE40" s="1118"/>
      <c r="AF40" s="1118"/>
      <c r="AG40" s="1118"/>
      <c r="AH40" s="1118"/>
      <c r="AI40" s="1118"/>
      <c r="AJ40" s="1118"/>
    </row>
    <row r="41" spans="1:37" s="1117" customFormat="1">
      <c r="A41" s="2113"/>
      <c r="B41" s="2039" t="s">
        <v>2039</v>
      </c>
      <c r="C41" s="171">
        <f>ROUND(D5*C22*C23*C44*C28*F41,0)</f>
        <v>1448</v>
      </c>
      <c r="D41" s="2096"/>
      <c r="E41" s="171">
        <f t="shared" si="4"/>
        <v>0</v>
      </c>
      <c r="F41" s="175">
        <f>SUMIF(修正!A57:A68,G2,修正!F57:F68)</f>
        <v>0.25</v>
      </c>
      <c r="G41" s="171">
        <f>ROUND(IF(E2="工业",C41*$M$42,C41*$M$41),0)</f>
        <v>362</v>
      </c>
      <c r="H41" s="171">
        <f t="shared" si="5"/>
        <v>0</v>
      </c>
      <c r="I41" s="171">
        <f t="shared" si="6"/>
        <v>0</v>
      </c>
      <c r="J41" s="2112"/>
      <c r="L41" s="3357" t="s">
        <v>3274</v>
      </c>
      <c r="M41" s="2116">
        <v>0.25</v>
      </c>
      <c r="Z41" s="1118"/>
      <c r="AA41" s="1118"/>
      <c r="AB41" s="1118"/>
      <c r="AC41" s="1118"/>
      <c r="AD41" s="1118"/>
      <c r="AE41" s="1118"/>
      <c r="AF41" s="1118"/>
      <c r="AG41" s="1118"/>
      <c r="AH41" s="1118"/>
      <c r="AI41" s="1118"/>
      <c r="AJ41" s="1118"/>
    </row>
    <row r="42" spans="1:37" s="1117" customFormat="1" ht="13.5" thickBot="1">
      <c r="A42" s="2099"/>
      <c r="B42" s="2117" t="s">
        <v>2040</v>
      </c>
      <c r="C42" s="187">
        <f>ROUND(D5*C22*C23*C44*C28*F42,0)</f>
        <v>869</v>
      </c>
      <c r="D42" s="2101">
        <f>'数据-汇总表'!G20</f>
        <v>0</v>
      </c>
      <c r="E42" s="187">
        <f t="shared" si="4"/>
        <v>0</v>
      </c>
      <c r="F42" s="767">
        <f>SUMIF(修正!A57:A68,G2,修正!G57:G68)</f>
        <v>0.15</v>
      </c>
      <c r="G42" s="187">
        <f>ROUND(IF(E2="工业",C42*$M$42,C42*$M$41),0)</f>
        <v>217</v>
      </c>
      <c r="H42" s="187">
        <f t="shared" si="5"/>
        <v>0</v>
      </c>
      <c r="I42" s="187">
        <f t="shared" si="6"/>
        <v>0</v>
      </c>
      <c r="J42" s="2118"/>
      <c r="L42" s="2119" t="s">
        <v>1992</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0.93930000000000002</v>
      </c>
      <c r="D44" s="171" t="s">
        <v>1998</v>
      </c>
      <c r="E44" s="2151">
        <f>G24</f>
        <v>5.5E-2</v>
      </c>
      <c r="F44" s="171" t="s">
        <v>2007</v>
      </c>
      <c r="G44" s="183">
        <f>项目基本情况!F15</f>
        <v>38.799999999999997</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2041</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2042</v>
      </c>
      <c r="B48" s="2125">
        <f>1+E50</f>
        <v>1</v>
      </c>
      <c r="C48" s="2126"/>
      <c r="D48" s="741"/>
      <c r="E48" s="742"/>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2043</v>
      </c>
      <c r="B49" s="1349" t="s">
        <v>2044</v>
      </c>
      <c r="C49" s="1349" t="s">
        <v>2045</v>
      </c>
      <c r="D49" s="1349" t="s">
        <v>2046</v>
      </c>
      <c r="E49" s="743" t="s">
        <v>2047</v>
      </c>
      <c r="F49" s="2129" t="s">
        <v>2048</v>
      </c>
      <c r="G49" s="1349" t="s">
        <v>310</v>
      </c>
      <c r="H49" s="2130" t="s">
        <v>2049</v>
      </c>
      <c r="I49" s="1349" t="s">
        <v>2050</v>
      </c>
      <c r="J49" s="552" t="s">
        <v>1720</v>
      </c>
      <c r="K49" s="552" t="s">
        <v>1721</v>
      </c>
      <c r="L49" s="552" t="s">
        <v>1722</v>
      </c>
      <c r="M49" s="552" t="s">
        <v>1723</v>
      </c>
      <c r="N49" s="552" t="s">
        <v>1724</v>
      </c>
      <c r="AA49" s="1118"/>
      <c r="AB49" s="1118"/>
      <c r="AC49" s="1118"/>
      <c r="AD49" s="1118"/>
      <c r="AE49" s="1118"/>
      <c r="AF49" s="1118"/>
      <c r="AG49" s="1118"/>
      <c r="AH49" s="1118"/>
      <c r="AI49" s="1118"/>
      <c r="AJ49" s="1118"/>
      <c r="AK49" s="1118"/>
    </row>
    <row r="50" spans="1:37" s="1117" customFormat="1" ht="38.25" hidden="1">
      <c r="A50" s="2128" t="s">
        <v>2051</v>
      </c>
      <c r="B50" s="2131" t="str">
        <f>估价对象房地状况!C4</f>
        <v>估价对象位于XX商圈，周边商业氛围成熟，人流量大，商业繁华度好</v>
      </c>
      <c r="C50" s="2042"/>
      <c r="D50" s="1065">
        <f t="shared" ref="D50:D58" si="7">SUMIF($J$49:$N$49,C50,J50:N50)</f>
        <v>0</v>
      </c>
      <c r="E50" s="744">
        <f>ROUND(SUM(D50:D58),4)</f>
        <v>0</v>
      </c>
      <c r="F50" s="1812"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18"/>
      <c r="AB50" s="1118"/>
      <c r="AC50" s="1118"/>
      <c r="AD50" s="1118"/>
      <c r="AE50" s="1118"/>
      <c r="AF50" s="1118"/>
      <c r="AG50" s="1118"/>
      <c r="AH50" s="1118"/>
      <c r="AI50" s="1118"/>
      <c r="AJ50" s="1118"/>
      <c r="AK50" s="1118"/>
    </row>
    <row r="51" spans="1:37" s="1117" customFormat="1" ht="38.25" hidden="1">
      <c r="A51" s="2128" t="s">
        <v>2052</v>
      </c>
      <c r="B51" s="2132" t="str">
        <f>估价对象房地状况!C18</f>
        <v>估价对象周边道路状况、公共交通通达情况、停车便捷程度，综合评价交通便捷度较好</v>
      </c>
      <c r="C51" s="2042"/>
      <c r="D51" s="1065">
        <f t="shared" si="7"/>
        <v>0</v>
      </c>
      <c r="E51" s="745"/>
      <c r="F51" s="1812"/>
      <c r="G51" s="1063"/>
      <c r="H51" s="1066" t="str">
        <f t="shared" si="8"/>
        <v>——</v>
      </c>
      <c r="I51" s="3364">
        <v>0.22</v>
      </c>
      <c r="J51" s="1064">
        <f t="shared" si="9"/>
        <v>0</v>
      </c>
      <c r="K51" s="1064">
        <f t="shared" si="10"/>
        <v>0</v>
      </c>
      <c r="L51" s="1064">
        <v>0</v>
      </c>
      <c r="M51" s="1064">
        <f t="shared" si="11"/>
        <v>0</v>
      </c>
      <c r="N51" s="1064">
        <f t="shared" si="11"/>
        <v>0</v>
      </c>
      <c r="AA51" s="1118"/>
      <c r="AB51" s="1118"/>
      <c r="AC51" s="1118"/>
      <c r="AD51" s="1118"/>
      <c r="AE51" s="1118"/>
      <c r="AF51" s="1118"/>
      <c r="AG51" s="1118"/>
      <c r="AH51" s="1118"/>
      <c r="AI51" s="1118"/>
      <c r="AJ51" s="1118"/>
      <c r="AK51" s="1118"/>
    </row>
    <row r="52" spans="1:37" s="1117" customFormat="1" ht="36" hidden="1">
      <c r="A52" s="3366" t="s">
        <v>3276</v>
      </c>
      <c r="B52" s="2132">
        <f>估价对象房地状况!C19</f>
        <v>0</v>
      </c>
      <c r="C52" s="2042"/>
      <c r="D52" s="1065">
        <f t="shared" si="7"/>
        <v>0</v>
      </c>
      <c r="E52" s="745"/>
      <c r="F52" s="1812"/>
      <c r="G52" s="1063"/>
      <c r="H52" s="1066" t="str">
        <f t="shared" si="8"/>
        <v>——</v>
      </c>
      <c r="I52" s="3364">
        <v>0.12</v>
      </c>
      <c r="J52" s="1064">
        <f t="shared" si="9"/>
        <v>0</v>
      </c>
      <c r="K52" s="1064">
        <f t="shared" si="10"/>
        <v>0</v>
      </c>
      <c r="L52" s="1064">
        <v>0</v>
      </c>
      <c r="M52" s="1064">
        <f t="shared" si="11"/>
        <v>0</v>
      </c>
      <c r="N52" s="1064">
        <f t="shared" si="11"/>
        <v>0</v>
      </c>
      <c r="AA52" s="1118"/>
      <c r="AB52" s="1118"/>
      <c r="AC52" s="1118"/>
      <c r="AD52" s="1118"/>
      <c r="AE52" s="1118"/>
      <c r="AF52" s="1118"/>
      <c r="AG52" s="1118"/>
      <c r="AH52" s="1118"/>
      <c r="AI52" s="1118"/>
      <c r="AJ52" s="1118"/>
      <c r="AK52" s="1118"/>
    </row>
    <row r="53" spans="1:37" s="1117" customFormat="1" ht="36.75" hidden="1">
      <c r="A53" s="2128" t="s">
        <v>2053</v>
      </c>
      <c r="B53" s="2133" t="s">
        <v>2054</v>
      </c>
      <c r="C53" s="2042"/>
      <c r="D53" s="1065">
        <f t="shared" si="7"/>
        <v>0</v>
      </c>
      <c r="E53" s="745"/>
      <c r="F53" s="1812"/>
      <c r="G53" s="1063"/>
      <c r="H53" s="1066" t="str">
        <f t="shared" si="8"/>
        <v>——</v>
      </c>
      <c r="I53" s="3364">
        <v>0.05</v>
      </c>
      <c r="J53" s="1064">
        <f t="shared" si="9"/>
        <v>0</v>
      </c>
      <c r="K53" s="1064">
        <f t="shared" si="10"/>
        <v>0</v>
      </c>
      <c r="L53" s="1064">
        <v>0</v>
      </c>
      <c r="M53" s="1064">
        <f t="shared" si="11"/>
        <v>0</v>
      </c>
      <c r="N53" s="1064">
        <f t="shared" si="11"/>
        <v>0</v>
      </c>
      <c r="AA53" s="1118"/>
      <c r="AB53" s="1118"/>
      <c r="AC53" s="1118"/>
      <c r="AD53" s="1118"/>
      <c r="AE53" s="1118"/>
      <c r="AF53" s="1118"/>
      <c r="AG53" s="1118"/>
      <c r="AH53" s="1118"/>
      <c r="AI53" s="1118"/>
      <c r="AJ53" s="1118"/>
      <c r="AK53" s="1118"/>
    </row>
    <row r="54" spans="1:37" s="1117" customFormat="1" ht="24" hidden="1">
      <c r="A54" s="2128" t="s">
        <v>2055</v>
      </c>
      <c r="B54" s="2132">
        <f>估价对象房地状况!C24</f>
        <v>0</v>
      </c>
      <c r="C54" s="2042"/>
      <c r="D54" s="1065">
        <f t="shared" si="7"/>
        <v>0</v>
      </c>
      <c r="E54" s="745"/>
      <c r="F54" s="1812"/>
      <c r="G54" s="1063"/>
      <c r="H54" s="1066" t="str">
        <f t="shared" si="8"/>
        <v>——</v>
      </c>
      <c r="I54" s="3364">
        <v>0.08</v>
      </c>
      <c r="J54" s="1064">
        <f t="shared" si="9"/>
        <v>0</v>
      </c>
      <c r="K54" s="1064">
        <f t="shared" si="10"/>
        <v>0</v>
      </c>
      <c r="L54" s="1064">
        <v>0</v>
      </c>
      <c r="M54" s="1064">
        <f t="shared" si="11"/>
        <v>0</v>
      </c>
      <c r="N54" s="1064">
        <f t="shared" si="11"/>
        <v>0</v>
      </c>
      <c r="AA54" s="1118"/>
      <c r="AB54" s="1118"/>
      <c r="AC54" s="1118"/>
      <c r="AD54" s="1118"/>
      <c r="AE54" s="1118"/>
      <c r="AF54" s="1118"/>
      <c r="AG54" s="1118"/>
      <c r="AH54" s="1118"/>
      <c r="AI54" s="1118"/>
      <c r="AJ54" s="1118"/>
      <c r="AK54" s="1118"/>
    </row>
    <row r="55" spans="1:37" s="1117" customFormat="1" ht="24" hidden="1">
      <c r="A55" s="2128" t="s">
        <v>2056</v>
      </c>
      <c r="B55" s="2134" t="s">
        <v>2057</v>
      </c>
      <c r="C55" s="2042"/>
      <c r="D55" s="1065">
        <f t="shared" si="7"/>
        <v>0</v>
      </c>
      <c r="E55" s="745"/>
      <c r="F55" s="1812"/>
      <c r="G55" s="1063"/>
      <c r="H55" s="1066" t="str">
        <f t="shared" si="8"/>
        <v>——</v>
      </c>
      <c r="I55" s="3364">
        <v>0.05</v>
      </c>
      <c r="J55" s="1064">
        <f t="shared" si="9"/>
        <v>0</v>
      </c>
      <c r="K55" s="1064">
        <f t="shared" si="10"/>
        <v>0</v>
      </c>
      <c r="L55" s="1064">
        <v>0</v>
      </c>
      <c r="M55" s="1064">
        <f t="shared" si="11"/>
        <v>0</v>
      </c>
      <c r="N55" s="1064">
        <f t="shared" si="11"/>
        <v>0</v>
      </c>
      <c r="AA55" s="1118"/>
      <c r="AB55" s="1118"/>
      <c r="AC55" s="1118"/>
      <c r="AD55" s="1118"/>
      <c r="AE55" s="1118"/>
      <c r="AF55" s="1118"/>
      <c r="AG55" s="1118"/>
      <c r="AH55" s="1118"/>
      <c r="AI55" s="1118"/>
      <c r="AJ55" s="1118"/>
      <c r="AK55" s="1118"/>
    </row>
    <row r="56" spans="1:37" s="1117" customFormat="1" ht="25.5" hidden="1">
      <c r="A56" s="2135" t="s">
        <v>2058</v>
      </c>
      <c r="B56" s="1324" t="str">
        <f>估价对象房地状况!C21</f>
        <v>估价对象所在区域公共配套设施齐备情况</v>
      </c>
      <c r="C56" s="2042"/>
      <c r="D56" s="1065">
        <f t="shared" si="7"/>
        <v>0</v>
      </c>
      <c r="E56" s="745"/>
      <c r="F56" s="1812"/>
      <c r="G56" s="1063"/>
      <c r="H56" s="1066" t="str">
        <f t="shared" si="8"/>
        <v>——</v>
      </c>
      <c r="I56" s="3364">
        <v>0.05</v>
      </c>
      <c r="J56" s="1064">
        <f t="shared" si="9"/>
        <v>0</v>
      </c>
      <c r="K56" s="1064">
        <f t="shared" si="10"/>
        <v>0</v>
      </c>
      <c r="L56" s="1064">
        <v>0</v>
      </c>
      <c r="M56" s="1064">
        <f t="shared" si="11"/>
        <v>0</v>
      </c>
      <c r="N56" s="1064">
        <f t="shared" si="11"/>
        <v>0</v>
      </c>
      <c r="AA56" s="1118"/>
      <c r="AB56" s="1118"/>
      <c r="AC56" s="1118"/>
      <c r="AD56" s="1118"/>
      <c r="AE56" s="1118"/>
      <c r="AF56" s="1118"/>
      <c r="AG56" s="1118"/>
      <c r="AH56" s="1118"/>
      <c r="AI56" s="1118"/>
      <c r="AJ56" s="1118"/>
      <c r="AK56" s="1118"/>
    </row>
    <row r="57" spans="1:37" s="1117" customFormat="1" ht="25.5" hidden="1">
      <c r="A57" s="2135" t="s">
        <v>2059</v>
      </c>
      <c r="B57" s="2132" t="str">
        <f>估价对象房地状况!C22</f>
        <v>估价对象所在区域基础设施水平</v>
      </c>
      <c r="C57" s="2042"/>
      <c r="D57" s="1065">
        <f t="shared" si="7"/>
        <v>0</v>
      </c>
      <c r="E57" s="745"/>
      <c r="F57" s="1812"/>
      <c r="G57" s="1063"/>
      <c r="H57" s="1066" t="str">
        <f t="shared" si="8"/>
        <v>——</v>
      </c>
      <c r="I57" s="3364">
        <v>0.08</v>
      </c>
      <c r="J57" s="1064">
        <f t="shared" si="9"/>
        <v>0</v>
      </c>
      <c r="K57" s="1064">
        <f t="shared" si="10"/>
        <v>0</v>
      </c>
      <c r="L57" s="1064">
        <v>0</v>
      </c>
      <c r="M57" s="1064">
        <f t="shared" si="11"/>
        <v>0</v>
      </c>
      <c r="N57" s="1064">
        <f t="shared" si="11"/>
        <v>0</v>
      </c>
      <c r="AA57" s="1118"/>
      <c r="AB57" s="1118"/>
      <c r="AC57" s="1118"/>
      <c r="AD57" s="1118"/>
      <c r="AE57" s="1118"/>
      <c r="AF57" s="1118"/>
      <c r="AG57" s="1118"/>
      <c r="AH57" s="1118"/>
      <c r="AI57" s="1118"/>
      <c r="AJ57" s="1118"/>
      <c r="AK57" s="1118"/>
    </row>
    <row r="58" spans="1:37" s="1117" customFormat="1" ht="26.25" hidden="1" thickBot="1">
      <c r="A58" s="2136" t="s">
        <v>2060</v>
      </c>
      <c r="B58" s="2137" t="str">
        <f>估价对象房地状况!C20</f>
        <v>区域自然环境：；人文环境；综合评价环境状况一般</v>
      </c>
      <c r="C58" s="2042"/>
      <c r="D58" s="1065">
        <f t="shared" si="7"/>
        <v>0</v>
      </c>
      <c r="E58" s="746"/>
      <c r="F58" s="1812"/>
      <c r="G58" s="1063"/>
      <c r="H58" s="1066" t="str">
        <f t="shared" si="8"/>
        <v>——</v>
      </c>
      <c r="I58" s="3365">
        <v>0.05</v>
      </c>
      <c r="J58" s="1064">
        <f t="shared" si="9"/>
        <v>0</v>
      </c>
      <c r="K58" s="1064">
        <f t="shared" si="10"/>
        <v>0</v>
      </c>
      <c r="L58" s="1064">
        <v>0</v>
      </c>
      <c r="M58" s="1064">
        <f t="shared" si="11"/>
        <v>0</v>
      </c>
      <c r="N58" s="1064">
        <f t="shared" si="11"/>
        <v>0</v>
      </c>
      <c r="AA58" s="1118"/>
      <c r="AB58" s="1118"/>
      <c r="AC58" s="1118"/>
      <c r="AD58" s="1118"/>
      <c r="AE58" s="1118"/>
      <c r="AF58" s="1118"/>
      <c r="AG58" s="1118"/>
      <c r="AH58" s="1118"/>
      <c r="AI58" s="1118"/>
      <c r="AJ58" s="1118"/>
      <c r="AK58" s="1118"/>
    </row>
    <row r="59" spans="1:37" s="1117" customFormat="1" ht="15">
      <c r="A59" s="2124" t="s">
        <v>2061</v>
      </c>
      <c r="B59" s="2125">
        <f>1+E61</f>
        <v>0.94410000000000005</v>
      </c>
      <c r="C59" s="741"/>
      <c r="D59" s="741"/>
      <c r="E59" s="742"/>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2043</v>
      </c>
      <c r="B60" s="1349"/>
      <c r="C60" s="1349" t="s">
        <v>2045</v>
      </c>
      <c r="D60" s="1349" t="s">
        <v>2046</v>
      </c>
      <c r="E60" s="743" t="s">
        <v>2047</v>
      </c>
      <c r="F60" s="2129" t="s">
        <v>2062</v>
      </c>
      <c r="G60" s="1349" t="s">
        <v>310</v>
      </c>
      <c r="H60" s="2130" t="s">
        <v>2049</v>
      </c>
      <c r="I60" s="1349" t="s">
        <v>2050</v>
      </c>
      <c r="J60" s="552" t="s">
        <v>1720</v>
      </c>
      <c r="K60" s="552" t="s">
        <v>1721</v>
      </c>
      <c r="L60" s="552" t="s">
        <v>1722</v>
      </c>
      <c r="M60" s="552" t="s">
        <v>1723</v>
      </c>
      <c r="N60" s="552" t="s">
        <v>1724</v>
      </c>
      <c r="AA60" s="1118"/>
      <c r="AB60" s="1118"/>
      <c r="AC60" s="1118"/>
      <c r="AD60" s="1118"/>
      <c r="AE60" s="1118"/>
      <c r="AF60" s="1118"/>
      <c r="AG60" s="1118"/>
      <c r="AH60" s="1118"/>
      <c r="AI60" s="1118"/>
      <c r="AJ60" s="1118"/>
      <c r="AK60" s="1118"/>
    </row>
    <row r="61" spans="1:37" s="1117" customFormat="1" ht="38.25">
      <c r="A61" s="2128" t="s">
        <v>2063</v>
      </c>
      <c r="B61" s="2131" t="str">
        <f>估价对象房地状况!C17</f>
        <v>估价对象位于XX商圈，周边办公楼项目较多，入驻率高，办公集聚程度较好</v>
      </c>
      <c r="C61" s="2042" t="s">
        <v>3465</v>
      </c>
      <c r="D61" s="1065">
        <f t="shared" ref="D61:D69" si="12">SUMIF($J$60:$N$60,C61,J61:N61)</f>
        <v>-3.2199999999999999E-2</v>
      </c>
      <c r="E61" s="744">
        <f>ROUND(SUM(D61:D69),4)</f>
        <v>-5.5899999999999998E-2</v>
      </c>
      <c r="F61" s="1812">
        <f>IF(E2="办公",SUMIF(L1:L12,G2,N1:N12),"——")</f>
        <v>0.129</v>
      </c>
      <c r="G61" s="1063">
        <f>H61</f>
        <v>1.61E-2</v>
      </c>
      <c r="H61" s="1066">
        <f t="shared" ref="H61:H69" si="13">IFERROR(ROUNDDOWN($F$61*I61/2,4),"——")</f>
        <v>1.61E-2</v>
      </c>
      <c r="I61" s="3364">
        <v>0.25</v>
      </c>
      <c r="J61" s="1064">
        <f t="shared" ref="J61:J69" si="14">K61+$G61</f>
        <v>3.2199999999999999E-2</v>
      </c>
      <c r="K61" s="1064">
        <f t="shared" ref="K61:K69" si="15">$L61+$G61</f>
        <v>1.61E-2</v>
      </c>
      <c r="L61" s="1064">
        <v>0</v>
      </c>
      <c r="M61" s="1064">
        <f t="shared" ref="M61:N69" si="16">L61-$G61</f>
        <v>-1.61E-2</v>
      </c>
      <c r="N61" s="1064">
        <f t="shared" si="16"/>
        <v>-3.2199999999999999E-2</v>
      </c>
      <c r="AA61" s="1118"/>
      <c r="AB61" s="1118"/>
      <c r="AC61" s="1118"/>
      <c r="AD61" s="1118"/>
      <c r="AE61" s="1118"/>
      <c r="AF61" s="1118"/>
      <c r="AG61" s="1118"/>
      <c r="AH61" s="1118"/>
      <c r="AI61" s="1118"/>
      <c r="AJ61" s="1118"/>
      <c r="AK61" s="1118"/>
    </row>
    <row r="62" spans="1:37" s="1117" customFormat="1" ht="38.25">
      <c r="A62" s="2128" t="s">
        <v>2052</v>
      </c>
      <c r="B62" s="2132" t="str">
        <f>估价对象房地状况!C18</f>
        <v>估价对象周边道路状况、公共交通通达情况、停车便捷程度，综合评价交通便捷度较好</v>
      </c>
      <c r="C62" s="2042" t="s">
        <v>3466</v>
      </c>
      <c r="D62" s="1065">
        <f t="shared" si="12"/>
        <v>-1.67E-2</v>
      </c>
      <c r="E62" s="745"/>
      <c r="F62" s="1812"/>
      <c r="G62" s="1063">
        <f t="shared" ref="G62:G69" si="17">H62</f>
        <v>1.67E-2</v>
      </c>
      <c r="H62" s="1066">
        <f t="shared" si="13"/>
        <v>1.67E-2</v>
      </c>
      <c r="I62" s="3364">
        <v>0.26</v>
      </c>
      <c r="J62" s="1064">
        <f t="shared" si="14"/>
        <v>3.3399999999999999E-2</v>
      </c>
      <c r="K62" s="1064">
        <f t="shared" si="15"/>
        <v>1.67E-2</v>
      </c>
      <c r="L62" s="1064">
        <v>0</v>
      </c>
      <c r="M62" s="1064">
        <f t="shared" si="16"/>
        <v>-1.67E-2</v>
      </c>
      <c r="N62" s="1064">
        <f t="shared" si="16"/>
        <v>-3.3399999999999999E-2</v>
      </c>
      <c r="AA62" s="1118"/>
      <c r="AB62" s="1118"/>
      <c r="AC62" s="1118"/>
      <c r="AD62" s="1118"/>
      <c r="AE62" s="1118"/>
      <c r="AF62" s="1118"/>
      <c r="AG62" s="1118"/>
      <c r="AH62" s="1118"/>
      <c r="AI62" s="1118"/>
      <c r="AJ62" s="1118"/>
      <c r="AK62" s="1118"/>
    </row>
    <row r="63" spans="1:37" s="1117" customFormat="1" ht="36">
      <c r="A63" s="3366" t="s">
        <v>3276</v>
      </c>
      <c r="B63" s="2132">
        <f>估价对象房地状况!C19</f>
        <v>0</v>
      </c>
      <c r="C63" s="2042" t="s">
        <v>3466</v>
      </c>
      <c r="D63" s="1065">
        <f t="shared" si="12"/>
        <v>-7.0000000000000001E-3</v>
      </c>
      <c r="E63" s="745"/>
      <c r="F63" s="1812"/>
      <c r="G63" s="1063">
        <f t="shared" si="17"/>
        <v>7.0000000000000001E-3</v>
      </c>
      <c r="H63" s="1066">
        <f t="shared" si="13"/>
        <v>7.0000000000000001E-3</v>
      </c>
      <c r="I63" s="3364">
        <v>0.11</v>
      </c>
      <c r="J63" s="1064">
        <f t="shared" si="14"/>
        <v>1.4E-2</v>
      </c>
      <c r="K63" s="1064">
        <f t="shared" si="15"/>
        <v>7.0000000000000001E-3</v>
      </c>
      <c r="L63" s="1064">
        <v>0</v>
      </c>
      <c r="M63" s="1064">
        <f t="shared" si="16"/>
        <v>-7.0000000000000001E-3</v>
      </c>
      <c r="N63" s="1064">
        <f t="shared" si="16"/>
        <v>-1.4E-2</v>
      </c>
      <c r="AA63" s="1118"/>
      <c r="AB63" s="1118"/>
      <c r="AC63" s="1118"/>
      <c r="AD63" s="1118"/>
      <c r="AE63" s="1118"/>
      <c r="AF63" s="1118"/>
      <c r="AG63" s="1118"/>
      <c r="AH63" s="1118"/>
      <c r="AI63" s="1118"/>
      <c r="AJ63" s="1118"/>
      <c r="AK63" s="1118"/>
    </row>
    <row r="64" spans="1:37" s="1117" customFormat="1" ht="36.75">
      <c r="A64" s="2128" t="s">
        <v>2053</v>
      </c>
      <c r="B64" s="2133" t="s">
        <v>2054</v>
      </c>
      <c r="C64" s="2042" t="s">
        <v>3467</v>
      </c>
      <c r="D64" s="1065">
        <f t="shared" si="12"/>
        <v>0</v>
      </c>
      <c r="E64" s="745"/>
      <c r="F64" s="1812"/>
      <c r="G64" s="1063">
        <f t="shared" si="17"/>
        <v>3.2000000000000002E-3</v>
      </c>
      <c r="H64" s="1066">
        <f t="shared" si="13"/>
        <v>3.2000000000000002E-3</v>
      </c>
      <c r="I64" s="3364">
        <v>0.05</v>
      </c>
      <c r="J64" s="1064">
        <f t="shared" si="14"/>
        <v>6.4000000000000003E-3</v>
      </c>
      <c r="K64" s="1064">
        <f t="shared" si="15"/>
        <v>3.2000000000000002E-3</v>
      </c>
      <c r="L64" s="1064">
        <v>0</v>
      </c>
      <c r="M64" s="1064">
        <f t="shared" si="16"/>
        <v>-3.2000000000000002E-3</v>
      </c>
      <c r="N64" s="1064">
        <f t="shared" si="16"/>
        <v>-6.4000000000000003E-3</v>
      </c>
      <c r="AA64" s="1118"/>
      <c r="AB64" s="1118"/>
      <c r="AC64" s="1118"/>
      <c r="AD64" s="1118"/>
      <c r="AE64" s="1118"/>
      <c r="AF64" s="1118"/>
      <c r="AG64" s="1118"/>
      <c r="AH64" s="1118"/>
      <c r="AI64" s="1118"/>
      <c r="AJ64" s="1118"/>
      <c r="AK64" s="1118"/>
    </row>
    <row r="65" spans="1:37" s="1117" customFormat="1" ht="24">
      <c r="A65" s="2128" t="s">
        <v>2055</v>
      </c>
      <c r="B65" s="2132">
        <f>估价对象房地状况!C24</f>
        <v>0</v>
      </c>
      <c r="C65" s="2042" t="s">
        <v>3467</v>
      </c>
      <c r="D65" s="1065">
        <f t="shared" si="12"/>
        <v>0</v>
      </c>
      <c r="E65" s="745"/>
      <c r="F65" s="1812"/>
      <c r="G65" s="1063">
        <f t="shared" si="17"/>
        <v>3.2000000000000002E-3</v>
      </c>
      <c r="H65" s="1066">
        <f t="shared" si="13"/>
        <v>3.2000000000000002E-3</v>
      </c>
      <c r="I65" s="3364">
        <v>0.05</v>
      </c>
      <c r="J65" s="1064">
        <f t="shared" si="14"/>
        <v>6.4000000000000003E-3</v>
      </c>
      <c r="K65" s="1064">
        <f t="shared" si="15"/>
        <v>3.2000000000000002E-3</v>
      </c>
      <c r="L65" s="1064">
        <v>0</v>
      </c>
      <c r="M65" s="1064">
        <f t="shared" si="16"/>
        <v>-3.2000000000000002E-3</v>
      </c>
      <c r="N65" s="1064">
        <f t="shared" si="16"/>
        <v>-6.4000000000000003E-3</v>
      </c>
      <c r="AA65" s="1118"/>
      <c r="AB65" s="1118"/>
      <c r="AC65" s="1118"/>
      <c r="AD65" s="1118"/>
      <c r="AE65" s="1118"/>
      <c r="AF65" s="1118"/>
      <c r="AG65" s="1118"/>
      <c r="AH65" s="1118"/>
      <c r="AI65" s="1118"/>
      <c r="AJ65" s="1118"/>
      <c r="AK65" s="1118"/>
    </row>
    <row r="66" spans="1:37" s="1117" customFormat="1" ht="24">
      <c r="A66" s="2128" t="s">
        <v>2056</v>
      </c>
      <c r="B66" s="2134" t="s">
        <v>2057</v>
      </c>
      <c r="C66" s="2042" t="s">
        <v>3468</v>
      </c>
      <c r="D66" s="1065">
        <f t="shared" si="12"/>
        <v>3.8E-3</v>
      </c>
      <c r="E66" s="745"/>
      <c r="F66" s="1812"/>
      <c r="G66" s="1063">
        <f t="shared" si="17"/>
        <v>3.8E-3</v>
      </c>
      <c r="H66" s="1066">
        <f t="shared" si="13"/>
        <v>3.8E-3</v>
      </c>
      <c r="I66" s="3364">
        <v>0.06</v>
      </c>
      <c r="J66" s="1064">
        <f t="shared" si="14"/>
        <v>7.6E-3</v>
      </c>
      <c r="K66" s="1064">
        <f t="shared" si="15"/>
        <v>3.8E-3</v>
      </c>
      <c r="L66" s="1064">
        <v>0</v>
      </c>
      <c r="M66" s="1064">
        <f t="shared" si="16"/>
        <v>-3.8E-3</v>
      </c>
      <c r="N66" s="1064">
        <f t="shared" si="16"/>
        <v>-7.6E-3</v>
      </c>
      <c r="AA66" s="1118"/>
      <c r="AB66" s="1118"/>
      <c r="AC66" s="1118"/>
      <c r="AD66" s="1118"/>
      <c r="AE66" s="1118"/>
      <c r="AF66" s="1118"/>
      <c r="AG66" s="1118"/>
      <c r="AH66" s="1118"/>
      <c r="AI66" s="1118"/>
      <c r="AJ66" s="1118"/>
      <c r="AK66" s="1118"/>
    </row>
    <row r="67" spans="1:37" s="1117" customFormat="1" ht="25.5">
      <c r="A67" s="2128" t="s">
        <v>2058</v>
      </c>
      <c r="B67" s="1324" t="str">
        <f>估价对象房地状况!C21</f>
        <v>估价对象所在区域公共配套设施齐备情况</v>
      </c>
      <c r="C67" s="2042" t="s">
        <v>3466</v>
      </c>
      <c r="D67" s="1065">
        <f t="shared" si="12"/>
        <v>-3.8E-3</v>
      </c>
      <c r="E67" s="745"/>
      <c r="F67" s="1812"/>
      <c r="G67" s="1063">
        <f t="shared" si="17"/>
        <v>3.8E-3</v>
      </c>
      <c r="H67" s="1066">
        <f t="shared" si="13"/>
        <v>3.8E-3</v>
      </c>
      <c r="I67" s="3364">
        <v>0.06</v>
      </c>
      <c r="J67" s="1064">
        <f t="shared" si="14"/>
        <v>7.6E-3</v>
      </c>
      <c r="K67" s="1064">
        <f t="shared" si="15"/>
        <v>3.8E-3</v>
      </c>
      <c r="L67" s="1064">
        <v>0</v>
      </c>
      <c r="M67" s="1064">
        <f t="shared" si="16"/>
        <v>-3.8E-3</v>
      </c>
      <c r="N67" s="1064">
        <f t="shared" si="16"/>
        <v>-7.6E-3</v>
      </c>
      <c r="AA67" s="1118"/>
      <c r="AB67" s="1118"/>
      <c r="AC67" s="1118"/>
      <c r="AD67" s="1118"/>
      <c r="AE67" s="1118"/>
      <c r="AF67" s="1118"/>
      <c r="AG67" s="1118"/>
      <c r="AH67" s="1118"/>
      <c r="AI67" s="1118"/>
      <c r="AJ67" s="1118"/>
      <c r="AK67" s="1118"/>
    </row>
    <row r="68" spans="1:37" s="1117" customFormat="1" ht="25.5">
      <c r="A68" s="2128" t="s">
        <v>2059</v>
      </c>
      <c r="B68" s="1324" t="str">
        <f>估价对象房地状况!C22</f>
        <v>估价对象所在区域基础设施水平</v>
      </c>
      <c r="C68" s="2042" t="s">
        <v>3467</v>
      </c>
      <c r="D68" s="1065">
        <f t="shared" si="12"/>
        <v>0</v>
      </c>
      <c r="E68" s="745"/>
      <c r="F68" s="1812"/>
      <c r="G68" s="1063">
        <f t="shared" si="17"/>
        <v>5.7999999999999996E-3</v>
      </c>
      <c r="H68" s="1066">
        <f t="shared" si="13"/>
        <v>5.7999999999999996E-3</v>
      </c>
      <c r="I68" s="3364">
        <v>0.09</v>
      </c>
      <c r="J68" s="1064">
        <f t="shared" si="14"/>
        <v>1.1599999999999999E-2</v>
      </c>
      <c r="K68" s="1064">
        <f t="shared" si="15"/>
        <v>5.7999999999999996E-3</v>
      </c>
      <c r="L68" s="1064">
        <v>0</v>
      </c>
      <c r="M68" s="1064">
        <f t="shared" si="16"/>
        <v>-5.7999999999999996E-3</v>
      </c>
      <c r="N68" s="1064">
        <f t="shared" si="16"/>
        <v>-1.1599999999999999E-2</v>
      </c>
      <c r="AA68" s="1118"/>
      <c r="AB68" s="1118"/>
      <c r="AC68" s="1118"/>
      <c r="AD68" s="1118"/>
      <c r="AE68" s="1118"/>
      <c r="AF68" s="1118"/>
      <c r="AG68" s="1118"/>
      <c r="AH68" s="1118"/>
      <c r="AI68" s="1118"/>
      <c r="AJ68" s="1118"/>
      <c r="AK68" s="1118"/>
    </row>
    <row r="69" spans="1:37" s="1117" customFormat="1" ht="26.25" thickBot="1">
      <c r="A69" s="2136" t="s">
        <v>2060</v>
      </c>
      <c r="B69" s="2138" t="str">
        <f>估价对象房地状况!C20</f>
        <v>区域自然环境：；人文环境；综合评价环境状况一般</v>
      </c>
      <c r="C69" s="2042" t="s">
        <v>3467</v>
      </c>
      <c r="D69" s="1065">
        <f t="shared" si="12"/>
        <v>0</v>
      </c>
      <c r="E69" s="746"/>
      <c r="F69" s="1812"/>
      <c r="G69" s="1063">
        <f t="shared" si="17"/>
        <v>4.4999999999999997E-3</v>
      </c>
      <c r="H69" s="1066">
        <f t="shared" si="13"/>
        <v>4.4999999999999997E-3</v>
      </c>
      <c r="I69" s="3365">
        <v>7.0000000000000007E-2</v>
      </c>
      <c r="J69" s="1064">
        <f t="shared" si="14"/>
        <v>8.9999999999999993E-3</v>
      </c>
      <c r="K69" s="1064">
        <f t="shared" si="15"/>
        <v>4.4999999999999997E-3</v>
      </c>
      <c r="L69" s="1064">
        <v>0</v>
      </c>
      <c r="M69" s="1064">
        <f t="shared" si="16"/>
        <v>-4.4999999999999997E-3</v>
      </c>
      <c r="N69" s="1064">
        <f t="shared" si="16"/>
        <v>-8.9999999999999993E-3</v>
      </c>
      <c r="AA69" s="1118"/>
      <c r="AB69" s="1118"/>
      <c r="AC69" s="1118"/>
      <c r="AD69" s="1118"/>
      <c r="AE69" s="1118"/>
      <c r="AF69" s="1118"/>
      <c r="AG69" s="1118"/>
      <c r="AH69" s="1118"/>
      <c r="AI69" s="1118"/>
      <c r="AJ69" s="1118"/>
      <c r="AK69" s="1118"/>
    </row>
    <row r="70" spans="1:37" s="1117" customFormat="1" ht="15">
      <c r="A70" s="2124" t="s">
        <v>2064</v>
      </c>
      <c r="B70" s="2125">
        <f>1+E72</f>
        <v>1</v>
      </c>
      <c r="C70" s="741"/>
      <c r="D70" s="741"/>
      <c r="E70" s="742"/>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2043</v>
      </c>
      <c r="B71" s="1349"/>
      <c r="C71" s="1349" t="s">
        <v>2045</v>
      </c>
      <c r="D71" s="1349" t="s">
        <v>2046</v>
      </c>
      <c r="E71" s="743" t="s">
        <v>2047</v>
      </c>
      <c r="F71" s="2129" t="s">
        <v>2062</v>
      </c>
      <c r="G71" s="1349" t="s">
        <v>310</v>
      </c>
      <c r="H71" s="2130" t="s">
        <v>2049</v>
      </c>
      <c r="I71" s="1349" t="s">
        <v>2050</v>
      </c>
      <c r="J71" s="552" t="s">
        <v>1720</v>
      </c>
      <c r="K71" s="552" t="s">
        <v>1721</v>
      </c>
      <c r="L71" s="552" t="s">
        <v>1722</v>
      </c>
      <c r="M71" s="552" t="s">
        <v>1723</v>
      </c>
      <c r="N71" s="552" t="s">
        <v>1724</v>
      </c>
      <c r="AA71" s="1118"/>
      <c r="AB71" s="1118"/>
      <c r="AC71" s="1118"/>
      <c r="AD71" s="1118"/>
      <c r="AE71" s="1118"/>
      <c r="AF71" s="1118"/>
      <c r="AG71" s="1118"/>
      <c r="AH71" s="1118"/>
      <c r="AI71" s="1118"/>
      <c r="AJ71" s="1118"/>
      <c r="AK71" s="1118"/>
    </row>
    <row r="72" spans="1:37" s="1117" customFormat="1" ht="51">
      <c r="A72" s="2128" t="s">
        <v>2065</v>
      </c>
      <c r="B72" s="2131" t="str">
        <f>估价对象房地状况!C15</f>
        <v>估价对象周边居住用地比例、居住小区规模和社区发展完善程度，综合评价居住社区成熟度一般</v>
      </c>
      <c r="C72" s="2042"/>
      <c r="D72" s="1065">
        <f t="shared" ref="D72:D80" si="18">SUMIF($J$71:$N$71,C72,J72:N72)</f>
        <v>0</v>
      </c>
      <c r="E72" s="744">
        <f>ROUND(SUM(D72:D80),4)</f>
        <v>0</v>
      </c>
      <c r="F72" s="1812" t="str">
        <f>IF(E2="住宅",SUMIF(L1:L12,G2,N1:N12),"——")</f>
        <v>——</v>
      </c>
      <c r="G72" s="1063"/>
      <c r="H72" s="1066" t="str">
        <f t="shared" ref="H72:H80" si="19">IFERROR(ROUNDDOWN($F$72*I72/2,4),"——")</f>
        <v>——</v>
      </c>
      <c r="I72" s="3364">
        <v>0.2</v>
      </c>
      <c r="J72" s="1064">
        <f t="shared" ref="J72:J80" si="20">K72+$G72</f>
        <v>0</v>
      </c>
      <c r="K72" s="1064">
        <f t="shared" ref="K72:K80" si="21">$L72+$G72</f>
        <v>0</v>
      </c>
      <c r="L72" s="1064">
        <v>0</v>
      </c>
      <c r="M72" s="1064">
        <f t="shared" ref="M72:N80" si="22">L72-$G72</f>
        <v>0</v>
      </c>
      <c r="N72" s="1064">
        <f t="shared" si="22"/>
        <v>0</v>
      </c>
      <c r="AA72" s="1118"/>
      <c r="AB72" s="1118"/>
      <c r="AC72" s="1118"/>
      <c r="AD72" s="1118"/>
      <c r="AE72" s="1118"/>
      <c r="AF72" s="1118"/>
      <c r="AG72" s="1118"/>
      <c r="AH72" s="1118"/>
      <c r="AI72" s="1118"/>
      <c r="AJ72" s="1118"/>
      <c r="AK72" s="1118"/>
    </row>
    <row r="73" spans="1:37" s="1117" customFormat="1" ht="38.25">
      <c r="A73" s="2128" t="s">
        <v>2052</v>
      </c>
      <c r="B73" s="2132" t="str">
        <f>估价对象房地状况!C18</f>
        <v>估价对象周边道路状况、公共交通通达情况、停车便捷程度，综合评价交通便捷度较好</v>
      </c>
      <c r="C73" s="2042"/>
      <c r="D73" s="1065">
        <f t="shared" si="18"/>
        <v>0</v>
      </c>
      <c r="E73" s="747"/>
      <c r="F73" s="1812"/>
      <c r="G73" s="1063"/>
      <c r="H73" s="1066" t="str">
        <f t="shared" si="19"/>
        <v>——</v>
      </c>
      <c r="I73" s="3364">
        <v>0.26</v>
      </c>
      <c r="J73" s="1064">
        <f t="shared" si="20"/>
        <v>0</v>
      </c>
      <c r="K73" s="1064">
        <f t="shared" si="21"/>
        <v>0</v>
      </c>
      <c r="L73" s="1064">
        <v>0</v>
      </c>
      <c r="M73" s="1064">
        <f t="shared" si="22"/>
        <v>0</v>
      </c>
      <c r="N73" s="1064">
        <f t="shared" si="22"/>
        <v>0</v>
      </c>
      <c r="AA73" s="1118"/>
      <c r="AB73" s="1118"/>
      <c r="AC73" s="1118"/>
      <c r="AD73" s="1118"/>
      <c r="AE73" s="1118"/>
      <c r="AF73" s="1118"/>
      <c r="AG73" s="1118"/>
      <c r="AH73" s="1118"/>
      <c r="AI73" s="1118"/>
      <c r="AJ73" s="1118"/>
      <c r="AK73" s="1118"/>
    </row>
    <row r="74" spans="1:37" s="1995" customFormat="1" ht="36">
      <c r="A74" s="3366" t="s">
        <v>3276</v>
      </c>
      <c r="B74" s="2132">
        <f>估价对象房地状况!C19</f>
        <v>0</v>
      </c>
      <c r="C74" s="2042"/>
      <c r="D74" s="1065">
        <f t="shared" si="18"/>
        <v>0</v>
      </c>
      <c r="E74" s="747"/>
      <c r="F74" s="1812"/>
      <c r="G74" s="1063"/>
      <c r="H74" s="1066" t="str">
        <f t="shared" si="19"/>
        <v>——</v>
      </c>
      <c r="I74" s="3364">
        <v>0.1</v>
      </c>
      <c r="J74" s="1064">
        <f t="shared" si="20"/>
        <v>0</v>
      </c>
      <c r="K74" s="1064">
        <f t="shared" si="21"/>
        <v>0</v>
      </c>
      <c r="L74" s="1064">
        <v>0</v>
      </c>
      <c r="M74" s="1064">
        <f t="shared" si="22"/>
        <v>0</v>
      </c>
      <c r="N74" s="1064">
        <f t="shared" si="22"/>
        <v>0</v>
      </c>
      <c r="O74" s="1117"/>
      <c r="P74" s="1117"/>
      <c r="Q74" s="1117"/>
      <c r="AA74" s="2139"/>
      <c r="AB74" s="1118"/>
      <c r="AC74" s="1118"/>
      <c r="AD74" s="1118"/>
      <c r="AE74" s="1118"/>
      <c r="AF74" s="1118"/>
      <c r="AG74" s="1118"/>
      <c r="AH74" s="2139"/>
      <c r="AI74" s="2139"/>
      <c r="AJ74" s="2139"/>
      <c r="AK74" s="2139"/>
    </row>
    <row r="75" spans="1:37" ht="14.25">
      <c r="A75" s="2128" t="s">
        <v>2066</v>
      </c>
      <c r="B75" s="2132">
        <f>估价对象房地状况!C24</f>
        <v>0</v>
      </c>
      <c r="C75" s="2042"/>
      <c r="D75" s="1065">
        <f t="shared" si="18"/>
        <v>0</v>
      </c>
      <c r="E75" s="747"/>
      <c r="F75" s="1812"/>
      <c r="G75" s="1063"/>
      <c r="H75" s="1066" t="str">
        <f t="shared" si="19"/>
        <v>——</v>
      </c>
      <c r="I75" s="3364">
        <v>0.05</v>
      </c>
      <c r="J75" s="1064">
        <f t="shared" si="20"/>
        <v>0</v>
      </c>
      <c r="K75" s="1064">
        <f t="shared" si="21"/>
        <v>0</v>
      </c>
      <c r="L75" s="1064">
        <v>0</v>
      </c>
      <c r="M75" s="1064">
        <f t="shared" si="22"/>
        <v>0</v>
      </c>
      <c r="N75" s="1064">
        <f t="shared" si="22"/>
        <v>0</v>
      </c>
      <c r="O75" s="1117"/>
      <c r="P75" s="1117"/>
      <c r="Q75" s="1995"/>
      <c r="Z75" s="1996"/>
      <c r="AA75" s="2051"/>
      <c r="AG75" s="1119"/>
      <c r="AK75" s="2051"/>
    </row>
    <row r="76" spans="1:37" ht="25.5">
      <c r="A76" s="2128" t="s">
        <v>2058</v>
      </c>
      <c r="B76" s="1324" t="str">
        <f>估价对象房地状况!C21</f>
        <v>估价对象所在区域公共配套设施齐备情况</v>
      </c>
      <c r="C76" s="2042"/>
      <c r="D76" s="1065">
        <f t="shared" si="18"/>
        <v>0</v>
      </c>
      <c r="E76" s="747"/>
      <c r="F76" s="1812"/>
      <c r="G76" s="1063"/>
      <c r="H76" s="1066" t="str">
        <f t="shared" si="19"/>
        <v>——</v>
      </c>
      <c r="I76" s="3364">
        <v>0.08</v>
      </c>
      <c r="J76" s="1064">
        <f t="shared" si="20"/>
        <v>0</v>
      </c>
      <c r="K76" s="1064">
        <f t="shared" si="21"/>
        <v>0</v>
      </c>
      <c r="L76" s="1064">
        <v>0</v>
      </c>
      <c r="M76" s="1064">
        <f t="shared" si="22"/>
        <v>0</v>
      </c>
      <c r="N76" s="1064">
        <f t="shared" si="22"/>
        <v>0</v>
      </c>
      <c r="O76" s="1117"/>
      <c r="P76" s="1117"/>
      <c r="Z76" s="1996"/>
      <c r="AA76" s="2051"/>
      <c r="AG76" s="1119"/>
      <c r="AK76" s="2051"/>
    </row>
    <row r="77" spans="1:37" ht="25.5">
      <c r="A77" s="2128" t="s">
        <v>2059</v>
      </c>
      <c r="B77" s="1324" t="str">
        <f>估价对象房地状况!C22</f>
        <v>估价对象所在区域基础设施水平</v>
      </c>
      <c r="C77" s="2042"/>
      <c r="D77" s="1065">
        <f t="shared" si="18"/>
        <v>0</v>
      </c>
      <c r="E77" s="747"/>
      <c r="F77" s="1812"/>
      <c r="G77" s="1063"/>
      <c r="H77" s="1066" t="str">
        <f t="shared" si="19"/>
        <v>——</v>
      </c>
      <c r="I77" s="3364">
        <v>0.09</v>
      </c>
      <c r="J77" s="1064">
        <f t="shared" si="20"/>
        <v>0</v>
      </c>
      <c r="K77" s="1064">
        <f t="shared" si="21"/>
        <v>0</v>
      </c>
      <c r="L77" s="1064">
        <v>0</v>
      </c>
      <c r="M77" s="1064">
        <f t="shared" si="22"/>
        <v>0</v>
      </c>
      <c r="N77" s="1064">
        <f t="shared" si="22"/>
        <v>0</v>
      </c>
      <c r="O77" s="1117"/>
      <c r="P77" s="1117"/>
      <c r="Z77" s="1996"/>
      <c r="AA77" s="2051"/>
      <c r="AG77" s="1119"/>
      <c r="AK77" s="2051"/>
    </row>
    <row r="78" spans="1:37" ht="24">
      <c r="A78" s="2128" t="s">
        <v>2056</v>
      </c>
      <c r="B78" s="2134" t="s">
        <v>2057</v>
      </c>
      <c r="C78" s="2042"/>
      <c r="D78" s="1065">
        <f t="shared" si="18"/>
        <v>0</v>
      </c>
      <c r="E78" s="747"/>
      <c r="F78" s="1812"/>
      <c r="G78" s="1063"/>
      <c r="H78" s="1066" t="str">
        <f t="shared" si="19"/>
        <v>——</v>
      </c>
      <c r="I78" s="3364">
        <v>0.05</v>
      </c>
      <c r="J78" s="1064">
        <f t="shared" si="20"/>
        <v>0</v>
      </c>
      <c r="K78" s="1064">
        <f t="shared" si="21"/>
        <v>0</v>
      </c>
      <c r="L78" s="1064">
        <v>0</v>
      </c>
      <c r="M78" s="1064">
        <f t="shared" si="22"/>
        <v>0</v>
      </c>
      <c r="N78" s="1064">
        <f t="shared" si="22"/>
        <v>0</v>
      </c>
      <c r="O78" s="1995"/>
      <c r="P78" s="1995"/>
      <c r="Z78" s="1996"/>
      <c r="AA78" s="2051"/>
      <c r="AG78" s="1119"/>
      <c r="AK78" s="2051"/>
    </row>
    <row r="79" spans="1:37" ht="25.5">
      <c r="A79" s="2128" t="s">
        <v>2060</v>
      </c>
      <c r="B79" s="2131" t="str">
        <f>估价对象房地状况!C20</f>
        <v>区域自然环境：；人文环境；综合评价环境状况一般</v>
      </c>
      <c r="C79" s="2042"/>
      <c r="D79" s="1065">
        <f t="shared" si="18"/>
        <v>0</v>
      </c>
      <c r="E79" s="747"/>
      <c r="F79" s="1812"/>
      <c r="G79" s="1063"/>
      <c r="H79" s="1066" t="str">
        <f t="shared" si="19"/>
        <v>——</v>
      </c>
      <c r="I79" s="3364">
        <v>0.12</v>
      </c>
      <c r="J79" s="1064">
        <f t="shared" si="20"/>
        <v>0</v>
      </c>
      <c r="K79" s="1064">
        <f t="shared" si="21"/>
        <v>0</v>
      </c>
      <c r="L79" s="1064">
        <v>0</v>
      </c>
      <c r="M79" s="1064">
        <f t="shared" si="22"/>
        <v>0</v>
      </c>
      <c r="N79" s="1064">
        <f t="shared" si="22"/>
        <v>0</v>
      </c>
      <c r="Z79" s="1996"/>
      <c r="AA79" s="2051"/>
      <c r="AG79" s="1119"/>
      <c r="AK79" s="2051"/>
    </row>
    <row r="80" spans="1:37" ht="24.75" thickBot="1">
      <c r="A80" s="2136" t="s">
        <v>2067</v>
      </c>
      <c r="B80" s="2140"/>
      <c r="C80" s="2042"/>
      <c r="D80" s="1065">
        <f t="shared" si="18"/>
        <v>0</v>
      </c>
      <c r="E80" s="748"/>
      <c r="F80" s="1812"/>
      <c r="G80" s="1063"/>
      <c r="H80" s="1066" t="str">
        <f t="shared" si="19"/>
        <v>——</v>
      </c>
      <c r="I80" s="3365">
        <v>0.05</v>
      </c>
      <c r="J80" s="1064">
        <f t="shared" si="20"/>
        <v>0</v>
      </c>
      <c r="K80" s="1064">
        <f t="shared" si="21"/>
        <v>0</v>
      </c>
      <c r="L80" s="1064">
        <v>0</v>
      </c>
      <c r="M80" s="1064">
        <f t="shared" si="22"/>
        <v>0</v>
      </c>
      <c r="N80" s="1064">
        <f t="shared" si="22"/>
        <v>0</v>
      </c>
      <c r="Z80" s="1996"/>
      <c r="AA80" s="2051"/>
      <c r="AG80" s="1119"/>
      <c r="AK80" s="2051"/>
    </row>
    <row r="81" spans="1:37" ht="15">
      <c r="A81" s="2124" t="s">
        <v>2068</v>
      </c>
      <c r="B81" s="2125">
        <f>1+E83</f>
        <v>1</v>
      </c>
      <c r="C81" s="741"/>
      <c r="D81" s="741"/>
      <c r="E81" s="742"/>
      <c r="F81" s="2127"/>
      <c r="G81" s="3"/>
      <c r="H81" s="3"/>
      <c r="I81" s="3"/>
      <c r="J81" s="4"/>
      <c r="K81" s="4"/>
      <c r="L81" s="4"/>
      <c r="M81" s="4"/>
      <c r="N81" s="4"/>
      <c r="Z81" s="1996"/>
      <c r="AA81" s="2051"/>
      <c r="AG81" s="1119"/>
      <c r="AK81" s="2051"/>
    </row>
    <row r="82" spans="1:37" ht="24.75">
      <c r="A82" s="2128" t="s">
        <v>2043</v>
      </c>
      <c r="B82" s="1349"/>
      <c r="C82" s="1349" t="s">
        <v>2045</v>
      </c>
      <c r="D82" s="1349" t="s">
        <v>2046</v>
      </c>
      <c r="E82" s="743" t="s">
        <v>2047</v>
      </c>
      <c r="F82" s="2129" t="s">
        <v>2062</v>
      </c>
      <c r="G82" s="1349" t="s">
        <v>310</v>
      </c>
      <c r="H82" s="2130" t="s">
        <v>2049</v>
      </c>
      <c r="I82" s="1349" t="s">
        <v>2050</v>
      </c>
      <c r="J82" s="552" t="s">
        <v>1720</v>
      </c>
      <c r="K82" s="552" t="s">
        <v>1721</v>
      </c>
      <c r="L82" s="552" t="s">
        <v>1722</v>
      </c>
      <c r="M82" s="552" t="s">
        <v>1723</v>
      </c>
      <c r="N82" s="552" t="s">
        <v>1724</v>
      </c>
      <c r="Z82" s="1996"/>
      <c r="AA82" s="2051"/>
      <c r="AG82" s="1119"/>
      <c r="AK82" s="2051"/>
    </row>
    <row r="83" spans="1:37" ht="38.25">
      <c r="A83" s="2128" t="s">
        <v>2069</v>
      </c>
      <c r="B83" s="2132" t="str">
        <f>估价对象房地状况!G15</f>
        <v>估价对象位于XX开发区，园区建设成熟度XX，产业集聚程度XX</v>
      </c>
      <c r="C83" s="2042"/>
      <c r="D83" s="1065">
        <f t="shared" ref="D83:D90" si="23">SUMIF($J$82:$N$82,C83,J83:N83)</f>
        <v>0</v>
      </c>
      <c r="E83" s="744">
        <f>ROUND(SUM(D83:D90),4)</f>
        <v>0</v>
      </c>
      <c r="F83" s="1812" t="str">
        <f>IF(E2="工业",SUMIF(L1:L12,G2,N1:N12),"——")</f>
        <v>——</v>
      </c>
      <c r="G83" s="1063"/>
      <c r="H83" s="1066" t="str">
        <f t="shared" ref="H83:H90" si="24">IFERROR(ROUNDDOWN($F$83*I83/2,4),"——")</f>
        <v>——</v>
      </c>
      <c r="I83" s="3364">
        <v>0.26</v>
      </c>
      <c r="J83" s="1064">
        <f t="shared" ref="J83:J90" si="25">K83+$G83</f>
        <v>0</v>
      </c>
      <c r="K83" s="1064">
        <f t="shared" ref="K83:K90" si="26">$L83+$G83</f>
        <v>0</v>
      </c>
      <c r="L83" s="1064">
        <v>0</v>
      </c>
      <c r="M83" s="1064">
        <f t="shared" ref="M83:N90" si="27">L83-$G83</f>
        <v>0</v>
      </c>
      <c r="N83" s="1064">
        <f t="shared" si="27"/>
        <v>0</v>
      </c>
      <c r="Z83" s="1996"/>
      <c r="AA83" s="2051"/>
      <c r="AG83" s="1119"/>
      <c r="AK83" s="2051"/>
    </row>
    <row r="84" spans="1:37" ht="38.25">
      <c r="A84" s="2128" t="s">
        <v>2052</v>
      </c>
      <c r="B84" s="2132" t="str">
        <f>估价对象房地状况!G16</f>
        <v>估价对象周边道路状况、公共交通通达情况、停车便捷程度，综合评价交通便捷度较好</v>
      </c>
      <c r="C84" s="2042"/>
      <c r="D84" s="1065">
        <f t="shared" si="23"/>
        <v>0</v>
      </c>
      <c r="E84" s="747"/>
      <c r="F84" s="1812"/>
      <c r="G84" s="1063"/>
      <c r="H84" s="1066" t="str">
        <f t="shared" si="24"/>
        <v>——</v>
      </c>
      <c r="I84" s="3364">
        <v>0.3</v>
      </c>
      <c r="J84" s="1064">
        <f t="shared" si="25"/>
        <v>0</v>
      </c>
      <c r="K84" s="1064">
        <f t="shared" si="26"/>
        <v>0</v>
      </c>
      <c r="L84" s="1064">
        <v>0</v>
      </c>
      <c r="M84" s="1064">
        <f t="shared" si="27"/>
        <v>0</v>
      </c>
      <c r="N84" s="1064">
        <f t="shared" si="27"/>
        <v>0</v>
      </c>
      <c r="Z84" s="1996"/>
      <c r="AA84" s="2051"/>
      <c r="AG84" s="1119"/>
      <c r="AK84" s="2051"/>
    </row>
    <row r="85" spans="1:37" ht="36">
      <c r="A85" s="3366" t="s">
        <v>3277</v>
      </c>
      <c r="B85" s="2132">
        <f>估价对象房地状况!G17</f>
        <v>0</v>
      </c>
      <c r="C85" s="2042"/>
      <c r="D85" s="1065">
        <f t="shared" si="23"/>
        <v>0</v>
      </c>
      <c r="E85" s="747"/>
      <c r="F85" s="1812"/>
      <c r="G85" s="1063"/>
      <c r="H85" s="1066" t="str">
        <f t="shared" si="24"/>
        <v>——</v>
      </c>
      <c r="I85" s="3364">
        <v>0.1</v>
      </c>
      <c r="J85" s="1064">
        <f t="shared" si="25"/>
        <v>0</v>
      </c>
      <c r="K85" s="1064">
        <f t="shared" si="26"/>
        <v>0</v>
      </c>
      <c r="L85" s="1064">
        <v>0</v>
      </c>
      <c r="M85" s="1064">
        <f t="shared" si="27"/>
        <v>0</v>
      </c>
      <c r="N85" s="1064">
        <f t="shared" si="27"/>
        <v>0</v>
      </c>
      <c r="Z85" s="1996"/>
      <c r="AA85" s="2051"/>
      <c r="AG85" s="1119"/>
      <c r="AK85" s="2051"/>
    </row>
    <row r="86" spans="1:37" ht="14.25">
      <c r="A86" s="2128" t="s">
        <v>2066</v>
      </c>
      <c r="B86" s="2132">
        <f>估价对象房地状况!G22</f>
        <v>0</v>
      </c>
      <c r="C86" s="2042"/>
      <c r="D86" s="1065">
        <f t="shared" si="23"/>
        <v>0</v>
      </c>
      <c r="E86" s="747"/>
      <c r="F86" s="1812"/>
      <c r="G86" s="1063"/>
      <c r="H86" s="1066" t="str">
        <f t="shared" si="24"/>
        <v>——</v>
      </c>
      <c r="I86" s="3364">
        <v>0.05</v>
      </c>
      <c r="J86" s="1064">
        <f t="shared" si="25"/>
        <v>0</v>
      </c>
      <c r="K86" s="1064">
        <f t="shared" si="26"/>
        <v>0</v>
      </c>
      <c r="L86" s="1064">
        <v>0</v>
      </c>
      <c r="M86" s="1064">
        <f t="shared" si="27"/>
        <v>0</v>
      </c>
      <c r="N86" s="1064">
        <f t="shared" si="27"/>
        <v>0</v>
      </c>
      <c r="Z86" s="1996"/>
      <c r="AA86" s="2051"/>
      <c r="AG86" s="1119"/>
      <c r="AK86" s="2051"/>
    </row>
    <row r="87" spans="1:37" ht="25.5">
      <c r="A87" s="2128" t="s">
        <v>2058</v>
      </c>
      <c r="B87" s="1324" t="str">
        <f>估价对象房地状况!G19</f>
        <v>估价对象所在区域公共配套设施齐备情况</v>
      </c>
      <c r="C87" s="2042"/>
      <c r="D87" s="1065">
        <f t="shared" si="23"/>
        <v>0</v>
      </c>
      <c r="E87" s="747"/>
      <c r="F87" s="1812"/>
      <c r="G87" s="1063"/>
      <c r="H87" s="1066" t="str">
        <f t="shared" si="24"/>
        <v>——</v>
      </c>
      <c r="I87" s="3364">
        <v>0.06</v>
      </c>
      <c r="J87" s="1064">
        <f t="shared" si="25"/>
        <v>0</v>
      </c>
      <c r="K87" s="1064">
        <f t="shared" si="26"/>
        <v>0</v>
      </c>
      <c r="L87" s="1064">
        <v>0</v>
      </c>
      <c r="M87" s="1064">
        <f t="shared" si="27"/>
        <v>0</v>
      </c>
      <c r="N87" s="1064">
        <f t="shared" si="27"/>
        <v>0</v>
      </c>
    </row>
    <row r="88" spans="1:37" ht="25.5">
      <c r="A88" s="2128" t="s">
        <v>2059</v>
      </c>
      <c r="B88" s="1324" t="str">
        <f>估价对象房地状况!G20</f>
        <v>估价对象所在区域基础设施水平</v>
      </c>
      <c r="C88" s="2042"/>
      <c r="D88" s="1065">
        <f t="shared" si="23"/>
        <v>0</v>
      </c>
      <c r="E88" s="747"/>
      <c r="F88" s="1812"/>
      <c r="G88" s="1063"/>
      <c r="H88" s="1066" t="str">
        <f t="shared" si="24"/>
        <v>——</v>
      </c>
      <c r="I88" s="3364">
        <v>0.12</v>
      </c>
      <c r="J88" s="1064">
        <f t="shared" si="25"/>
        <v>0</v>
      </c>
      <c r="K88" s="1064">
        <f t="shared" si="26"/>
        <v>0</v>
      </c>
      <c r="L88" s="1064">
        <v>0</v>
      </c>
      <c r="M88" s="1064">
        <f t="shared" si="27"/>
        <v>0</v>
      </c>
      <c r="N88" s="1064">
        <f t="shared" si="27"/>
        <v>0</v>
      </c>
    </row>
    <row r="89" spans="1:37" ht="24">
      <c r="A89" s="2128" t="s">
        <v>2056</v>
      </c>
      <c r="B89" s="2134" t="s">
        <v>2070</v>
      </c>
      <c r="C89" s="2042"/>
      <c r="D89" s="1065">
        <f t="shared" si="23"/>
        <v>0</v>
      </c>
      <c r="E89" s="747"/>
      <c r="F89" s="1812"/>
      <c r="G89" s="1063"/>
      <c r="H89" s="1066" t="str">
        <f t="shared" si="24"/>
        <v>——</v>
      </c>
      <c r="I89" s="3364">
        <v>0.06</v>
      </c>
      <c r="J89" s="1064">
        <f t="shared" si="25"/>
        <v>0</v>
      </c>
      <c r="K89" s="1064">
        <f t="shared" si="26"/>
        <v>0</v>
      </c>
      <c r="L89" s="1064">
        <v>0</v>
      </c>
      <c r="M89" s="1064">
        <f t="shared" si="27"/>
        <v>0</v>
      </c>
      <c r="N89" s="1064">
        <f t="shared" si="27"/>
        <v>0</v>
      </c>
    </row>
    <row r="90" spans="1:37" ht="39" thickBot="1">
      <c r="A90" s="2136" t="s">
        <v>2071</v>
      </c>
      <c r="B90" s="2141" t="str">
        <f>估价对象房地状况!G18</f>
        <v>该园区内是否有污染型企业，绿化情况，卫生条件，整体环境状况判断</v>
      </c>
      <c r="C90" s="2042"/>
      <c r="D90" s="1065">
        <f t="shared" si="23"/>
        <v>0</v>
      </c>
      <c r="E90" s="748"/>
      <c r="F90" s="1812"/>
      <c r="G90" s="1063"/>
      <c r="H90" s="1066" t="str">
        <f t="shared" si="24"/>
        <v>——</v>
      </c>
      <c r="I90" s="3365">
        <v>0.05</v>
      </c>
      <c r="J90" s="1064">
        <f t="shared" si="25"/>
        <v>0</v>
      </c>
      <c r="K90" s="1064">
        <f t="shared" si="26"/>
        <v>0</v>
      </c>
      <c r="L90" s="1064">
        <v>0</v>
      </c>
      <c r="M90" s="1064">
        <f t="shared" si="27"/>
        <v>0</v>
      </c>
      <c r="N90" s="1064">
        <f t="shared" si="27"/>
        <v>0</v>
      </c>
    </row>
    <row r="91" spans="1:37" ht="15">
      <c r="A91" s="3374" t="s">
        <v>2614</v>
      </c>
      <c r="B91" s="3375">
        <f>1+E93</f>
        <v>1</v>
      </c>
      <c r="C91" s="3368"/>
      <c r="D91" s="3369"/>
      <c r="E91" s="1812"/>
      <c r="F91" s="1812"/>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3280</v>
      </c>
      <c r="B94" s="3367" t="str">
        <f>估价对象房地状况!C18</f>
        <v>估价对象周边道路状况、公共交通通达情况、停车便捷程度，综合评价交通便捷度较好</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3276</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3281</v>
      </c>
      <c r="B96" s="3382" t="s">
        <v>3292</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3282</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24">
      <c r="A98" s="3376" t="s">
        <v>3283</v>
      </c>
      <c r="B98" s="3383" t="s">
        <v>3293</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5.5">
      <c r="A99" s="3376" t="s">
        <v>3284</v>
      </c>
      <c r="B99" s="3367" t="str">
        <f>估价对象房地状况!C21</f>
        <v>估价对象所在区域公共配套设施齐备情况</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5.5">
      <c r="A100" s="3376" t="s">
        <v>3285</v>
      </c>
      <c r="B100" s="3367" t="str">
        <f>估价对象房地状况!C22</f>
        <v>估价对象所在区域基础设施水平</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3286</v>
      </c>
      <c r="B101" s="3384" t="str">
        <f>估价对象房地状况!C20</f>
        <v>区域自然环境：；人文环境；综合评价环境状况一般</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36" t="s">
        <v>3301</v>
      </c>
      <c r="B103" s="3736"/>
      <c r="C103" s="3736"/>
      <c r="D103" s="3736"/>
      <c r="E103" s="3736"/>
      <c r="F103" s="3736"/>
      <c r="G103" s="3736"/>
      <c r="H103" s="3736"/>
      <c r="I103" s="3736"/>
      <c r="J103" s="3736"/>
      <c r="K103" s="3387"/>
      <c r="L103" s="3387"/>
      <c r="M103" s="3387"/>
      <c r="N103" s="3387"/>
    </row>
    <row r="104" spans="1:14">
      <c r="A104" s="3737" t="s">
        <v>3302</v>
      </c>
      <c r="B104" s="3737" t="s">
        <v>3303</v>
      </c>
      <c r="C104" s="3388" t="s">
        <v>3304</v>
      </c>
      <c r="D104" s="3389"/>
      <c r="E104" s="3389"/>
      <c r="F104" s="3389"/>
      <c r="G104" s="3389"/>
      <c r="H104" s="3389"/>
      <c r="I104" s="3389"/>
      <c r="J104" s="3390"/>
      <c r="K104" s="3391"/>
      <c r="L104" s="3391"/>
      <c r="M104" s="3391"/>
      <c r="N104" s="3391"/>
    </row>
    <row r="105" spans="1:14">
      <c r="A105" s="3737"/>
      <c r="B105" s="3737"/>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23"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2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2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2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2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24"/>
      <c r="B111" s="3392" t="s">
        <v>3275</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25"/>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726" t="s">
        <v>3318</v>
      </c>
      <c r="B113" s="3726"/>
      <c r="C113" s="3726"/>
      <c r="D113" s="3726"/>
      <c r="E113" s="3726"/>
      <c r="F113" s="3726"/>
      <c r="G113" s="3726"/>
      <c r="H113" s="3726"/>
      <c r="I113" s="3726"/>
      <c r="J113" s="372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2.17</v>
      </c>
      <c r="C116" s="3397" t="s">
        <v>3320</v>
      </c>
      <c r="D116" s="3398">
        <f>SUMPRODUCT((A118:A122=F116)*(B117:M117=H116)*B118:M122)</f>
        <v>0.91069999999999995</v>
      </c>
      <c r="E116" s="1998" t="s">
        <v>3321</v>
      </c>
      <c r="F116" s="3399" t="str">
        <f>E2</f>
        <v>办公</v>
      </c>
      <c r="G116" s="1998" t="s">
        <v>3322</v>
      </c>
      <c r="H116" s="3399" t="str">
        <f>G2</f>
        <v>七级</v>
      </c>
      <c r="I116" s="1998"/>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0.97289999999999999</v>
      </c>
      <c r="C118" s="3385">
        <f>B118</f>
        <v>0.97289999999999999</v>
      </c>
      <c r="D118" s="3385">
        <f>ROUND(0.949-0.014*B116,4)</f>
        <v>0.91859999999999997</v>
      </c>
      <c r="E118" s="3385">
        <f>D118</f>
        <v>0.91859999999999997</v>
      </c>
      <c r="F118" s="3385">
        <f>E118</f>
        <v>0.91859999999999997</v>
      </c>
      <c r="G118" s="3385">
        <f>F118</f>
        <v>0.91859999999999997</v>
      </c>
      <c r="H118" s="3385">
        <f>G118</f>
        <v>0.91859999999999997</v>
      </c>
      <c r="I118" s="3385">
        <f>ROUND(0.8486-0.018*B116,4)</f>
        <v>0.8095</v>
      </c>
      <c r="J118" s="3385">
        <f t="shared" ref="J118:M122" si="36">I118</f>
        <v>0.8095</v>
      </c>
      <c r="K118" s="3385">
        <f t="shared" si="36"/>
        <v>0.8095</v>
      </c>
      <c r="L118" s="3385">
        <f t="shared" si="36"/>
        <v>0.8095</v>
      </c>
      <c r="M118" s="3408">
        <f t="shared" si="36"/>
        <v>0.8095</v>
      </c>
      <c r="N118" s="3395"/>
    </row>
    <row r="119" spans="1:14">
      <c r="A119" s="3407" t="s">
        <v>3336</v>
      </c>
      <c r="B119" s="3385">
        <f>ROUND(0.993-0.0112*B116,4)</f>
        <v>0.96870000000000001</v>
      </c>
      <c r="C119" s="3385">
        <f>B119</f>
        <v>0.96870000000000001</v>
      </c>
      <c r="D119" s="3385">
        <f>ROUND(0.9415-0.0142*B116,4)</f>
        <v>0.91069999999999995</v>
      </c>
      <c r="E119" s="3385">
        <f t="shared" ref="E119:H120" si="37">D119</f>
        <v>0.91069999999999995</v>
      </c>
      <c r="F119" s="3385">
        <f t="shared" si="37"/>
        <v>0.91069999999999995</v>
      </c>
      <c r="G119" s="3385">
        <f t="shared" si="37"/>
        <v>0.91069999999999995</v>
      </c>
      <c r="H119" s="3385">
        <f t="shared" si="37"/>
        <v>0.91069999999999995</v>
      </c>
      <c r="I119" s="3385">
        <f>ROUND(0.838-0.0182*B116,4)</f>
        <v>0.79849999999999999</v>
      </c>
      <c r="J119" s="3385">
        <f t="shared" si="36"/>
        <v>0.79849999999999999</v>
      </c>
      <c r="K119" s="3385">
        <f t="shared" si="36"/>
        <v>0.79849999999999999</v>
      </c>
      <c r="L119" s="3385">
        <f t="shared" si="36"/>
        <v>0.79849999999999999</v>
      </c>
      <c r="M119" s="3408">
        <f t="shared" si="36"/>
        <v>0.79849999999999999</v>
      </c>
      <c r="N119" s="3395"/>
    </row>
    <row r="120" spans="1:14">
      <c r="A120" s="3407" t="s">
        <v>3337</v>
      </c>
      <c r="B120" s="3385">
        <f>ROUND(0.9448-0.0115*B116,4)</f>
        <v>0.91979999999999995</v>
      </c>
      <c r="C120" s="3385">
        <f>B120</f>
        <v>0.91979999999999995</v>
      </c>
      <c r="D120" s="3385">
        <f>ROUND(0.937-0.0145*B116,4)</f>
        <v>0.90549999999999997</v>
      </c>
      <c r="E120" s="3385">
        <f t="shared" si="37"/>
        <v>0.90549999999999997</v>
      </c>
      <c r="F120" s="3385">
        <f t="shared" si="37"/>
        <v>0.90549999999999997</v>
      </c>
      <c r="G120" s="3385">
        <f t="shared" si="37"/>
        <v>0.90549999999999997</v>
      </c>
      <c r="H120" s="3385">
        <f t="shared" si="37"/>
        <v>0.90549999999999997</v>
      </c>
      <c r="I120" s="3385">
        <f>ROUND(0.7965-0.0185*B116,4)</f>
        <v>0.75639999999999996</v>
      </c>
      <c r="J120" s="3385">
        <f t="shared" si="36"/>
        <v>0.75639999999999996</v>
      </c>
      <c r="K120" s="3385">
        <f t="shared" si="36"/>
        <v>0.75639999999999996</v>
      </c>
      <c r="L120" s="3385">
        <f t="shared" si="36"/>
        <v>0.75639999999999996</v>
      </c>
      <c r="M120" s="3408">
        <f t="shared" si="36"/>
        <v>0.75639999999999996</v>
      </c>
      <c r="N120" s="3395"/>
    </row>
    <row r="121" spans="1:14" ht="13.5" thickBot="1">
      <c r="A121" s="3409" t="s">
        <v>3338</v>
      </c>
      <c r="B121" s="3410">
        <f>ROUND(0.7836-0.012*B116,4)</f>
        <v>0.75760000000000005</v>
      </c>
      <c r="C121" s="3410">
        <f>B121</f>
        <v>0.75760000000000005</v>
      </c>
      <c r="D121" s="3410">
        <f>ROUND(0.753-0.015*B116,4)</f>
        <v>0.72050000000000003</v>
      </c>
      <c r="E121" s="3410">
        <f>D121</f>
        <v>0.72050000000000003</v>
      </c>
      <c r="F121" s="3410">
        <f>E121</f>
        <v>0.72050000000000003</v>
      </c>
      <c r="G121" s="3410">
        <f>ROUND(0.6612-0.018*B116,4)</f>
        <v>0.62209999999999999</v>
      </c>
      <c r="H121" s="3410">
        <f>G121</f>
        <v>0.62209999999999999</v>
      </c>
      <c r="I121" s="3410">
        <f>ROUND(0.5905-0.019*B116,4)</f>
        <v>0.54930000000000001</v>
      </c>
      <c r="J121" s="3410">
        <f t="shared" si="36"/>
        <v>0.54930000000000001</v>
      </c>
      <c r="K121" s="3410">
        <f t="shared" si="36"/>
        <v>0.54930000000000001</v>
      </c>
      <c r="L121" s="3410">
        <f t="shared" si="36"/>
        <v>0.54930000000000001</v>
      </c>
      <c r="M121" s="3411">
        <f t="shared" si="36"/>
        <v>0.54930000000000001</v>
      </c>
      <c r="N121" s="3395"/>
    </row>
    <row r="122" spans="1:14">
      <c r="A122" s="3412" t="s">
        <v>2614</v>
      </c>
      <c r="B122" s="3385">
        <f>ROUND(0.9404-0.0106*B116,4)</f>
        <v>0.91739999999999999</v>
      </c>
      <c r="C122" s="3385">
        <f>B122</f>
        <v>0.91739999999999999</v>
      </c>
      <c r="D122" s="3385">
        <f>ROUND(0.8955-0.0135*B116,4)</f>
        <v>0.86619999999999997</v>
      </c>
      <c r="E122" s="3385">
        <f t="shared" ref="E122:H122" si="38">D122</f>
        <v>0.86619999999999997</v>
      </c>
      <c r="F122" s="3385">
        <f t="shared" si="38"/>
        <v>0.86619999999999997</v>
      </c>
      <c r="G122" s="3385">
        <f t="shared" si="38"/>
        <v>0.86619999999999997</v>
      </c>
      <c r="H122" s="3385">
        <f t="shared" si="38"/>
        <v>0.86619999999999997</v>
      </c>
      <c r="I122" s="3385">
        <f>ROUND(0.7632-0.0166*B116,4)</f>
        <v>0.72719999999999996</v>
      </c>
      <c r="J122" s="3385">
        <f t="shared" si="36"/>
        <v>0.72719999999999996</v>
      </c>
      <c r="K122" s="3385">
        <f t="shared" si="36"/>
        <v>0.72719999999999996</v>
      </c>
      <c r="L122" s="3385">
        <f t="shared" si="36"/>
        <v>0.72719999999999996</v>
      </c>
      <c r="M122" s="3408">
        <f t="shared" si="36"/>
        <v>0.72719999999999996</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27" sqref="C2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89"/>
      <c r="C1" s="1190"/>
      <c r="D1" s="1188"/>
      <c r="E1" s="2801"/>
      <c r="F1" s="2801"/>
      <c r="G1" s="2666"/>
      <c r="H1" s="2801"/>
      <c r="I1" s="2801"/>
      <c r="J1" s="2801"/>
      <c r="K1" s="2802">
        <f>MATCH(C1,'数据-取费表'!A6:A16,0)+5</f>
        <v>7</v>
      </c>
    </row>
    <row r="2" spans="1:33" ht="18" customHeight="1">
      <c r="A2" s="201" t="s">
        <v>1461</v>
      </c>
      <c r="B2" s="204">
        <f ca="1">C32</f>
        <v>132035</v>
      </c>
      <c r="C2" s="276" t="s">
        <v>1594</v>
      </c>
      <c r="D2" s="276"/>
      <c r="E2" s="2801"/>
      <c r="F2" s="2801"/>
      <c r="G2" s="2801"/>
      <c r="H2" s="2801"/>
      <c r="I2" s="2801"/>
      <c r="J2" s="2801"/>
      <c r="K2" s="2801"/>
    </row>
    <row r="3" spans="1:33" ht="18" customHeight="1" thickBot="1">
      <c r="A3" s="203" t="s">
        <v>1463</v>
      </c>
      <c r="B3" s="204">
        <f ca="1">ROUND(B2*10000/IF(C1="",'数据-汇总表'!E3,INDIRECT("'数据-取费表'!K"&amp;$K$1)),0)</f>
        <v>22218</v>
      </c>
      <c r="C3" s="276" t="s">
        <v>1595</v>
      </c>
      <c r="D3" s="276"/>
      <c r="E3" s="2801"/>
      <c r="F3" s="2801"/>
      <c r="G3" s="2801"/>
      <c r="H3" s="2801"/>
      <c r="I3" s="2801"/>
      <c r="J3" s="2801"/>
      <c r="K3" s="2801"/>
    </row>
    <row r="4" spans="1:33" s="785" customFormat="1" ht="16.5" customHeight="1">
      <c r="A4" s="782" t="s">
        <v>1596</v>
      </c>
      <c r="B4" s="783"/>
      <c r="C4" s="824">
        <f ca="1">SUM(C8:K8)</f>
        <v>144617</v>
      </c>
      <c r="D4" s="783"/>
      <c r="E4" s="783"/>
      <c r="F4" s="783"/>
      <c r="G4" s="783"/>
      <c r="H4" s="783"/>
      <c r="I4" s="783"/>
      <c r="J4" s="783"/>
      <c r="K4" s="784"/>
    </row>
    <row r="5" spans="1:33" s="789" customFormat="1" ht="15">
      <c r="A5" s="786" t="s">
        <v>1597</v>
      </c>
      <c r="B5" s="787" t="s">
        <v>1598</v>
      </c>
      <c r="C5" s="1858" t="s">
        <v>3452</v>
      </c>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24731</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58476.87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1602</v>
      </c>
      <c r="B8" s="164" t="s">
        <v>1603</v>
      </c>
      <c r="C8" s="825">
        <f ca="1">收益法!B2</f>
        <v>144617</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433</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1612</v>
      </c>
      <c r="C12" s="21">
        <f ca="1">ROUND(C11*F12,0)</f>
        <v>22</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12</v>
      </c>
      <c r="D14" s="846">
        <f ca="1">IF(C1="",'数据-汇总表'!E3,INDIRECT("'数据-取费表'!K"&amp;$K$1)+INDIRECT("'数据-取费表'!S"&amp;$K$1))</f>
        <v>59427.91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6</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473</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59427.91</v>
      </c>
      <c r="E17" s="21">
        <f>'数据-取费表'!B32</f>
        <v>0</v>
      </c>
      <c r="F17" s="806"/>
      <c r="G17" s="131" t="s">
        <v>1622</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0"/>
      <c r="H18" s="1185"/>
      <c r="I18" s="1861"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7"/>
      <c r="I19" s="809"/>
      <c r="J19" s="809"/>
      <c r="K19" s="810"/>
    </row>
    <row r="20" spans="1:33" s="803" customFormat="1" ht="13.5" customHeight="1">
      <c r="A20" s="800" t="s">
        <v>361</v>
      </c>
      <c r="B20" s="801" t="s">
        <v>1626</v>
      </c>
      <c r="C20" s="21">
        <f ca="1">ROUND(D20*E20/10000,0)</f>
        <v>1010</v>
      </c>
      <c r="D20" s="846">
        <f ca="1">IF(C1="",'数据-汇总表'!E6,IF(INDIRECT("'数据-取费表'!c"&amp;$K$1)="住宅",INDIRECT("'数据-取费表'!s"&amp;$K$1),INDIRECT("'数据-取费表'!k"&amp;$K$1)+INDIRECT("'数据-取费表'!s"&amp;$K$1)))</f>
        <v>59427.91</v>
      </c>
      <c r="E20" s="21">
        <f>'数据-取费表'!B28</f>
        <v>170</v>
      </c>
      <c r="F20" s="804"/>
      <c r="G20" s="12"/>
      <c r="H20" s="809"/>
      <c r="I20" s="809"/>
      <c r="J20" s="809"/>
      <c r="K20" s="810"/>
    </row>
    <row r="21" spans="1:33" s="803" customFormat="1" ht="13.5" customHeight="1">
      <c r="A21" s="790" t="s">
        <v>357</v>
      </c>
      <c r="B21" s="813" t="s">
        <v>1627</v>
      </c>
      <c r="C21" s="814">
        <f ca="1">C16+C17+C18</f>
        <v>473</v>
      </c>
      <c r="D21" s="815"/>
      <c r="E21" s="281"/>
      <c r="F21" s="281"/>
      <c r="G21" s="131" t="s">
        <v>1628</v>
      </c>
      <c r="H21" s="807"/>
      <c r="I21" s="807"/>
      <c r="J21" s="807"/>
      <c r="K21" s="808"/>
    </row>
    <row r="22" spans="1:33" s="803" customFormat="1" ht="13.5" customHeight="1">
      <c r="A22" s="790" t="s">
        <v>1600</v>
      </c>
      <c r="B22" s="813" t="s">
        <v>1629</v>
      </c>
      <c r="C22" s="814">
        <f ca="1">ROUND(C21*F22,0)</f>
        <v>14</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43</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3505">
        <f ca="1">C27</f>
        <v>0.32</v>
      </c>
      <c r="D25" s="280">
        <f ca="1">C26</f>
        <v>1.2999999999999999E-3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6">
        <f ca="1">ROUND(IF('数据-取费表'!B22&lt;=1,(1+C24)*F25*'数据-取费表'!B24,(1+C24)*(POWER((1+F25),'数据-取费表'!B24)-1)),4)</f>
        <v>1.2999999999999999E-3</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600">
        <f ca="1">ROUND(IF('数据-取费表'!B22&lt;=1,(C21+C22+C23)*F25*'数据-取费表'!B24/2,(C21+C22+C23)*(POWER((1+F25),'数据-取费表'!B24/2)-1)),2)</f>
        <v>0.32</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1640</v>
      </c>
      <c r="B28" s="1863" t="s">
        <v>1641</v>
      </c>
      <c r="C28" s="287">
        <f ca="1">C30</f>
        <v>133</v>
      </c>
      <c r="D28" s="280">
        <f ca="1">C29</f>
        <v>2.5999999999999999E-3</v>
      </c>
      <c r="E28" s="282" t="s">
        <v>12</v>
      </c>
      <c r="F28" s="288">
        <f ca="1">IF(C1="",'数据-取费表'!Q16,INDIRECT("'数据-取费表'!q"&amp;$K$1))</f>
        <v>0.25</v>
      </c>
      <c r="G28" s="817"/>
      <c r="H28" s="818"/>
      <c r="I28" s="818"/>
      <c r="J28" s="818"/>
      <c r="K28" s="819"/>
    </row>
    <row r="29" spans="1:33" s="291" customFormat="1" ht="13.5" customHeight="1">
      <c r="A29" s="800" t="s">
        <v>358</v>
      </c>
      <c r="B29" s="822" t="s">
        <v>1642</v>
      </c>
      <c r="C29" s="284">
        <f ca="1">ROUND((1+C24)*F28*'数据-取费表'!B24/'数据-取费表'!B20,4)</f>
        <v>2.5999999999999999E-3</v>
      </c>
      <c r="D29" s="284"/>
      <c r="E29" s="285"/>
      <c r="F29" s="290"/>
      <c r="G29" s="131" t="s">
        <v>1643</v>
      </c>
      <c r="H29" s="807"/>
      <c r="I29" s="807"/>
      <c r="J29" s="807"/>
      <c r="K29" s="808"/>
    </row>
    <row r="30" spans="1:33" s="291" customFormat="1" ht="13.5" customHeight="1">
      <c r="A30" s="800" t="s">
        <v>359</v>
      </c>
      <c r="B30" s="822" t="s">
        <v>1644</v>
      </c>
      <c r="C30" s="292">
        <f ca="1">ROUND((C21+C22+C23)*F28,0)</f>
        <v>133</v>
      </c>
      <c r="D30" s="284"/>
      <c r="E30" s="285"/>
      <c r="F30" s="290"/>
      <c r="G30" s="131"/>
      <c r="H30" s="807"/>
      <c r="I30" s="807"/>
      <c r="J30" s="807"/>
      <c r="K30" s="808"/>
    </row>
    <row r="31" spans="1:33" s="803" customFormat="1" ht="13.5" customHeight="1" thickBot="1">
      <c r="A31" s="1864" t="s">
        <v>1645</v>
      </c>
      <c r="B31" s="833" t="s">
        <v>1646</v>
      </c>
      <c r="C31" s="834">
        <f ca="1">ROUND(C4*F31/(1+'数据-取费表'!C42),0)</f>
        <v>7575</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132035</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9" zoomScale="85" zoomScaleNormal="70" zoomScaleSheetLayoutView="85"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3452</v>
      </c>
      <c r="D1" s="1360" t="s">
        <v>3566</v>
      </c>
      <c r="E1" s="1361" t="s">
        <v>678</v>
      </c>
      <c r="F1" s="1062">
        <f ca="1">J53</f>
        <v>38.769999999999996</v>
      </c>
      <c r="G1" s="1376">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144617</v>
      </c>
      <c r="C2" s="1385" t="s">
        <v>805</v>
      </c>
      <c r="D2" s="1385"/>
      <c r="E2" s="1386"/>
      <c r="F2" s="1387"/>
      <c r="G2" s="2701"/>
      <c r="H2" s="2690"/>
      <c r="I2" s="2690"/>
      <c r="J2" s="2690"/>
      <c r="K2" s="2691"/>
      <c r="L2" s="2690"/>
      <c r="M2" s="2690"/>
    </row>
    <row r="3" spans="1:37" ht="18" customHeight="1" thickBot="1">
      <c r="A3" s="1388" t="s">
        <v>806</v>
      </c>
      <c r="B3" s="1389">
        <f ca="1">IF(ISERROR(B2*10000/F43),0,ROUND(B2*10000/F43,0))</f>
        <v>24731</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12534</v>
      </c>
      <c r="D5" s="1362" t="s">
        <v>693</v>
      </c>
      <c r="E5" s="1071"/>
      <c r="F5" s="1072"/>
      <c r="G5" s="1382"/>
      <c r="H5" s="299">
        <v>1</v>
      </c>
      <c r="I5" s="300" t="s">
        <v>692</v>
      </c>
      <c r="J5" s="1070">
        <f ca="1">J6+J10+J12</f>
        <v>0</v>
      </c>
      <c r="K5" s="1362" t="s">
        <v>693</v>
      </c>
      <c r="L5" s="1071"/>
      <c r="M5" s="1072"/>
    </row>
    <row r="6" spans="1:37" ht="18" customHeight="1">
      <c r="A6" s="1069" t="s">
        <v>398</v>
      </c>
      <c r="B6" s="3744" t="s">
        <v>694</v>
      </c>
      <c r="C6" s="1074">
        <f ca="1">ROUND(F6*F8*F7*(1-F9)/10000,0)</f>
        <v>12518</v>
      </c>
      <c r="D6" s="155" t="s">
        <v>2108</v>
      </c>
      <c r="E6" s="302" t="s">
        <v>696</v>
      </c>
      <c r="F6" s="303">
        <f ca="1">INDIRECT("'数据-取费表'!u"&amp;$G$1)</f>
        <v>6.9</v>
      </c>
      <c r="G6" s="1382"/>
      <c r="H6" s="1069" t="s">
        <v>398</v>
      </c>
      <c r="I6" s="3744" t="s">
        <v>694</v>
      </c>
      <c r="J6" s="301">
        <f ca="1">ROUND(M6*M8*M7*(1-M9)/10000,0)</f>
        <v>0</v>
      </c>
      <c r="K6" s="155" t="s">
        <v>2107</v>
      </c>
      <c r="L6" s="302" t="s">
        <v>696</v>
      </c>
      <c r="M6" s="303">
        <f ca="1">INDIRECT("'数据-取费表'!z"&amp;$G$1)</f>
        <v>0</v>
      </c>
    </row>
    <row r="7" spans="1:37" ht="18" customHeight="1">
      <c r="A7" s="1073"/>
      <c r="B7" s="3745"/>
      <c r="C7" s="1075"/>
      <c r="D7" s="307"/>
      <c r="E7" s="1076" t="s">
        <v>697</v>
      </c>
      <c r="F7" s="303">
        <f ca="1">IF(INDIRECT("'数据-取费表'!ah"&amp;$G$1)="",INDIRECT("'数据-取费表'!k"&amp;$G$1),INDIRECT("'数据-取费表'!ah"&amp;$G$1))</f>
        <v>58476.87</v>
      </c>
      <c r="G7" s="1382"/>
      <c r="H7" s="304"/>
      <c r="I7" s="3745"/>
      <c r="J7" s="306"/>
      <c r="K7" s="307"/>
      <c r="L7" s="302" t="s">
        <v>697</v>
      </c>
      <c r="M7" s="303">
        <f ca="1">F7</f>
        <v>58476.87</v>
      </c>
    </row>
    <row r="8" spans="1:37" ht="18" customHeight="1">
      <c r="A8" s="304"/>
      <c r="B8" s="3745"/>
      <c r="C8" s="306"/>
      <c r="D8" s="307"/>
      <c r="E8" s="302" t="s">
        <v>698</v>
      </c>
      <c r="F8" s="303">
        <f ca="1">INDIRECT("'数据-取费表'!ai"&amp;$G$1)</f>
        <v>365</v>
      </c>
      <c r="G8" s="1382"/>
      <c r="H8" s="304"/>
      <c r="I8" s="3745"/>
      <c r="J8" s="306"/>
      <c r="K8" s="307"/>
      <c r="L8" s="302" t="s">
        <v>698</v>
      </c>
      <c r="M8" s="303">
        <f ca="1">INDIRECT("'数据-取费表'!ai"&amp;$G$1)</f>
        <v>365</v>
      </c>
    </row>
    <row r="9" spans="1:37" ht="18" customHeight="1">
      <c r="A9" s="304"/>
      <c r="B9" s="3746"/>
      <c r="C9" s="306"/>
      <c r="D9" s="307"/>
      <c r="E9" s="302" t="s">
        <v>699</v>
      </c>
      <c r="F9" s="312">
        <f ca="1">INDIRECT("'数据-取费表'!w"&amp;$G$1)</f>
        <v>0.15</v>
      </c>
      <c r="G9" s="1382"/>
      <c r="H9" s="304"/>
      <c r="I9" s="3746"/>
      <c r="J9" s="306"/>
      <c r="K9" s="307"/>
      <c r="L9" s="313" t="s">
        <v>699</v>
      </c>
      <c r="M9" s="314">
        <f ca="1">INDIRECT("'数据-取费表'!ab"&amp;$G$1)</f>
        <v>0</v>
      </c>
    </row>
    <row r="10" spans="1:37" ht="18" customHeight="1">
      <c r="A10" s="1069" t="s">
        <v>402</v>
      </c>
      <c r="B10" s="1363" t="s">
        <v>700</v>
      </c>
      <c r="C10" s="316">
        <f ca="1">ROUND(IF(F10="押一",C6/12*F11,IF(F10="押二",C6/12*2*F11,IF(F10="押三",C6/12*3*F11,C11*F11))),0)</f>
        <v>16</v>
      </c>
      <c r="D10" s="1364" t="s">
        <v>2116</v>
      </c>
      <c r="E10" s="313" t="s">
        <v>701</v>
      </c>
      <c r="F10" s="1114" t="s">
        <v>3472</v>
      </c>
      <c r="G10" s="1382"/>
      <c r="H10" s="1069" t="s">
        <v>402</v>
      </c>
      <c r="I10" s="1363" t="s">
        <v>700</v>
      </c>
      <c r="J10" s="301">
        <f ca="1">ROUND(IF(M10="押一",J6/12*M11,IF(M10="押二",J6/12*2*M11,IF(M10="押三",J6/12*3*M11,J11*M11))),0)</f>
        <v>0</v>
      </c>
      <c r="K10" s="1364" t="s">
        <v>2115</v>
      </c>
      <c r="L10" s="313" t="s">
        <v>701</v>
      </c>
      <c r="M10" s="1114"/>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70371</v>
      </c>
      <c r="D13" s="1081" t="s">
        <v>705</v>
      </c>
      <c r="E13" s="1081" t="s">
        <v>706</v>
      </c>
      <c r="F13" s="1082">
        <f ca="1">INDIRECT("'数据-取费表'!y"&amp;$G$1)</f>
        <v>1</v>
      </c>
      <c r="G13" s="1382"/>
      <c r="H13" s="1079">
        <v>2</v>
      </c>
      <c r="I13" s="1080" t="s">
        <v>704</v>
      </c>
      <c r="J13" s="1068">
        <f ca="1">ROUND(J14*J15,0)</f>
        <v>0</v>
      </c>
      <c r="K13" s="1087" t="s">
        <v>705</v>
      </c>
      <c r="L13" s="1390"/>
      <c r="M13" s="1391"/>
    </row>
    <row r="14" spans="1:37" ht="18" customHeight="1">
      <c r="A14" s="982" t="s">
        <v>397</v>
      </c>
      <c r="B14" s="302" t="s">
        <v>707</v>
      </c>
      <c r="C14" s="318">
        <f ca="1">INDIRECT("'数据-取费表'!m"&amp;$G$1)+INDIRECT("'数据-取费表'!t"&amp;$G$1)</f>
        <v>43261</v>
      </c>
      <c r="D14" s="1343" t="s">
        <v>708</v>
      </c>
      <c r="E14" s="1340"/>
      <c r="F14" s="319"/>
      <c r="G14" s="1382"/>
      <c r="H14" s="982" t="s">
        <v>398</v>
      </c>
      <c r="I14" s="302" t="s">
        <v>709</v>
      </c>
      <c r="J14" s="21">
        <f ca="1">C29</f>
        <v>70371</v>
      </c>
      <c r="K14" s="12"/>
      <c r="L14" s="807"/>
      <c r="M14" s="808"/>
    </row>
    <row r="15" spans="1:37" s="1395" customFormat="1" ht="18" customHeight="1" thickBot="1">
      <c r="A15" s="982" t="s">
        <v>399</v>
      </c>
      <c r="B15" s="302" t="s">
        <v>710</v>
      </c>
      <c r="C15" s="21">
        <f ca="1">ROUND(C14*F15,0)</f>
        <v>2163</v>
      </c>
      <c r="D15" s="320" t="s">
        <v>711</v>
      </c>
      <c r="E15" s="320" t="s">
        <v>712</v>
      </c>
      <c r="F15" s="321">
        <f>'数据-取费表'!B33</f>
        <v>0.05</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9" t="s">
        <v>393</v>
      </c>
      <c r="I16" s="1080" t="s">
        <v>714</v>
      </c>
      <c r="J16" s="310">
        <f ca="1">ROUND(J17+J22+J23+J24,0)</f>
        <v>1059</v>
      </c>
      <c r="K16" s="1087" t="s">
        <v>715</v>
      </c>
      <c r="L16" s="1088"/>
      <c r="M16" s="1072"/>
    </row>
    <row r="17" spans="1:37" s="1395" customFormat="1" ht="18" customHeight="1">
      <c r="A17" s="982" t="s">
        <v>681</v>
      </c>
      <c r="B17" s="302" t="s">
        <v>716</v>
      </c>
      <c r="C17" s="21">
        <f ca="1">ROUND(F17*(F43+INDIRECT("'数据-取费表'!S"&amp;$G$1))/10000,0)</f>
        <v>1189</v>
      </c>
      <c r="D17" s="302" t="s">
        <v>717</v>
      </c>
      <c r="E17" s="302" t="s">
        <v>718</v>
      </c>
      <c r="F17" s="23">
        <f>'数据-取费表'!B35</f>
        <v>200</v>
      </c>
      <c r="G17" s="1394"/>
      <c r="H17" s="982" t="s">
        <v>398</v>
      </c>
      <c r="I17" s="302" t="s">
        <v>719</v>
      </c>
      <c r="J17" s="2314">
        <f ca="1">ROUND(IF(AND(项目基本情况!B11="自然人",项目基本情况!B10="北京市"),J6*M17/(1+'数据-取费表'!C42),J18+J19+J20),2)</f>
        <v>3.07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649</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47262</v>
      </c>
      <c r="D19" s="131" t="s">
        <v>726</v>
      </c>
      <c r="E19" s="1358"/>
      <c r="F19" s="23"/>
      <c r="G19" s="1382"/>
      <c r="H19" s="982" t="s">
        <v>399</v>
      </c>
      <c r="I19" s="302" t="s">
        <v>727</v>
      </c>
      <c r="J19" s="21">
        <f ca="1">IF(K19="按租金收入计税",ROUND(J6*M19/(1+'数据-取费表'!C42),2),ROUND(C29*M19*0.7,2))</f>
        <v>0</v>
      </c>
      <c r="K19" s="1368" t="s">
        <v>3343</v>
      </c>
      <c r="L19" s="302" t="s">
        <v>712</v>
      </c>
      <c r="M19" s="322">
        <f>IF(K19="按租金收入计税",'数据-取费表'!B51,'数据-取费表'!B50)</f>
        <v>0.12</v>
      </c>
    </row>
    <row r="20" spans="1:37" s="1395" customFormat="1" ht="18" customHeight="1">
      <c r="A20" s="982" t="s">
        <v>402</v>
      </c>
      <c r="B20" s="302" t="s">
        <v>728</v>
      </c>
      <c r="C20" s="21">
        <f ca="1">ROUND(C19*F20,0)</f>
        <v>1418</v>
      </c>
      <c r="D20" s="323" t="s">
        <v>729</v>
      </c>
      <c r="E20" s="302" t="s">
        <v>712</v>
      </c>
      <c r="F20" s="322">
        <f>'数据-取费表'!B37</f>
        <v>0.03</v>
      </c>
      <c r="G20" s="1394"/>
      <c r="H20" s="982" t="s">
        <v>680</v>
      </c>
      <c r="I20" s="155" t="s">
        <v>730</v>
      </c>
      <c r="J20" s="22">
        <f ca="1">ROUND(M20*M21/10000,2)</f>
        <v>3.07</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0.03</v>
      </c>
      <c r="G21" s="1394"/>
      <c r="H21" s="326"/>
      <c r="I21" s="311"/>
      <c r="J21" s="26"/>
      <c r="K21" s="327"/>
      <c r="L21" s="302" t="s">
        <v>736</v>
      </c>
      <c r="M21" s="303">
        <f ca="1">INDIRECT("'数据-取费表'!r"&amp;$G$1)</f>
        <v>20455.650000000001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1055.57</v>
      </c>
      <c r="K22" s="1342" t="s">
        <v>739</v>
      </c>
      <c r="L22" s="302" t="s">
        <v>712</v>
      </c>
      <c r="M22" s="328">
        <f ca="1">INDIRECT("'数据-取费表'!Ak"&amp;$G$1)</f>
        <v>1.4999999999999999E-2</v>
      </c>
    </row>
    <row r="23" spans="1:37" s="1395" customFormat="1" ht="18" customHeight="1">
      <c r="A23" s="982" t="s">
        <v>397</v>
      </c>
      <c r="B23" s="302" t="s">
        <v>740</v>
      </c>
      <c r="C23" s="21">
        <f ca="1">IF('数据-取费表'!B22&lt;=1,ROUND(C19*F24*F23/2,0)+ROUND(C20*F24*F23/2,0),ROUND(C19*(POWER((1+F24),F23/2)-1),0)+ROUND(C20*(POWER((1+F24),F23/2)-1),0))</f>
        <v>3061</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9" t="s">
        <v>684</v>
      </c>
      <c r="I24" s="1090" t="s">
        <v>728</v>
      </c>
      <c r="J24" s="1091">
        <f ca="1">ROUND(J5*M24,2)</f>
        <v>0</v>
      </c>
      <c r="K24" s="1092" t="s">
        <v>748</v>
      </c>
      <c r="L24" s="1090" t="s">
        <v>744</v>
      </c>
      <c r="M24" s="1086">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9" t="s">
        <v>394</v>
      </c>
      <c r="I25" s="1094" t="s">
        <v>752</v>
      </c>
      <c r="J25" s="310">
        <f ca="1">J5-J16</f>
        <v>-1059</v>
      </c>
      <c r="K25" s="1095" t="s">
        <v>753</v>
      </c>
      <c r="L25" s="1096"/>
      <c r="M25" s="1097"/>
    </row>
    <row r="26" spans="1:37">
      <c r="A26" s="982" t="s">
        <v>397</v>
      </c>
      <c r="B26" s="302" t="s">
        <v>754</v>
      </c>
      <c r="C26" s="21">
        <f ca="1">ROUND((C19+C20)*F26,0)</f>
        <v>12170</v>
      </c>
      <c r="D26" s="323" t="s">
        <v>755</v>
      </c>
      <c r="E26" s="313" t="s">
        <v>756</v>
      </c>
      <c r="F26" s="312">
        <f ca="1">INDIRECT("'数据-取费表'!q"&amp;$G$1)</f>
        <v>0.25</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7.4999999999999997E-3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70371</v>
      </c>
      <c r="D29" s="1092"/>
      <c r="E29" s="1090"/>
      <c r="F29" s="1093"/>
      <c r="G29" s="1394"/>
      <c r="H29" s="334" t="s">
        <v>396</v>
      </c>
      <c r="I29" s="335" t="s">
        <v>768</v>
      </c>
      <c r="J29" s="336">
        <f ca="1">ROUND(J26/(1+F40)^F41,0)</f>
        <v>0</v>
      </c>
      <c r="K29" s="337" t="s">
        <v>769</v>
      </c>
      <c r="L29" s="338"/>
      <c r="M29" s="339">
        <f ca="1">INDIRECT("'数据-取费表'!k"&amp;$G$1)</f>
        <v>58476.87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3439</v>
      </c>
      <c r="D30" s="1087" t="s">
        <v>715</v>
      </c>
      <c r="E30" s="1088"/>
      <c r="F30" s="1072"/>
      <c r="G30" s="1382"/>
      <c r="H30" s="2692"/>
      <c r="I30" s="1396"/>
      <c r="J30" s="1397"/>
      <c r="K30" s="2471"/>
      <c r="L30" s="2693"/>
      <c r="M30" s="2694"/>
    </row>
    <row r="31" spans="1:37" ht="18" customHeight="1">
      <c r="A31" s="982" t="s">
        <v>398</v>
      </c>
      <c r="B31" s="302" t="s">
        <v>719</v>
      </c>
      <c r="C31" s="2314">
        <f ca="1">ROUND(IF(AND(项目基本情况!B11="自然人",项目基本情况!B10="北京市"),C6*F31/(1+'数据-取费表'!C42),C32+C33+C34),2)</f>
        <v>2089.4</v>
      </c>
      <c r="D31" s="1343" t="s">
        <v>720</v>
      </c>
      <c r="E31" s="1342" t="s">
        <v>770</v>
      </c>
      <c r="F31" s="2313" t="str">
        <f>IF(项目基本情况!B11="企业","——",IF(M47="住宅",IF(F6*F7*F8/12/(1+'数据-取费表'!F30)&gt;100000,4%,2.5%),IF(F6*F7*F8/12/(1+'数据-取费表'!F30)&gt;100000,12%,7%)))</f>
        <v>——</v>
      </c>
      <c r="G31" s="1382"/>
      <c r="H31" s="2803" t="s">
        <v>2309</v>
      </c>
      <c r="I31" s="1396"/>
      <c r="J31" s="1397"/>
      <c r="K31" s="2471"/>
      <c r="L31" s="2693"/>
      <c r="M31" s="2694"/>
    </row>
    <row r="32" spans="1:37" ht="18" customHeight="1">
      <c r="A32" s="982" t="s">
        <v>397</v>
      </c>
      <c r="B32" s="302" t="s">
        <v>723</v>
      </c>
      <c r="C32" s="21">
        <f ca="1">IF(项目基本情况!B11="自然人","——",ROUND(C6*F32/(1+'数据-取费表'!C42),2))</f>
        <v>655.7</v>
      </c>
      <c r="D32" s="1342" t="s">
        <v>724</v>
      </c>
      <c r="E32" s="302" t="s">
        <v>712</v>
      </c>
      <c r="F32" s="331">
        <f>'数据-取费表'!B41</f>
        <v>5.5000000000000007E-2</v>
      </c>
      <c r="G32" s="1382"/>
      <c r="H32" s="2692"/>
      <c r="I32" s="1396"/>
      <c r="J32" s="1397"/>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1430.63</v>
      </c>
      <c r="D33" s="1368" t="s">
        <v>3343</v>
      </c>
      <c r="E33" s="302" t="s">
        <v>712</v>
      </c>
      <c r="F33" s="322">
        <f>IF(D33="按票据","——",IF(D33="按租金收入计税",'数据-取费表'!B51,'数据-取费表'!B50))</f>
        <v>0.12</v>
      </c>
      <c r="G33" s="1382"/>
      <c r="H33" s="2695"/>
      <c r="I33" s="1396"/>
      <c r="J33" s="1397"/>
      <c r="K33" s="2696"/>
      <c r="L33" s="2695"/>
      <c r="M33" s="2695"/>
    </row>
    <row r="34" spans="1:18" ht="18" customHeight="1">
      <c r="A34" s="1069" t="s">
        <v>680</v>
      </c>
      <c r="B34" s="155" t="s">
        <v>730</v>
      </c>
      <c r="C34" s="22">
        <f ca="1">IF(项目基本情况!B11="自然人","——",ROUND(F34*F35/10000,2))</f>
        <v>3.07</v>
      </c>
      <c r="D34" s="324" t="s">
        <v>731</v>
      </c>
      <c r="E34" s="302" t="s">
        <v>732</v>
      </c>
      <c r="F34" s="325">
        <f>'数据-取费表'!B52</f>
        <v>1.5</v>
      </c>
      <c r="G34" s="1382"/>
      <c r="H34" s="2692"/>
      <c r="I34" s="1396"/>
      <c r="J34" s="1397"/>
      <c r="K34" s="2697"/>
      <c r="L34" s="2698"/>
      <c r="M34" s="2698"/>
    </row>
    <row r="35" spans="1:18" ht="18" customHeight="1">
      <c r="A35" s="1103"/>
      <c r="B35" s="1101"/>
      <c r="C35" s="26"/>
      <c r="D35" s="327"/>
      <c r="E35" s="302" t="s">
        <v>736</v>
      </c>
      <c r="F35" s="303">
        <f ca="1">INDIRECT("'数据-取费表'!r"&amp;$G$1)</f>
        <v>20455.650000000001</v>
      </c>
      <c r="G35" s="1382"/>
      <c r="H35" s="2692"/>
      <c r="I35" s="1396"/>
      <c r="J35" s="1397"/>
      <c r="K35" s="2696"/>
      <c r="L35" s="2695"/>
      <c r="M35" s="2695"/>
    </row>
    <row r="36" spans="1:18" ht="18" customHeight="1">
      <c r="A36" s="1102" t="s">
        <v>402</v>
      </c>
      <c r="B36" s="302" t="s">
        <v>738</v>
      </c>
      <c r="C36" s="21">
        <f ca="1">ROUND(C29*F36,2)</f>
        <v>1055.57</v>
      </c>
      <c r="D36" s="1342" t="s">
        <v>771</v>
      </c>
      <c r="E36" s="302" t="s">
        <v>712</v>
      </c>
      <c r="F36" s="328">
        <f ca="1">INDIRECT("'数据-取费表'!Ak"&amp;$G$1)</f>
        <v>1.4999999999999999E-2</v>
      </c>
      <c r="G36" s="1382"/>
      <c r="H36" s="2695"/>
      <c r="I36" s="1396"/>
      <c r="J36" s="1397"/>
      <c r="K36" s="2540"/>
      <c r="L36" s="2695"/>
      <c r="M36" s="2695"/>
    </row>
    <row r="37" spans="1:18" ht="18" customHeight="1">
      <c r="A37" s="982" t="s">
        <v>437</v>
      </c>
      <c r="B37" s="302" t="s">
        <v>742</v>
      </c>
      <c r="C37" s="21">
        <f ca="1">ROUND(C13*F37,2)</f>
        <v>105.56</v>
      </c>
      <c r="D37" s="1342" t="s">
        <v>743</v>
      </c>
      <c r="E37" s="302" t="s">
        <v>744</v>
      </c>
      <c r="F37" s="330">
        <f ca="1">INDIRECT("'数据-取费表'!Al"&amp;$G$1)</f>
        <v>1.5E-3</v>
      </c>
      <c r="G37" s="1382"/>
      <c r="H37" s="2695"/>
      <c r="I37" s="1396"/>
      <c r="J37" s="1397"/>
      <c r="K37" s="2540"/>
      <c r="L37" s="2695"/>
      <c r="M37" s="2695"/>
    </row>
    <row r="38" spans="1:18" ht="18" customHeight="1" thickBot="1">
      <c r="A38" s="1089" t="s">
        <v>684</v>
      </c>
      <c r="B38" s="1090" t="s">
        <v>728</v>
      </c>
      <c r="C38" s="1091">
        <f ca="1">ROUND(C5*F38,2)</f>
        <v>188.01</v>
      </c>
      <c r="D38" s="1092" t="s">
        <v>748</v>
      </c>
      <c r="E38" s="1090" t="s">
        <v>744</v>
      </c>
      <c r="F38" s="1086">
        <f ca="1">INDIRECT("'数据-取费表'!Am"&amp;$G$1)</f>
        <v>1.4999999999999999E-2</v>
      </c>
      <c r="G38" s="1382"/>
      <c r="H38" s="2695"/>
      <c r="I38" s="1396"/>
      <c r="J38" s="1397"/>
      <c r="K38" s="2699"/>
      <c r="L38" s="2695"/>
      <c r="M38" s="2695"/>
    </row>
    <row r="39" spans="1:18" ht="24.6" customHeight="1" thickTop="1">
      <c r="A39" s="1079" t="s">
        <v>394</v>
      </c>
      <c r="B39" s="1094" t="s">
        <v>772</v>
      </c>
      <c r="C39" s="310">
        <f ca="1">C5-C30</f>
        <v>9095</v>
      </c>
      <c r="D39" s="1095" t="s">
        <v>773</v>
      </c>
      <c r="E39" s="1096"/>
      <c r="F39" s="1097"/>
      <c r="G39" s="1382"/>
      <c r="H39" s="2695"/>
      <c r="I39" s="1396"/>
      <c r="J39" s="1397"/>
      <c r="K39" s="2699"/>
      <c r="L39" s="2695"/>
      <c r="M39" s="2695"/>
    </row>
    <row r="40" spans="1:18" ht="18" customHeight="1">
      <c r="A40" s="299" t="s">
        <v>395</v>
      </c>
      <c r="B40" s="300" t="s">
        <v>774</v>
      </c>
      <c r="C40" s="301">
        <f ca="1">ROUND(C39*(1-((1+F42)/(1+F40))^F41)/(F40-F42),0)</f>
        <v>144617</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38.769999999999996</v>
      </c>
      <c r="G41" s="1382"/>
      <c r="H41" s="1189"/>
      <c r="I41" s="1396"/>
      <c r="J41" s="1397"/>
      <c r="K41" s="2540"/>
      <c r="L41" s="1189"/>
      <c r="M41" s="1189"/>
    </row>
    <row r="42" spans="1:18" ht="18" customHeight="1">
      <c r="A42" s="308"/>
      <c r="B42" s="309"/>
      <c r="C42" s="310"/>
      <c r="D42" s="327"/>
      <c r="E42" s="302" t="s">
        <v>766</v>
      </c>
      <c r="F42" s="312">
        <f ca="1">INDIRECT("'数据-取费表'!v"&amp;$G$1)</f>
        <v>0</v>
      </c>
      <c r="G42" s="1382"/>
      <c r="H42" s="1189"/>
      <c r="I42" s="1396"/>
      <c r="J42" s="1397"/>
      <c r="K42" s="2540"/>
      <c r="L42" s="1189"/>
      <c r="M42" s="1189"/>
    </row>
    <row r="43" spans="1:18" ht="18" customHeight="1" thickBot="1">
      <c r="A43" s="334" t="s">
        <v>396</v>
      </c>
      <c r="B43" s="335" t="s">
        <v>776</v>
      </c>
      <c r="C43" s="336">
        <f ca="1">ROUND(C40*10000/F43,0)</f>
        <v>24731</v>
      </c>
      <c r="D43" s="337" t="s">
        <v>777</v>
      </c>
      <c r="E43" s="338" t="s">
        <v>778</v>
      </c>
      <c r="F43" s="339">
        <f ca="1">INDIRECT("'数据-取费表'!k"&amp;$G$1)</f>
        <v>58476.87</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-163125</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5" t="s">
        <v>689</v>
      </c>
      <c r="D47" s="978" t="s">
        <v>690</v>
      </c>
      <c r="E47" s="1058" t="s">
        <v>691</v>
      </c>
      <c r="F47" s="1059"/>
      <c r="G47" s="722"/>
      <c r="I47" s="1412" t="s">
        <v>815</v>
      </c>
      <c r="J47" s="1413" t="s">
        <v>3473</v>
      </c>
      <c r="K47" s="1414" t="s">
        <v>816</v>
      </c>
      <c r="L47" s="1415">
        <f ca="1">INDIRECT("'数据-取费表'!d"&amp;$G$1)</f>
        <v>50</v>
      </c>
      <c r="M47" s="1378" t="str">
        <f>IF(ISNUMBER(FIND("住宅",C1)),"住宅","非住宅")</f>
        <v>非住宅</v>
      </c>
      <c r="O47" s="1416" t="s">
        <v>403</v>
      </c>
      <c r="P47" s="1417" t="s">
        <v>817</v>
      </c>
      <c r="Q47" s="1418">
        <f ca="1">C40+J29</f>
        <v>144617</v>
      </c>
      <c r="R47" s="1418" t="s">
        <v>818</v>
      </c>
    </row>
    <row r="48" spans="1:18" s="1382" customFormat="1" ht="28.5" thickBot="1">
      <c r="A48" s="1108" t="s">
        <v>438</v>
      </c>
      <c r="B48" s="300" t="s">
        <v>692</v>
      </c>
      <c r="C48" s="1357">
        <f ca="1">C49+C53+C55</f>
        <v>0</v>
      </c>
      <c r="D48" s="1110"/>
      <c r="E48" s="1111"/>
      <c r="F48" s="962"/>
      <c r="G48" s="722"/>
      <c r="H48" s="723"/>
      <c r="I48" s="1419" t="s">
        <v>819</v>
      </c>
      <c r="J48" s="1420" t="s">
        <v>3474</v>
      </c>
      <c r="K48" s="1421" t="s">
        <v>820</v>
      </c>
      <c r="L48" s="1422">
        <f ca="1">INDIRECT("'数据-取费表'!f"&amp;$G$1)</f>
        <v>38.799999999999997</v>
      </c>
      <c r="O48" s="1416" t="s">
        <v>404</v>
      </c>
      <c r="P48" s="1417" t="s">
        <v>821</v>
      </c>
      <c r="Q48" s="1418" t="str">
        <f ca="1">J60</f>
        <v>0</v>
      </c>
      <c r="R48" s="1418" t="s">
        <v>822</v>
      </c>
    </row>
    <row r="49" spans="1:18" s="1382" customFormat="1" ht="13.5" thickBot="1">
      <c r="A49" s="975" t="s">
        <v>439</v>
      </c>
      <c r="B49" s="1369" t="s">
        <v>779</v>
      </c>
      <c r="C49" s="1112">
        <f ca="1">ROUND(F49*F51*F50*(1-F52)/10000,0)</f>
        <v>0</v>
      </c>
      <c r="D49" s="1055" t="s">
        <v>2109</v>
      </c>
      <c r="E49" s="1370" t="s">
        <v>780</v>
      </c>
      <c r="F49" s="1060"/>
      <c r="G49" s="1423"/>
      <c r="H49" s="723"/>
      <c r="I49" s="1419" t="s">
        <v>823</v>
      </c>
      <c r="J49" s="1424">
        <v>2017</v>
      </c>
      <c r="K49" s="1421" t="s">
        <v>824</v>
      </c>
      <c r="L49" s="1425"/>
      <c r="O49" s="1426" t="s">
        <v>405</v>
      </c>
      <c r="P49" s="1417" t="s">
        <v>825</v>
      </c>
      <c r="Q49" s="1418">
        <f ca="1">C29</f>
        <v>70371</v>
      </c>
      <c r="R49" s="1418" t="s">
        <v>818</v>
      </c>
    </row>
    <row r="50" spans="1:18" s="1382" customFormat="1" ht="13.5" thickBot="1">
      <c r="A50" s="976"/>
      <c r="B50" s="979"/>
      <c r="C50" s="1116"/>
      <c r="D50" s="953"/>
      <c r="E50" s="1056" t="s">
        <v>697</v>
      </c>
      <c r="F50" s="1057">
        <f ca="1">F7</f>
        <v>58476.87</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365</v>
      </c>
      <c r="I51" s="1430" t="s">
        <v>829</v>
      </c>
      <c r="J51" s="1431">
        <f>IF(J49="",J50,J49+J50-YEAR('数据-取费表'!B2))</f>
        <v>54</v>
      </c>
      <c r="K51" s="1432" t="s">
        <v>830</v>
      </c>
      <c r="L51" s="1433">
        <f ca="1">ROUND(-PV(INDIRECT("'数据-取费表'!h"&amp;$G$1),J51,(C39-C13*C76),0),0)</f>
        <v>57802</v>
      </c>
      <c r="M51" s="1434"/>
      <c r="O51" s="1426" t="s">
        <v>407</v>
      </c>
      <c r="P51" s="1417" t="s">
        <v>831</v>
      </c>
      <c r="Q51" s="1429">
        <f>J52</f>
        <v>0.09</v>
      </c>
      <c r="R51" s="1418"/>
    </row>
    <row r="52" spans="1:18" s="1382" customFormat="1" ht="13.5" thickBot="1">
      <c r="A52" s="977"/>
      <c r="B52" s="979"/>
      <c r="C52" s="980"/>
      <c r="D52" s="953"/>
      <c r="E52" s="981" t="s">
        <v>699</v>
      </c>
      <c r="F52" s="1054"/>
      <c r="I52" s="1435" t="s">
        <v>832</v>
      </c>
      <c r="J52" s="1436">
        <v>0.09</v>
      </c>
      <c r="K52" s="1435" t="s">
        <v>833</v>
      </c>
      <c r="L52" s="1436"/>
      <c r="O52" s="1426" t="s">
        <v>408</v>
      </c>
      <c r="P52" s="1417" t="s">
        <v>834</v>
      </c>
      <c r="Q52" s="1418">
        <f ca="1">J53</f>
        <v>38.769999999999996</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38.769999999999996</v>
      </c>
      <c r="K53" s="3742" t="s">
        <v>837</v>
      </c>
      <c r="L53" s="3743"/>
      <c r="O53" s="1416" t="s">
        <v>409</v>
      </c>
      <c r="P53" s="1417" t="s">
        <v>838</v>
      </c>
      <c r="Q53" s="1418">
        <f ca="1">Q47+Q48</f>
        <v>144617</v>
      </c>
      <c r="R53" s="1418" t="s">
        <v>410</v>
      </c>
    </row>
    <row r="54" spans="1:18" s="1382" customFormat="1" ht="13.5" thickBot="1">
      <c r="A54" s="1151"/>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70371</v>
      </c>
      <c r="D56" s="1445"/>
      <c r="E56" s="1446"/>
      <c r="F56" s="1438"/>
      <c r="I56" s="1447" t="s">
        <v>842</v>
      </c>
      <c r="J56" s="1448" t="s">
        <v>3449</v>
      </c>
      <c r="K56" s="1419" t="s">
        <v>843</v>
      </c>
      <c r="L56" s="1422" t="str">
        <f ca="1">IF(L48&lt;J51,"——",L48-J53)</f>
        <v>——</v>
      </c>
      <c r="O56" s="1416" t="s">
        <v>403</v>
      </c>
      <c r="P56" s="1417" t="s">
        <v>817</v>
      </c>
      <c r="Q56" s="1418">
        <f ca="1">C40+J29</f>
        <v>144617</v>
      </c>
      <c r="R56" s="1418" t="s">
        <v>818</v>
      </c>
    </row>
    <row r="57" spans="1:18" s="1382" customFormat="1" ht="24.75" thickBot="1">
      <c r="A57" s="1449"/>
      <c r="B57" s="950" t="s">
        <v>767</v>
      </c>
      <c r="C57" s="238">
        <f ca="1">C29</f>
        <v>70371</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1164</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3</v>
      </c>
      <c r="D59" s="963" t="s">
        <v>720</v>
      </c>
      <c r="E59" s="964"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3343</v>
      </c>
      <c r="E61" s="950"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785</v>
      </c>
      <c r="C62" s="22">
        <f ca="1">IF(项目基本情况!B11="自然人","——",ROUND(F62*F63/10000,2))</f>
        <v>3.07</v>
      </c>
      <c r="D62" s="965" t="s">
        <v>786</v>
      </c>
      <c r="E62" s="950" t="s">
        <v>787</v>
      </c>
      <c r="F62" s="325">
        <f t="shared" si="0"/>
        <v>1.5</v>
      </c>
      <c r="I62" s="1460" t="s">
        <v>858</v>
      </c>
      <c r="J62" s="1461" t="s">
        <v>859</v>
      </c>
      <c r="K62" s="1461" t="s">
        <v>860</v>
      </c>
      <c r="L62" s="1461" t="s">
        <v>861</v>
      </c>
      <c r="M62" s="1462" t="s">
        <v>862</v>
      </c>
      <c r="O62" s="1416" t="s">
        <v>409</v>
      </c>
      <c r="P62" s="1417" t="s">
        <v>863</v>
      </c>
      <c r="Q62" s="1418">
        <f ca="1">Q56+Q57</f>
        <v>144617</v>
      </c>
      <c r="R62" s="1418" t="s">
        <v>410</v>
      </c>
    </row>
    <row r="63" spans="1:18" s="1382" customFormat="1" ht="13.5" thickBot="1">
      <c r="A63" s="326"/>
      <c r="B63" s="956"/>
      <c r="C63" s="26"/>
      <c r="D63" s="966"/>
      <c r="E63" s="950" t="s">
        <v>788</v>
      </c>
      <c r="F63" s="303">
        <f t="shared" ca="1" si="0"/>
        <v>20455.650000000001</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1055.57</v>
      </c>
      <c r="D64" s="964" t="s">
        <v>791</v>
      </c>
      <c r="E64" s="950"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105.56</v>
      </c>
      <c r="D65" s="964" t="s">
        <v>743</v>
      </c>
      <c r="E65" s="950" t="s">
        <v>744</v>
      </c>
      <c r="F65" s="330">
        <f t="shared" ca="1" si="0"/>
        <v>1.5E-3</v>
      </c>
      <c r="I65" s="1460" t="s">
        <v>867</v>
      </c>
      <c r="J65" s="1461">
        <v>40</v>
      </c>
      <c r="K65" s="1461">
        <v>30</v>
      </c>
      <c r="L65" s="1461">
        <v>50</v>
      </c>
      <c r="M65" s="1463">
        <v>0.02</v>
      </c>
      <c r="O65" s="1416" t="s">
        <v>403</v>
      </c>
      <c r="P65" s="1417" t="s">
        <v>868</v>
      </c>
      <c r="Q65" s="1418">
        <f ca="1">C40+J29</f>
        <v>144617</v>
      </c>
      <c r="R65" s="1418" t="s">
        <v>818</v>
      </c>
    </row>
    <row r="66" spans="1:18" s="1382" customFormat="1" ht="16.5" thickBot="1">
      <c r="A66" s="982" t="s">
        <v>793</v>
      </c>
      <c r="B66" s="950" t="s">
        <v>728</v>
      </c>
      <c r="C66" s="21">
        <f ca="1">ROUND(C48*F66,2)</f>
        <v>0</v>
      </c>
      <c r="D66" s="964" t="s">
        <v>794</v>
      </c>
      <c r="E66" s="950" t="s">
        <v>712</v>
      </c>
      <c r="F66" s="312">
        <f t="shared" ca="1" si="0"/>
        <v>1.4999999999999999E-2</v>
      </c>
      <c r="O66" s="1416" t="s">
        <v>404</v>
      </c>
      <c r="P66" s="1417" t="s">
        <v>846</v>
      </c>
      <c r="Q66" s="1418">
        <f ca="1">L60</f>
        <v>0</v>
      </c>
      <c r="R66" s="1418" t="s">
        <v>869</v>
      </c>
    </row>
    <row r="67" spans="1:18" s="1382" customFormat="1" ht="16.5" thickBot="1">
      <c r="A67" s="957" t="s">
        <v>394</v>
      </c>
      <c r="B67" s="967" t="s">
        <v>752</v>
      </c>
      <c r="C67" s="316">
        <f ca="1">C48-C58</f>
        <v>-1164</v>
      </c>
      <c r="D67" s="963" t="s">
        <v>753</v>
      </c>
      <c r="E67" s="968"/>
      <c r="F67" s="969"/>
      <c r="O67" s="1426" t="s">
        <v>405</v>
      </c>
      <c r="P67" s="1417" t="s">
        <v>850</v>
      </c>
      <c r="Q67" s="1464">
        <f ca="1">L51</f>
        <v>57802</v>
      </c>
      <c r="R67" s="1418" t="s">
        <v>870</v>
      </c>
    </row>
    <row r="68" spans="1:18" s="1382" customFormat="1" ht="16.5" thickBot="1">
      <c r="A68" s="947" t="s">
        <v>395</v>
      </c>
      <c r="B68" s="948" t="s">
        <v>774</v>
      </c>
      <c r="C68" s="301">
        <f ca="1">ROUND(C67*(1-((1+F70)/(1+F68))^F69)/(F68-F70),0)</f>
        <v>-18508</v>
      </c>
      <c r="D68" s="965" t="s">
        <v>758</v>
      </c>
      <c r="E68" s="950" t="s">
        <v>759</v>
      </c>
      <c r="F68" s="312">
        <f ca="1">F40</f>
        <v>5.5E-2</v>
      </c>
      <c r="O68" s="1426" t="s">
        <v>406</v>
      </c>
      <c r="P68" s="1465" t="s">
        <v>871</v>
      </c>
      <c r="Q68" s="1418">
        <f ca="1">ROUND(Q69-Q70*Q71,0)</f>
        <v>3113</v>
      </c>
      <c r="R68" s="1418" t="s">
        <v>414</v>
      </c>
    </row>
    <row r="69" spans="1:18" s="1382" customFormat="1" ht="13.5" thickBot="1">
      <c r="A69" s="951"/>
      <c r="B69" s="952"/>
      <c r="C69" s="306"/>
      <c r="D69" s="970" t="s">
        <v>762</v>
      </c>
      <c r="E69" s="950" t="s">
        <v>763</v>
      </c>
      <c r="F69" s="333">
        <f ca="1">F41</f>
        <v>38.769999999999996</v>
      </c>
      <c r="O69" s="1426" t="s">
        <v>411</v>
      </c>
      <c r="P69" s="1465" t="s">
        <v>872</v>
      </c>
      <c r="Q69" s="1418">
        <f ca="1">C39</f>
        <v>9095</v>
      </c>
      <c r="R69" s="1418" t="s">
        <v>818</v>
      </c>
    </row>
    <row r="70" spans="1:18" s="1382" customFormat="1" ht="13.5" thickBot="1">
      <c r="A70" s="954"/>
      <c r="B70" s="955"/>
      <c r="C70" s="310"/>
      <c r="D70" s="966"/>
      <c r="E70" s="950" t="s">
        <v>766</v>
      </c>
      <c r="F70" s="1054"/>
      <c r="O70" s="1426" t="s">
        <v>412</v>
      </c>
      <c r="P70" s="1465" t="s">
        <v>873</v>
      </c>
      <c r="Q70" s="1418">
        <f ca="1">C13</f>
        <v>70371</v>
      </c>
      <c r="R70" s="1418" t="s">
        <v>818</v>
      </c>
    </row>
    <row r="71" spans="1:18" s="1382" customFormat="1" ht="13.5" thickBot="1">
      <c r="A71" s="971" t="s">
        <v>396</v>
      </c>
      <c r="B71" s="972" t="s">
        <v>776</v>
      </c>
      <c r="C71" s="336">
        <f ca="1">ROUND(C68*10000/F71,0)</f>
        <v>-3165</v>
      </c>
      <c r="D71" s="973" t="s">
        <v>777</v>
      </c>
      <c r="E71" s="974" t="s">
        <v>778</v>
      </c>
      <c r="F71" s="339">
        <f ca="1">F43</f>
        <v>58476.87</v>
      </c>
      <c r="O71" s="1426" t="s">
        <v>413</v>
      </c>
      <c r="P71" s="1465" t="s">
        <v>874</v>
      </c>
      <c r="Q71" s="1429">
        <f ca="1">C76</f>
        <v>8.5000000000000006E-2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5982</v>
      </c>
      <c r="D75" s="1382"/>
      <c r="E75" s="1382"/>
      <c r="F75" s="1382"/>
      <c r="K75" s="1400"/>
      <c r="L75" s="1382"/>
      <c r="O75" s="1416" t="s">
        <v>409</v>
      </c>
      <c r="P75" s="1417" t="s">
        <v>838</v>
      </c>
      <c r="Q75" s="1418">
        <f ca="1">Q65+Q66</f>
        <v>144617</v>
      </c>
      <c r="R75" s="1418" t="s">
        <v>410</v>
      </c>
    </row>
    <row r="76" spans="1:18">
      <c r="B76" s="342" t="s">
        <v>796</v>
      </c>
      <c r="C76" s="343">
        <f ca="1">INDIRECT("'数据-取费表'!j"&amp;$G$1)</f>
        <v>8.5000000000000006E-2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0.34199999999999997</v>
      </c>
    </row>
    <row r="80" spans="1:18">
      <c r="B80" s="340" t="s">
        <v>800</v>
      </c>
      <c r="C80" s="274">
        <f ca="1">ROUND(C75/C39,3)</f>
        <v>0.65800000000000003</v>
      </c>
    </row>
    <row r="81" spans="2:3">
      <c r="B81" s="270" t="s">
        <v>801</v>
      </c>
      <c r="C81" s="238"/>
    </row>
    <row r="82" spans="2:3">
      <c r="B82" s="273" t="s">
        <v>802</v>
      </c>
      <c r="C82" s="275">
        <f ca="1">1-C83</f>
        <v>0.51300000000000001</v>
      </c>
    </row>
    <row r="83" spans="2:3">
      <c r="B83" s="273" t="s">
        <v>803</v>
      </c>
      <c r="C83" s="274">
        <f ca="1">ROUND(C13/C40,3)</f>
        <v>0.48699999999999999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3456</v>
      </c>
      <c r="D1" s="1360" t="s">
        <v>43</v>
      </c>
      <c r="E1" s="1361" t="s">
        <v>678</v>
      </c>
      <c r="F1" s="1062" t="e">
        <f ca="1">J53</f>
        <v>#N/A</v>
      </c>
      <c r="G1" s="1376"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#N/A</v>
      </c>
      <c r="C2" s="1385" t="s">
        <v>805</v>
      </c>
      <c r="D2" s="1385"/>
      <c r="E2" s="1386"/>
      <c r="F2" s="1387"/>
      <c r="G2" s="2701"/>
      <c r="H2" s="2690"/>
      <c r="I2" s="2690"/>
      <c r="J2" s="2690"/>
      <c r="K2" s="2691"/>
      <c r="L2" s="2690"/>
      <c r="M2" s="2690"/>
    </row>
    <row r="3" spans="1:37" ht="18" customHeight="1" thickBot="1">
      <c r="A3" s="1388" t="s">
        <v>806</v>
      </c>
      <c r="B3" s="1389">
        <f ca="1">IF(ISERROR(B2*10000/F43),0,ROUND(B2*10000/F43,0))</f>
        <v>0</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t="e">
        <f ca="1">C6+C10+C12</f>
        <v>#N/A</v>
      </c>
      <c r="D5" s="1362" t="s">
        <v>693</v>
      </c>
      <c r="E5" s="1071"/>
      <c r="F5" s="1072"/>
      <c r="G5" s="1382"/>
      <c r="H5" s="299">
        <v>1</v>
      </c>
      <c r="I5" s="300" t="s">
        <v>692</v>
      </c>
      <c r="J5" s="1070" t="e">
        <f ca="1">J6+J10+J12</f>
        <v>#N/A</v>
      </c>
      <c r="K5" s="1362" t="s">
        <v>693</v>
      </c>
      <c r="L5" s="1071"/>
      <c r="M5" s="1072"/>
    </row>
    <row r="6" spans="1:37" ht="18" customHeight="1">
      <c r="A6" s="1069" t="s">
        <v>398</v>
      </c>
      <c r="B6" s="3744" t="s">
        <v>694</v>
      </c>
      <c r="C6" s="1074" t="e">
        <f ca="1">ROUND(F6*F8*F7*(1-F9)/10000,0)</f>
        <v>#N/A</v>
      </c>
      <c r="D6" s="155" t="s">
        <v>2108</v>
      </c>
      <c r="E6" s="302" t="s">
        <v>696</v>
      </c>
      <c r="F6" s="303" t="e">
        <f ca="1">INDIRECT("'数据-取费表'!u"&amp;$G$1)</f>
        <v>#N/A</v>
      </c>
      <c r="G6" s="1382"/>
      <c r="H6" s="1069" t="s">
        <v>398</v>
      </c>
      <c r="I6" s="3744" t="s">
        <v>694</v>
      </c>
      <c r="J6" s="301" t="e">
        <f ca="1">ROUND(M6*M8*M7*(1-M9)/10000,0)</f>
        <v>#N/A</v>
      </c>
      <c r="K6" s="155" t="s">
        <v>2107</v>
      </c>
      <c r="L6" s="302" t="s">
        <v>696</v>
      </c>
      <c r="M6" s="303" t="e">
        <f ca="1">INDIRECT("'数据-取费表'!z"&amp;$G$1)</f>
        <v>#N/A</v>
      </c>
    </row>
    <row r="7" spans="1:37" ht="18" customHeight="1">
      <c r="A7" s="1073"/>
      <c r="B7" s="3745"/>
      <c r="C7" s="1075"/>
      <c r="D7" s="307"/>
      <c r="E7" s="3452" t="s">
        <v>697</v>
      </c>
      <c r="F7" s="303" t="e">
        <f ca="1">IF(INDIRECT("'数据-取费表'!ah"&amp;$G$1)="",INDIRECT("'数据-取费表'!k"&amp;$G$1),INDIRECT("'数据-取费表'!ah"&amp;$G$1))</f>
        <v>#N/A</v>
      </c>
      <c r="G7" s="1382"/>
      <c r="H7" s="304"/>
      <c r="I7" s="3745"/>
      <c r="J7" s="306"/>
      <c r="K7" s="307"/>
      <c r="L7" s="302" t="s">
        <v>697</v>
      </c>
      <c r="M7" s="303" t="e">
        <f ca="1">F7</f>
        <v>#N/A</v>
      </c>
    </row>
    <row r="8" spans="1:37" ht="18" customHeight="1">
      <c r="A8" s="304"/>
      <c r="B8" s="3745"/>
      <c r="C8" s="306"/>
      <c r="D8" s="307"/>
      <c r="E8" s="302" t="s">
        <v>698</v>
      </c>
      <c r="F8" s="303" t="e">
        <f ca="1">INDIRECT("'数据-取费表'!ai"&amp;$G$1)</f>
        <v>#N/A</v>
      </c>
      <c r="G8" s="1382"/>
      <c r="H8" s="304"/>
      <c r="I8" s="3745"/>
      <c r="J8" s="306"/>
      <c r="K8" s="307"/>
      <c r="L8" s="302" t="s">
        <v>698</v>
      </c>
      <c r="M8" s="303" t="e">
        <f ca="1">INDIRECT("'数据-取费表'!ai"&amp;$G$1)</f>
        <v>#N/A</v>
      </c>
    </row>
    <row r="9" spans="1:37" ht="18" customHeight="1">
      <c r="A9" s="304"/>
      <c r="B9" s="3746"/>
      <c r="C9" s="306"/>
      <c r="D9" s="307"/>
      <c r="E9" s="302" t="s">
        <v>699</v>
      </c>
      <c r="F9" s="312" t="e">
        <f ca="1">INDIRECT("'数据-取费表'!w"&amp;$G$1)</f>
        <v>#N/A</v>
      </c>
      <c r="G9" s="1382"/>
      <c r="H9" s="304"/>
      <c r="I9" s="3746"/>
      <c r="J9" s="306"/>
      <c r="K9" s="307"/>
      <c r="L9" s="313" t="s">
        <v>699</v>
      </c>
      <c r="M9" s="314" t="e">
        <f ca="1">INDIRECT("'数据-取费表'!ab"&amp;$G$1)</f>
        <v>#N/A</v>
      </c>
    </row>
    <row r="10" spans="1:37" ht="18" customHeight="1">
      <c r="A10" s="1069" t="s">
        <v>402</v>
      </c>
      <c r="B10" s="1363" t="s">
        <v>700</v>
      </c>
      <c r="C10" s="316">
        <f ca="1">ROUND(IF(F10="押一",C6/12*F11,IF(F10="押二",C6/12*2*F11,IF(F10="押三",C6/12*3*F11,C11*F11))),0)</f>
        <v>0</v>
      </c>
      <c r="D10" s="1364" t="s">
        <v>2115</v>
      </c>
      <c r="E10" s="313" t="s">
        <v>701</v>
      </c>
      <c r="F10" s="1114" t="s">
        <v>3475</v>
      </c>
      <c r="G10" s="1382"/>
      <c r="H10" s="1069" t="s">
        <v>402</v>
      </c>
      <c r="I10" s="1363" t="s">
        <v>700</v>
      </c>
      <c r="J10" s="301">
        <f ca="1">ROUND(IF(M10="押一",J6/12*M11,IF(M10="押二",J6/12*2*M11,IF(M10="押三",J6/12*3*M11,J11*M11))),0)</f>
        <v>0</v>
      </c>
      <c r="K10" s="1364" t="s">
        <v>2115</v>
      </c>
      <c r="L10" s="313" t="s">
        <v>701</v>
      </c>
      <c r="M10" s="1114"/>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t="e">
        <f ca="1">ROUND(C29*F13,0)</f>
        <v>#N/A</v>
      </c>
      <c r="D13" s="3444" t="s">
        <v>705</v>
      </c>
      <c r="E13" s="3444" t="s">
        <v>706</v>
      </c>
      <c r="F13" s="1082" t="e">
        <f ca="1">INDIRECT("'数据-取费表'!y"&amp;$G$1)</f>
        <v>#N/A</v>
      </c>
      <c r="G13" s="1382"/>
      <c r="H13" s="1079">
        <v>2</v>
      </c>
      <c r="I13" s="1080" t="s">
        <v>704</v>
      </c>
      <c r="J13" s="1068" t="e">
        <f ca="1">ROUND(J14*J15,0)</f>
        <v>#N/A</v>
      </c>
      <c r="K13" s="1087" t="s">
        <v>705</v>
      </c>
      <c r="L13" s="1390"/>
      <c r="M13" s="1391"/>
    </row>
    <row r="14" spans="1:37" ht="18" customHeight="1">
      <c r="A14" s="982" t="s">
        <v>397</v>
      </c>
      <c r="B14" s="302" t="s">
        <v>707</v>
      </c>
      <c r="C14" s="318" t="e">
        <f ca="1">INDIRECT("'数据-取费表'!m"&amp;$G$1)+INDIRECT("'数据-取费表'!t"&amp;$G$1)</f>
        <v>#N/A</v>
      </c>
      <c r="D14" s="3448" t="s">
        <v>708</v>
      </c>
      <c r="E14" s="3446"/>
      <c r="F14" s="319"/>
      <c r="G14" s="1382"/>
      <c r="H14" s="982" t="s">
        <v>398</v>
      </c>
      <c r="I14" s="302" t="s">
        <v>709</v>
      </c>
      <c r="J14" s="21" t="e">
        <f ca="1">C29</f>
        <v>#N/A</v>
      </c>
      <c r="K14" s="3451"/>
      <c r="L14" s="807"/>
      <c r="M14" s="808"/>
    </row>
    <row r="15" spans="1:37" s="1395" customFormat="1" ht="18" customHeight="1" thickBot="1">
      <c r="A15" s="982" t="s">
        <v>399</v>
      </c>
      <c r="B15" s="302" t="s">
        <v>710</v>
      </c>
      <c r="C15" s="21" t="e">
        <f ca="1">ROUND(C14*F15,0)</f>
        <v>#N/A</v>
      </c>
      <c r="D15" s="3445" t="s">
        <v>711</v>
      </c>
      <c r="E15" s="3445" t="s">
        <v>712</v>
      </c>
      <c r="F15" s="321">
        <f>'数据-取费表'!B33</f>
        <v>0.05</v>
      </c>
      <c r="G15" s="1394"/>
      <c r="H15" s="1089" t="s">
        <v>402</v>
      </c>
      <c r="I15" s="1090" t="s">
        <v>706</v>
      </c>
      <c r="J15" s="1099" t="e">
        <f ca="1">INDIRECT("'数据-取费表'!ad"&amp;$G$1)</f>
        <v>#N/A</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2"/>
      <c r="H16" s="1079" t="s">
        <v>393</v>
      </c>
      <c r="I16" s="1080" t="s">
        <v>714</v>
      </c>
      <c r="J16" s="310" t="e">
        <f ca="1">ROUND(J17+J22+J23+J24,0)</f>
        <v>#N/A</v>
      </c>
      <c r="K16" s="1087" t="s">
        <v>715</v>
      </c>
      <c r="L16" s="3449"/>
      <c r="M16" s="1072"/>
    </row>
    <row r="17" spans="1:37" s="1395" customFormat="1" ht="18" customHeight="1">
      <c r="A17" s="982" t="s">
        <v>681</v>
      </c>
      <c r="B17" s="302" t="s">
        <v>716</v>
      </c>
      <c r="C17" s="21" t="e">
        <f ca="1">ROUND(F17*(F43+INDIRECT("'数据-取费表'!S"&amp;$G$1))/10000,0)</f>
        <v>#N/A</v>
      </c>
      <c r="D17" s="302" t="s">
        <v>717</v>
      </c>
      <c r="E17" s="302" t="s">
        <v>718</v>
      </c>
      <c r="F17" s="23">
        <f>'数据-取费表'!B35</f>
        <v>200</v>
      </c>
      <c r="G17" s="1394"/>
      <c r="H17" s="982" t="s">
        <v>398</v>
      </c>
      <c r="I17" s="302" t="s">
        <v>719</v>
      </c>
      <c r="J17" s="2314" t="e">
        <f ca="1">ROUND(IF(AND(项目基本情况!B11="自然人",项目基本情况!B10="北京市"),J6*M17/(1+'数据-取费表'!C42),J18+J19+J20),2)</f>
        <v>#N/A</v>
      </c>
      <c r="K17" s="3448" t="s">
        <v>720</v>
      </c>
      <c r="L17" s="3447"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t="e">
        <f ca="1">ROUND(C14*F18,0)</f>
        <v>#N/A</v>
      </c>
      <c r="D18" s="302" t="s">
        <v>711</v>
      </c>
      <c r="E18" s="302" t="s">
        <v>712</v>
      </c>
      <c r="F18" s="322">
        <f>'数据-取费表'!B36</f>
        <v>1.4999999999999999E-2</v>
      </c>
      <c r="G18" s="1394"/>
      <c r="H18" s="982" t="s">
        <v>397</v>
      </c>
      <c r="I18" s="302" t="s">
        <v>723</v>
      </c>
      <c r="J18" s="21" t="e">
        <f ca="1">ROUND(J6*M18/(1+'数据-取费表'!C42),2)</f>
        <v>#N/A</v>
      </c>
      <c r="K18" s="3447"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t="e">
        <f ca="1">SUM(C14:C18)</f>
        <v>#N/A</v>
      </c>
      <c r="D19" s="131" t="s">
        <v>726</v>
      </c>
      <c r="E19" s="3454"/>
      <c r="F19" s="23"/>
      <c r="G19" s="1382"/>
      <c r="H19" s="982" t="s">
        <v>399</v>
      </c>
      <c r="I19" s="302" t="s">
        <v>727</v>
      </c>
      <c r="J19" s="21" t="e">
        <f ca="1">IF(K19="按租金收入计税",ROUND(J6*M19/(1+'数据-取费表'!C42),2),ROUND(C29*M19*0.7,2))</f>
        <v>#N/A</v>
      </c>
      <c r="K19" s="1368" t="s">
        <v>3343</v>
      </c>
      <c r="L19" s="302" t="s">
        <v>712</v>
      </c>
      <c r="M19" s="322">
        <f>IF(K19="按租金收入计税",'数据-取费表'!B51,'数据-取费表'!B50)</f>
        <v>0.12</v>
      </c>
    </row>
    <row r="20" spans="1:37" s="1395" customFormat="1" ht="18" customHeight="1">
      <c r="A20" s="982" t="s">
        <v>402</v>
      </c>
      <c r="B20" s="302" t="s">
        <v>728</v>
      </c>
      <c r="C20" s="21" t="e">
        <f ca="1">ROUND(C19*F20,0)</f>
        <v>#N/A</v>
      </c>
      <c r="D20" s="2424" t="s">
        <v>729</v>
      </c>
      <c r="E20" s="302" t="s">
        <v>712</v>
      </c>
      <c r="F20" s="322">
        <f>'数据-取费表'!B37</f>
        <v>0.03</v>
      </c>
      <c r="G20" s="1394"/>
      <c r="H20" s="982"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2424" t="s">
        <v>734</v>
      </c>
      <c r="E21" s="302" t="s">
        <v>735</v>
      </c>
      <c r="F21" s="322">
        <f>'数据-取费表'!B38</f>
        <v>0.03</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4"/>
      <c r="F22" s="23"/>
      <c r="G22" s="1382"/>
      <c r="H22" s="982" t="s">
        <v>402</v>
      </c>
      <c r="I22" s="302" t="s">
        <v>738</v>
      </c>
      <c r="J22" s="21" t="e">
        <f ca="1">ROUND(J14*M22,2)</f>
        <v>#N/A</v>
      </c>
      <c r="K22" s="3447" t="s">
        <v>739</v>
      </c>
      <c r="L22" s="302" t="s">
        <v>712</v>
      </c>
      <c r="M22" s="328" t="e">
        <f ca="1">INDIRECT("'数据-取费表'!Ak"&amp;$G$1)</f>
        <v>#N/A</v>
      </c>
    </row>
    <row r="23" spans="1:37" s="1395"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t="e">
        <f ca="1">ROUND(J13*M23,2)</f>
        <v>#N/A</v>
      </c>
      <c r="K23" s="3447" t="s">
        <v>743</v>
      </c>
      <c r="L23" s="302" t="s">
        <v>712</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399</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9" t="s">
        <v>683</v>
      </c>
      <c r="I24" s="1090" t="s">
        <v>728</v>
      </c>
      <c r="J24" s="1091" t="e">
        <f ca="1">ROUND(J5*M24,2)</f>
        <v>#N/A</v>
      </c>
      <c r="K24" s="1092" t="s">
        <v>748</v>
      </c>
      <c r="L24" s="1090" t="s">
        <v>712</v>
      </c>
      <c r="M24" s="1086"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3454"/>
      <c r="F25" s="23"/>
      <c r="G25" s="1382"/>
      <c r="H25" s="1079" t="s">
        <v>394</v>
      </c>
      <c r="I25" s="1094" t="s">
        <v>752</v>
      </c>
      <c r="J25" s="310" t="e">
        <f ca="1">J5-J16</f>
        <v>#N/A</v>
      </c>
      <c r="K25" s="1095" t="s">
        <v>753</v>
      </c>
      <c r="L25" s="1096"/>
      <c r="M25" s="1097"/>
    </row>
    <row r="26" spans="1:37">
      <c r="A26" s="982" t="s">
        <v>397</v>
      </c>
      <c r="B26" s="302" t="s">
        <v>754</v>
      </c>
      <c r="C26" s="21" t="e">
        <f ca="1">ROUND((C19+C20)*F26,0)</f>
        <v>#N/A</v>
      </c>
      <c r="D26" s="2424"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4" t="s">
        <v>761</v>
      </c>
      <c r="E27" s="3445"/>
      <c r="F27" s="321"/>
      <c r="G27" s="1382"/>
      <c r="H27" s="304"/>
      <c r="I27" s="305"/>
      <c r="J27" s="306"/>
      <c r="K27" s="332" t="s">
        <v>762</v>
      </c>
      <c r="L27" s="302" t="s">
        <v>763</v>
      </c>
      <c r="M27" s="333" t="e">
        <f ca="1">INDIRECT("'数据-取费表'!ag"&amp;$G$1)</f>
        <v>#N/A</v>
      </c>
    </row>
    <row r="28" spans="1:37" s="1395" customFormat="1" ht="18" customHeight="1">
      <c r="A28" s="982"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t="e">
        <f ca="1">ROUND((C19+C20+C23+C26)/(1-F21-C24-C27-C28),0)</f>
        <v>#N/A</v>
      </c>
      <c r="D29" s="1092"/>
      <c r="E29" s="1090"/>
      <c r="F29" s="1093"/>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t="e">
        <f ca="1">ROUND(C31+C36+C37+C38,0)</f>
        <v>#N/A</v>
      </c>
      <c r="D30" s="1087" t="s">
        <v>715</v>
      </c>
      <c r="E30" s="3449"/>
      <c r="F30" s="1072"/>
      <c r="G30" s="1382"/>
      <c r="H30" s="2692"/>
      <c r="I30" s="1396"/>
      <c r="J30" s="1397"/>
      <c r="K30" s="2471"/>
      <c r="L30" s="2693"/>
      <c r="M30" s="2694"/>
    </row>
    <row r="31" spans="1:37" ht="18" customHeight="1">
      <c r="A31" s="982" t="s">
        <v>398</v>
      </c>
      <c r="B31" s="302" t="s">
        <v>719</v>
      </c>
      <c r="C31" s="2314" t="e">
        <f ca="1">ROUND(IF(AND(项目基本情况!B11="自然人",项目基本情况!B10="北京市"),C6*F31/(1+'数据-取费表'!C42),C32+C33+C34),2)</f>
        <v>#N/A</v>
      </c>
      <c r="D31" s="3448" t="s">
        <v>720</v>
      </c>
      <c r="E31" s="3447" t="s">
        <v>770</v>
      </c>
      <c r="F31" s="2313" t="str">
        <f>IF(项目基本情况!B11="企业","——",IF(M47="住宅",IF(F6*F7*F8/12/(1+'数据-取费表'!F30)&gt;100000,4%,2.5%),IF(F6*F7*F8/12/(1+'数据-取费表'!F30)&gt;100000,12%,7%)))</f>
        <v>——</v>
      </c>
      <c r="G31" s="1382"/>
      <c r="H31" s="2803" t="s">
        <v>2309</v>
      </c>
      <c r="I31" s="1396"/>
      <c r="J31" s="1397"/>
      <c r="K31" s="2471"/>
      <c r="L31" s="2693"/>
      <c r="M31" s="2694"/>
    </row>
    <row r="32" spans="1:37" ht="18" customHeight="1">
      <c r="A32" s="982" t="s">
        <v>397</v>
      </c>
      <c r="B32" s="302" t="s">
        <v>723</v>
      </c>
      <c r="C32" s="21" t="e">
        <f ca="1">IF(项目基本情况!B11="自然人","——",ROUND(C6*F32/(1+'数据-取费表'!C42),2))</f>
        <v>#N/A</v>
      </c>
      <c r="D32" s="3447" t="s">
        <v>724</v>
      </c>
      <c r="E32" s="302" t="s">
        <v>712</v>
      </c>
      <c r="F32" s="331">
        <f>'数据-取费表'!B41</f>
        <v>5.5000000000000007E-2</v>
      </c>
      <c r="G32" s="1382"/>
      <c r="H32" s="2692"/>
      <c r="I32" s="1396"/>
      <c r="J32" s="1397"/>
      <c r="K32" s="2471"/>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68" t="s">
        <v>3343</v>
      </c>
      <c r="E33" s="302" t="s">
        <v>712</v>
      </c>
      <c r="F33" s="322">
        <f>IF(D33="按票据","——",IF(D33="按租金收入计税",'数据-取费表'!B51,'数据-取费表'!B50))</f>
        <v>0.12</v>
      </c>
      <c r="G33" s="1382"/>
      <c r="H33" s="2695"/>
      <c r="I33" s="1396"/>
      <c r="J33" s="1397"/>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1.5</v>
      </c>
      <c r="G34" s="1382"/>
      <c r="H34" s="2692"/>
      <c r="I34" s="1396"/>
      <c r="J34" s="1397"/>
      <c r="K34" s="2697"/>
      <c r="L34" s="2698"/>
      <c r="M34" s="2698"/>
    </row>
    <row r="35" spans="1:18" ht="18" customHeight="1">
      <c r="A35" s="1103"/>
      <c r="B35" s="1101"/>
      <c r="C35" s="26"/>
      <c r="D35" s="327"/>
      <c r="E35" s="302" t="s">
        <v>736</v>
      </c>
      <c r="F35" s="303" t="e">
        <f ca="1">INDIRECT("'数据-取费表'!r"&amp;$G$1)</f>
        <v>#N/A</v>
      </c>
      <c r="G35" s="1382"/>
      <c r="H35" s="2692"/>
      <c r="I35" s="1396"/>
      <c r="J35" s="1397"/>
      <c r="K35" s="2696"/>
      <c r="L35" s="2695"/>
      <c r="M35" s="2695"/>
    </row>
    <row r="36" spans="1:18" ht="18" customHeight="1">
      <c r="A36" s="1102" t="s">
        <v>402</v>
      </c>
      <c r="B36" s="302" t="s">
        <v>738</v>
      </c>
      <c r="C36" s="21" t="e">
        <f ca="1">ROUND(C29*F36,2)</f>
        <v>#N/A</v>
      </c>
      <c r="D36" s="3447" t="s">
        <v>771</v>
      </c>
      <c r="E36" s="302" t="s">
        <v>712</v>
      </c>
      <c r="F36" s="328" t="e">
        <f ca="1">INDIRECT("'数据-取费表'!Ak"&amp;$G$1)</f>
        <v>#N/A</v>
      </c>
      <c r="G36" s="1382"/>
      <c r="H36" s="2695"/>
      <c r="I36" s="1396"/>
      <c r="J36" s="1397"/>
      <c r="K36" s="2540"/>
      <c r="L36" s="2695"/>
      <c r="M36" s="2695"/>
    </row>
    <row r="37" spans="1:18" ht="18" customHeight="1">
      <c r="A37" s="982" t="s">
        <v>437</v>
      </c>
      <c r="B37" s="302" t="s">
        <v>742</v>
      </c>
      <c r="C37" s="21" t="e">
        <f ca="1">ROUND(C13*F37,2)</f>
        <v>#N/A</v>
      </c>
      <c r="D37" s="3447" t="s">
        <v>743</v>
      </c>
      <c r="E37" s="302" t="s">
        <v>712</v>
      </c>
      <c r="F37" s="330" t="e">
        <f ca="1">INDIRECT("'数据-取费表'!Al"&amp;$G$1)</f>
        <v>#N/A</v>
      </c>
      <c r="G37" s="1382"/>
      <c r="H37" s="2695"/>
      <c r="I37" s="1396"/>
      <c r="J37" s="1397"/>
      <c r="K37" s="2540"/>
      <c r="L37" s="2695"/>
      <c r="M37" s="2695"/>
    </row>
    <row r="38" spans="1:18" ht="18" customHeight="1" thickBot="1">
      <c r="A38" s="1089" t="s">
        <v>683</v>
      </c>
      <c r="B38" s="1090" t="s">
        <v>728</v>
      </c>
      <c r="C38" s="1091" t="e">
        <f ca="1">ROUND(C5*F38,2)</f>
        <v>#N/A</v>
      </c>
      <c r="D38" s="1092" t="s">
        <v>748</v>
      </c>
      <c r="E38" s="1090" t="s">
        <v>712</v>
      </c>
      <c r="F38" s="1086" t="e">
        <f ca="1">INDIRECT("'数据-取费表'!Am"&amp;$G$1)</f>
        <v>#N/A</v>
      </c>
      <c r="G38" s="1382"/>
      <c r="H38" s="2695"/>
      <c r="I38" s="1396"/>
      <c r="J38" s="1397"/>
      <c r="K38" s="2699"/>
      <c r="L38" s="2695"/>
      <c r="M38" s="2695"/>
    </row>
    <row r="39" spans="1:18" ht="24.6" customHeight="1" thickTop="1">
      <c r="A39" s="1079" t="s">
        <v>394</v>
      </c>
      <c r="B39" s="1094" t="s">
        <v>752</v>
      </c>
      <c r="C39" s="310" t="e">
        <f ca="1">C5-C30</f>
        <v>#N/A</v>
      </c>
      <c r="D39" s="1095" t="s">
        <v>753</v>
      </c>
      <c r="E39" s="1096"/>
      <c r="F39" s="1097"/>
      <c r="G39" s="1382"/>
      <c r="H39" s="2695"/>
      <c r="I39" s="1396"/>
      <c r="J39" s="1397"/>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699"/>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0"/>
      <c r="L41" s="1189"/>
      <c r="M41" s="1189"/>
    </row>
    <row r="42" spans="1:18" ht="18" customHeight="1">
      <c r="A42" s="308"/>
      <c r="B42" s="309"/>
      <c r="C42" s="310"/>
      <c r="D42" s="327"/>
      <c r="E42" s="302" t="s">
        <v>766</v>
      </c>
      <c r="F42" s="312" t="e">
        <f ca="1">INDIRECT("'数据-取费表'!v"&amp;$G$1)</f>
        <v>#N/A</v>
      </c>
      <c r="G42" s="1382"/>
      <c r="H42" s="1189"/>
      <c r="I42" s="1396"/>
      <c r="J42" s="1397"/>
      <c r="K42" s="2540"/>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6" t="s">
        <v>687</v>
      </c>
      <c r="B47" s="978" t="s">
        <v>688</v>
      </c>
      <c r="C47" s="1115" t="s">
        <v>689</v>
      </c>
      <c r="D47" s="978" t="s">
        <v>690</v>
      </c>
      <c r="E47" s="1058" t="s">
        <v>691</v>
      </c>
      <c r="F47" s="1059"/>
      <c r="G47" s="722"/>
      <c r="I47" s="1412" t="s">
        <v>815</v>
      </c>
      <c r="J47" s="1413" t="s">
        <v>3473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3453" t="e">
        <f ca="1">C49+C53+C55</f>
        <v>#N/A</v>
      </c>
      <c r="D48" s="1110"/>
      <c r="E48" s="1111"/>
      <c r="F48" s="962"/>
      <c r="G48" s="722"/>
      <c r="H48" s="723"/>
      <c r="I48" s="1419" t="s">
        <v>819</v>
      </c>
      <c r="J48" s="1420" t="s">
        <v>3474</v>
      </c>
      <c r="K48" s="1421" t="s">
        <v>820</v>
      </c>
      <c r="L48" s="1422" t="e">
        <f ca="1">INDIRECT("'数据-取费表'!f"&amp;$G$1)</f>
        <v>#N/A</v>
      </c>
      <c r="O48" s="1416" t="s">
        <v>404</v>
      </c>
      <c r="P48" s="1417" t="s">
        <v>821</v>
      </c>
      <c r="Q48" s="1418" t="e">
        <f ca="1">J60</f>
        <v>#N/A</v>
      </c>
      <c r="R48" s="1418" t="s">
        <v>822</v>
      </c>
    </row>
    <row r="49" spans="1:18" s="1382" customFormat="1" ht="13.5" thickBot="1">
      <c r="A49" s="975" t="s">
        <v>439</v>
      </c>
      <c r="B49" s="1369" t="s">
        <v>779</v>
      </c>
      <c r="C49" s="1112" t="e">
        <f ca="1">ROUND(F49*F51*F50*(1-F52)/10000,0)</f>
        <v>#N/A</v>
      </c>
      <c r="D49" s="1055" t="s">
        <v>2107</v>
      </c>
      <c r="E49" s="1370" t="s">
        <v>780</v>
      </c>
      <c r="F49" s="1060"/>
      <c r="G49" s="1423"/>
      <c r="H49" s="723"/>
      <c r="I49" s="1419" t="s">
        <v>823</v>
      </c>
      <c r="J49" s="1424">
        <v>2017</v>
      </c>
      <c r="K49" s="1421" t="s">
        <v>824</v>
      </c>
      <c r="L49" s="1425"/>
      <c r="O49" s="1426" t="s">
        <v>405</v>
      </c>
      <c r="P49" s="1417" t="s">
        <v>825</v>
      </c>
      <c r="Q49" s="1418" t="e">
        <f ca="1">C29</f>
        <v>#N/A</v>
      </c>
      <c r="R49" s="1418" t="s">
        <v>818</v>
      </c>
    </row>
    <row r="50" spans="1:18" s="1382" customFormat="1" ht="13.5" thickBot="1">
      <c r="A50" s="976"/>
      <c r="B50" s="979"/>
      <c r="C50" s="1116"/>
      <c r="D50" s="953"/>
      <c r="E50" s="1056" t="s">
        <v>697</v>
      </c>
      <c r="F50" s="1057" t="e">
        <f ca="1">F7</f>
        <v>#N/A</v>
      </c>
      <c r="H50" s="723"/>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7"/>
      <c r="B51" s="979"/>
      <c r="C51" s="980"/>
      <c r="D51" s="953"/>
      <c r="E51" s="981" t="s">
        <v>698</v>
      </c>
      <c r="F51" s="303" t="e">
        <f ca="1">F8</f>
        <v>#N/A</v>
      </c>
      <c r="I51" s="1430" t="s">
        <v>829</v>
      </c>
      <c r="J51" s="1431">
        <f>IF(J49="",J50,J49+J50-YEAR('数据-取费表'!B2))</f>
        <v>54</v>
      </c>
      <c r="K51" s="1432" t="s">
        <v>830</v>
      </c>
      <c r="L51" s="1433" t="e">
        <f ca="1">ROUND(-PV(INDIRECT("'数据-取费表'!h"&amp;$G$1),J51,(C39-C13*C76),0),0)</f>
        <v>#N/A</v>
      </c>
      <c r="M51" s="1434"/>
      <c r="O51" s="1426" t="s">
        <v>407</v>
      </c>
      <c r="P51" s="1417" t="s">
        <v>831</v>
      </c>
      <c r="Q51" s="1429">
        <f>J52</f>
        <v>0.09</v>
      </c>
      <c r="R51" s="1418"/>
    </row>
    <row r="52" spans="1:18" s="1382" customFormat="1" ht="13.5" thickBot="1">
      <c r="A52" s="977"/>
      <c r="B52" s="979"/>
      <c r="C52" s="980"/>
      <c r="D52" s="953"/>
      <c r="E52" s="981" t="s">
        <v>699</v>
      </c>
      <c r="F52" s="1054"/>
      <c r="I52" s="1435" t="s">
        <v>832</v>
      </c>
      <c r="J52" s="1436">
        <v>0.09</v>
      </c>
      <c r="K52" s="1435" t="s">
        <v>833</v>
      </c>
      <c r="L52" s="1436"/>
      <c r="O52" s="1426" t="s">
        <v>408</v>
      </c>
      <c r="P52" s="1417" t="s">
        <v>834</v>
      </c>
      <c r="Q52" s="1418" t="e">
        <f ca="1">J53</f>
        <v>#N/A</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t="e">
        <f ca="1">IF(M47="住宅",IF(D1="——",MAX(J51,L48),MAX(J51,L48-'数据-取费表'!B24)),IF(D1="——",MIN(J51,L48),MIN(J51,L48-'数据-取费表'!B24)))</f>
        <v>#N/A</v>
      </c>
      <c r="K53" s="3742" t="s">
        <v>837</v>
      </c>
      <c r="L53" s="3743"/>
      <c r="O53" s="1416" t="s">
        <v>409</v>
      </c>
      <c r="P53" s="1417" t="s">
        <v>838</v>
      </c>
      <c r="Q53" s="1418" t="e">
        <f ca="1">Q47+Q48</f>
        <v>#N/A</v>
      </c>
      <c r="R53" s="1418" t="s">
        <v>410</v>
      </c>
    </row>
    <row r="54" spans="1:18" s="1382" customFormat="1" ht="13.5" thickBot="1">
      <c r="A54" s="1151"/>
      <c r="B54" s="1365" t="s">
        <v>679</v>
      </c>
      <c r="C54" s="959"/>
      <c r="D54" s="1364"/>
      <c r="E54" s="345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3" t="s">
        <v>437</v>
      </c>
      <c r="B55" s="1367" t="s">
        <v>703</v>
      </c>
      <c r="C55" s="1084"/>
      <c r="D55" s="1364"/>
      <c r="E55" s="345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7">
        <v>2</v>
      </c>
      <c r="B56" s="958" t="s">
        <v>704</v>
      </c>
      <c r="C56" s="232" t="e">
        <f ca="1">C13</f>
        <v>#N/A</v>
      </c>
      <c r="D56" s="1445"/>
      <c r="E56" s="1446"/>
      <c r="F56" s="1438"/>
      <c r="I56" s="1447" t="s">
        <v>842</v>
      </c>
      <c r="J56" s="1448" t="s">
        <v>3449</v>
      </c>
      <c r="K56" s="1419" t="s">
        <v>843</v>
      </c>
      <c r="L56" s="1422" t="e">
        <f ca="1">IF(L48&lt;J51,"——",L48-J53)</f>
        <v>#N/A</v>
      </c>
      <c r="O56" s="1416" t="s">
        <v>403</v>
      </c>
      <c r="P56" s="1417" t="s">
        <v>817</v>
      </c>
      <c r="Q56" s="1418" t="e">
        <f ca="1">C40+J29</f>
        <v>#N/A</v>
      </c>
      <c r="R56" s="1418" t="s">
        <v>818</v>
      </c>
    </row>
    <row r="57" spans="1:18" s="1382" customFormat="1" ht="24.75" thickBot="1">
      <c r="A57" s="1449"/>
      <c r="B57" s="950"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8" t="s">
        <v>714</v>
      </c>
      <c r="C58" s="316" t="e">
        <f ca="1">ROUND(C59+C64+C65+C66,0)</f>
        <v>#N/A</v>
      </c>
      <c r="D58" s="960" t="s">
        <v>715</v>
      </c>
      <c r="E58" s="961"/>
      <c r="F58" s="962"/>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2" t="s">
        <v>398</v>
      </c>
      <c r="B59" s="950" t="s">
        <v>719</v>
      </c>
      <c r="C59" s="2314" t="e">
        <f ca="1">ROUND(IF(AND(项目基本情况!B11="自然人",项目基本情况!B10="北京市"),C49*F59/(1+'数据-取费表'!C42),C60+C61+C62),0)</f>
        <v>#N/A</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2" t="s">
        <v>781</v>
      </c>
      <c r="B61" s="950" t="s">
        <v>727</v>
      </c>
      <c r="C61" s="21" t="e">
        <f ca="1">IF(项目基本情况!B11="自然人","——",IF(D61="按租金收入计税",ROUND(C49*F61/(1+'数据-取费表'!C42),2),IF(D61="按房产原值计税",ROUND(C57*F61*0.7,2),INDIRECT("'数据-取费表'!Aj"&amp;$G$1))))</f>
        <v>#N/A</v>
      </c>
      <c r="D61" s="1368" t="s">
        <v>3343</v>
      </c>
      <c r="E61" s="950" t="s">
        <v>712</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2" t="s">
        <v>784</v>
      </c>
      <c r="B62" s="949" t="s">
        <v>730</v>
      </c>
      <c r="C62" s="22" t="e">
        <f ca="1">IF(项目基本情况!B11="自然人","——",ROUND(F62*F63/10000,2))</f>
        <v>#N/A</v>
      </c>
      <c r="D62" s="965" t="s">
        <v>731</v>
      </c>
      <c r="E62" s="950" t="s">
        <v>732</v>
      </c>
      <c r="F62" s="325">
        <f t="shared" si="0"/>
        <v>1.5</v>
      </c>
      <c r="I62" s="1460" t="s">
        <v>858</v>
      </c>
      <c r="J62" s="1461" t="s">
        <v>859</v>
      </c>
      <c r="K62" s="1461" t="s">
        <v>860</v>
      </c>
      <c r="L62" s="1461" t="s">
        <v>861</v>
      </c>
      <c r="M62" s="1462" t="s">
        <v>862</v>
      </c>
      <c r="O62" s="1416" t="s">
        <v>409</v>
      </c>
      <c r="P62" s="1417" t="s">
        <v>838</v>
      </c>
      <c r="Q62" s="1418" t="e">
        <f ca="1">Q56+Q57</f>
        <v>#N/A</v>
      </c>
      <c r="R62" s="1418" t="s">
        <v>410</v>
      </c>
    </row>
    <row r="63" spans="1:18" s="1382" customFormat="1" ht="13.5" thickBot="1">
      <c r="A63" s="326"/>
      <c r="B63" s="956"/>
      <c r="C63" s="26"/>
      <c r="D63" s="966"/>
      <c r="E63" s="950" t="s">
        <v>736</v>
      </c>
      <c r="F63" s="303" t="e">
        <f t="shared" ca="1" si="0"/>
        <v>#N/A</v>
      </c>
      <c r="I63" s="1460" t="s">
        <v>864</v>
      </c>
      <c r="J63" s="1461">
        <v>70</v>
      </c>
      <c r="K63" s="1461">
        <v>50</v>
      </c>
      <c r="L63" s="1461">
        <v>80</v>
      </c>
      <c r="M63" s="1463">
        <v>0.02</v>
      </c>
      <c r="O63" s="1401" t="s">
        <v>865</v>
      </c>
      <c r="P63" s="1379"/>
      <c r="Q63" s="1379"/>
      <c r="R63" s="1379"/>
    </row>
    <row r="64" spans="1:18" s="1382" customFormat="1" ht="13.5" thickBot="1">
      <c r="A64" s="982" t="s">
        <v>789</v>
      </c>
      <c r="B64" s="950" t="s">
        <v>738</v>
      </c>
      <c r="C64" s="21" t="e">
        <f ca="1">ROUND(C57*F64,2)</f>
        <v>#N/A</v>
      </c>
      <c r="D64" s="964" t="s">
        <v>771</v>
      </c>
      <c r="E64" s="950" t="s">
        <v>712</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t="e">
        <f ca="1">ROUND(C56*F65,2)</f>
        <v>#N/A</v>
      </c>
      <c r="D65" s="964" t="s">
        <v>743</v>
      </c>
      <c r="E65" s="950" t="s">
        <v>712</v>
      </c>
      <c r="F65" s="330" t="e">
        <f t="shared" ca="1" si="0"/>
        <v>#N/A</v>
      </c>
      <c r="I65" s="1460" t="s">
        <v>867</v>
      </c>
      <c r="J65" s="1461">
        <v>40</v>
      </c>
      <c r="K65" s="1461">
        <v>30</v>
      </c>
      <c r="L65" s="1461">
        <v>50</v>
      </c>
      <c r="M65" s="1463">
        <v>0.02</v>
      </c>
      <c r="O65" s="1416" t="s">
        <v>403</v>
      </c>
      <c r="P65" s="1417" t="s">
        <v>817</v>
      </c>
      <c r="Q65" s="1418" t="e">
        <f ca="1">C40+J29</f>
        <v>#N/A</v>
      </c>
      <c r="R65" s="1418" t="s">
        <v>818</v>
      </c>
    </row>
    <row r="66" spans="1:18" s="1382" customFormat="1" ht="16.5" thickBot="1">
      <c r="A66" s="982" t="s">
        <v>793</v>
      </c>
      <c r="B66" s="950" t="s">
        <v>728</v>
      </c>
      <c r="C66" s="21" t="e">
        <f ca="1">ROUND(C48*F66,2)</f>
        <v>#N/A</v>
      </c>
      <c r="D66" s="964" t="s">
        <v>748</v>
      </c>
      <c r="E66" s="950" t="s">
        <v>712</v>
      </c>
      <c r="F66" s="312" t="e">
        <f t="shared" ca="1" si="0"/>
        <v>#N/A</v>
      </c>
      <c r="O66" s="1416" t="s">
        <v>404</v>
      </c>
      <c r="P66" s="1417" t="s">
        <v>846</v>
      </c>
      <c r="Q66" s="1418" t="e">
        <f ca="1">L60</f>
        <v>#N/A</v>
      </c>
      <c r="R66" s="1418" t="s">
        <v>869</v>
      </c>
    </row>
    <row r="67" spans="1:18" s="1382" customFormat="1" ht="16.5" thickBot="1">
      <c r="A67" s="957" t="s">
        <v>394</v>
      </c>
      <c r="B67" s="967" t="s">
        <v>752</v>
      </c>
      <c r="C67" s="316" t="e">
        <f ca="1">C48-C58</f>
        <v>#N/A</v>
      </c>
      <c r="D67" s="963" t="s">
        <v>753</v>
      </c>
      <c r="E67" s="968"/>
      <c r="F67" s="969"/>
      <c r="O67" s="1426" t="s">
        <v>405</v>
      </c>
      <c r="P67" s="1417" t="s">
        <v>850</v>
      </c>
      <c r="Q67" s="1464" t="e">
        <f ca="1">L51</f>
        <v>#N/A</v>
      </c>
      <c r="R67" s="1418" t="s">
        <v>870</v>
      </c>
    </row>
    <row r="68" spans="1:18" s="1382" customFormat="1" ht="16.5" thickBot="1">
      <c r="A68" s="947" t="s">
        <v>395</v>
      </c>
      <c r="B68" s="948" t="s">
        <v>774</v>
      </c>
      <c r="C68" s="301" t="e">
        <f ca="1">ROUND(C67*(1-((1+F70)/(1+F68))^F69)/(F68-F70),0)</f>
        <v>#N/A</v>
      </c>
      <c r="D68" s="965" t="s">
        <v>758</v>
      </c>
      <c r="E68" s="950" t="s">
        <v>759</v>
      </c>
      <c r="F68" s="312" t="e">
        <f ca="1">F40</f>
        <v>#N/A</v>
      </c>
      <c r="O68" s="1426" t="s">
        <v>406</v>
      </c>
      <c r="P68" s="1465" t="s">
        <v>871</v>
      </c>
      <c r="Q68" s="1418" t="e">
        <f ca="1">ROUND(Q69-Q70*Q71,0)</f>
        <v>#N/A</v>
      </c>
      <c r="R68" s="1418" t="s">
        <v>414</v>
      </c>
    </row>
    <row r="69" spans="1:18" s="1382" customFormat="1" ht="13.5" thickBot="1">
      <c r="A69" s="951"/>
      <c r="B69" s="952"/>
      <c r="C69" s="306"/>
      <c r="D69" s="970" t="s">
        <v>762</v>
      </c>
      <c r="E69" s="950" t="s">
        <v>763</v>
      </c>
      <c r="F69" s="333" t="e">
        <f ca="1">F41</f>
        <v>#N/A</v>
      </c>
      <c r="O69" s="1426" t="s">
        <v>411</v>
      </c>
      <c r="P69" s="1465" t="s">
        <v>872</v>
      </c>
      <c r="Q69" s="1418" t="e">
        <f ca="1">C39</f>
        <v>#N/A</v>
      </c>
      <c r="R69" s="1418" t="s">
        <v>818</v>
      </c>
    </row>
    <row r="70" spans="1:18" s="1382" customFormat="1" ht="13.5" thickBot="1">
      <c r="A70" s="954"/>
      <c r="B70" s="955"/>
      <c r="C70" s="310"/>
      <c r="D70" s="966"/>
      <c r="E70" s="950" t="s">
        <v>766</v>
      </c>
      <c r="F70" s="1054"/>
      <c r="O70" s="1426" t="s">
        <v>412</v>
      </c>
      <c r="P70" s="1465" t="s">
        <v>873</v>
      </c>
      <c r="Q70" s="1418" t="e">
        <f ca="1">C13</f>
        <v>#N/A</v>
      </c>
      <c r="R70" s="1418" t="s">
        <v>818</v>
      </c>
    </row>
    <row r="71" spans="1:18" s="1382" customFormat="1" ht="13.5" thickBot="1">
      <c r="A71" s="971" t="s">
        <v>396</v>
      </c>
      <c r="B71" s="972" t="s">
        <v>776</v>
      </c>
      <c r="C71" s="336" t="e">
        <f ca="1">ROUND(C68*10000/F71,0)</f>
        <v>#N/A</v>
      </c>
      <c r="D71" s="973" t="s">
        <v>777</v>
      </c>
      <c r="E71" s="974" t="s">
        <v>778</v>
      </c>
      <c r="F71" s="339" t="e">
        <f ca="1">F43</f>
        <v>#N/A</v>
      </c>
      <c r="O71" s="1426" t="s">
        <v>413</v>
      </c>
      <c r="P71" s="1465" t="s">
        <v>874</v>
      </c>
      <c r="Q71" s="1429" t="e">
        <f ca="1">C76</f>
        <v>#N/A</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2">
        <f ca="1">J53</f>
        <v>0</v>
      </c>
      <c r="G1" s="1376">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2" t="e">
        <f ca="1">ROUND(D2/10000,4)</f>
        <v>#DIV/0!</v>
      </c>
      <c r="C2" s="1385" t="s">
        <v>879</v>
      </c>
      <c r="D2" s="1469" t="e">
        <f ca="1">C40+J29+L46</f>
        <v>#DIV/0!</v>
      </c>
      <c r="E2" s="1386" t="s">
        <v>880</v>
      </c>
      <c r="F2" s="1387"/>
      <c r="G2" s="2701"/>
      <c r="H2" s="2690"/>
      <c r="I2" s="2690"/>
      <c r="J2" s="2690"/>
      <c r="K2" s="2691"/>
      <c r="L2" s="2690"/>
      <c r="M2" s="2690"/>
    </row>
    <row r="3" spans="1:37" ht="18" customHeight="1" thickBot="1">
      <c r="A3" s="1388" t="s">
        <v>881</v>
      </c>
      <c r="B3" s="1389">
        <f ca="1">IF(ISERROR(D2/F43),0,ROUND(D2/F43,0))</f>
        <v>0</v>
      </c>
      <c r="C3" s="1385" t="s">
        <v>882</v>
      </c>
      <c r="D3" s="1385"/>
      <c r="E3" s="1386"/>
      <c r="F3" s="1387"/>
      <c r="G3" s="2701"/>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70">
        <f ca="1">C6+C10+C12</f>
        <v>0</v>
      </c>
      <c r="D5" s="1362" t="s">
        <v>889</v>
      </c>
      <c r="E5" s="1071"/>
      <c r="F5" s="1072"/>
      <c r="G5" s="1382"/>
      <c r="H5" s="299">
        <v>1</v>
      </c>
      <c r="I5" s="300" t="s">
        <v>888</v>
      </c>
      <c r="J5" s="1070">
        <f ca="1">J6+J10+J12</f>
        <v>0</v>
      </c>
      <c r="K5" s="1362" t="s">
        <v>889</v>
      </c>
      <c r="L5" s="1071"/>
      <c r="M5" s="1072"/>
    </row>
    <row r="6" spans="1:37" ht="18" customHeight="1">
      <c r="A6" s="1069" t="s">
        <v>398</v>
      </c>
      <c r="B6" s="3744" t="s">
        <v>694</v>
      </c>
      <c r="C6" s="1074">
        <f ca="1">ROUND(F6*F8*F7*(1-F9),0)</f>
        <v>0</v>
      </c>
      <c r="D6" s="155" t="s">
        <v>2105</v>
      </c>
      <c r="E6" s="302" t="s">
        <v>696</v>
      </c>
      <c r="F6" s="303">
        <f ca="1">INDIRECT("'数据-取费表'!u"&amp;$G$1)</f>
        <v>0</v>
      </c>
      <c r="G6" s="1382"/>
      <c r="H6" s="1069" t="s">
        <v>398</v>
      </c>
      <c r="I6" s="3744" t="s">
        <v>694</v>
      </c>
      <c r="J6" s="301">
        <f ca="1">ROUND(M6*M8*M7*(1-M9),0)</f>
        <v>0</v>
      </c>
      <c r="K6" s="1374" t="s">
        <v>2106</v>
      </c>
      <c r="L6" s="302" t="s">
        <v>696</v>
      </c>
      <c r="M6" s="303">
        <f ca="1">INDIRECT("'数据-取费表'!z"&amp;$G$1)</f>
        <v>0</v>
      </c>
    </row>
    <row r="7" spans="1:37" ht="18" customHeight="1">
      <c r="A7" s="1073"/>
      <c r="B7" s="3745"/>
      <c r="C7" s="1075"/>
      <c r="D7" s="307"/>
      <c r="E7" s="1076" t="s">
        <v>697</v>
      </c>
      <c r="F7" s="303">
        <f ca="1">IF(INDIRECT("'数据-取费表'!ah"&amp;$G$1)="",INDIRECT("'数据-取费表'!k"&amp;$G$1),INDIRECT("'数据-取费表'!ah"&amp;$G$1))</f>
        <v>0</v>
      </c>
      <c r="G7" s="1382"/>
      <c r="H7" s="304"/>
      <c r="I7" s="3745"/>
      <c r="J7" s="306"/>
      <c r="K7" s="307"/>
      <c r="L7" s="302" t="s">
        <v>697</v>
      </c>
      <c r="M7" s="303">
        <f ca="1">F7</f>
        <v>0</v>
      </c>
    </row>
    <row r="8" spans="1:37" ht="18" customHeight="1">
      <c r="A8" s="304"/>
      <c r="B8" s="3745"/>
      <c r="C8" s="306"/>
      <c r="D8" s="307"/>
      <c r="E8" s="302" t="s">
        <v>698</v>
      </c>
      <c r="F8" s="303">
        <f ca="1">INDIRECT("'数据-取费表'!ai"&amp;$G$1)</f>
        <v>0</v>
      </c>
      <c r="G8" s="1382"/>
      <c r="H8" s="304"/>
      <c r="I8" s="3745"/>
      <c r="J8" s="306"/>
      <c r="K8" s="307"/>
      <c r="L8" s="302" t="s">
        <v>698</v>
      </c>
      <c r="M8" s="303">
        <f ca="1">INDIRECT("'数据-取费表'!ai"&amp;$G$1)</f>
        <v>0</v>
      </c>
    </row>
    <row r="9" spans="1:37" ht="18" customHeight="1">
      <c r="A9" s="304"/>
      <c r="B9" s="3746"/>
      <c r="C9" s="306"/>
      <c r="D9" s="307"/>
      <c r="E9" s="302" t="s">
        <v>699</v>
      </c>
      <c r="F9" s="312">
        <f ca="1">INDIRECT("'数据-取费表'!w"&amp;$G$1)</f>
        <v>0</v>
      </c>
      <c r="G9" s="1382"/>
      <c r="H9" s="304"/>
      <c r="I9" s="3746"/>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2115</v>
      </c>
      <c r="E10" s="313" t="s">
        <v>701</v>
      </c>
      <c r="F10" s="1114"/>
      <c r="G10" s="1382"/>
      <c r="H10" s="1069" t="s">
        <v>402</v>
      </c>
      <c r="I10" s="1363" t="s">
        <v>700</v>
      </c>
      <c r="J10" s="301">
        <f ca="1">ROUND(IF(M10="押一",J6/12*M11,IF(M10="押二",J6/12*2*M11,IF(M10="押三",J6/12*3*M11,J11*M11))),0)</f>
        <v>0</v>
      </c>
      <c r="K10" s="1375" t="s">
        <v>2117</v>
      </c>
      <c r="L10" s="313" t="s">
        <v>701</v>
      </c>
      <c r="M10" s="1114"/>
    </row>
    <row r="11" spans="1:37" ht="18" customHeight="1">
      <c r="A11" s="308"/>
      <c r="B11" s="1365" t="s">
        <v>890</v>
      </c>
      <c r="C11" s="959"/>
      <c r="D11" s="307"/>
      <c r="E11" s="313" t="s">
        <v>702</v>
      </c>
      <c r="F11" s="314">
        <f ca="1">'数据-取费表'!B39</f>
        <v>1.4999999999999999E-2</v>
      </c>
      <c r="G11" s="1382"/>
      <c r="H11" s="1077"/>
      <c r="I11" s="1365" t="s">
        <v>891</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2"/>
      <c r="H13" s="1079">
        <v>2</v>
      </c>
      <c r="I13" s="1080" t="s">
        <v>704</v>
      </c>
      <c r="J13" s="1068">
        <f ca="1">ROUND(J14*J15,0)</f>
        <v>0</v>
      </c>
      <c r="K13" s="1087" t="s">
        <v>705</v>
      </c>
      <c r="L13" s="1390"/>
      <c r="M13" s="1391"/>
    </row>
    <row r="14" spans="1:37" ht="18" customHeight="1">
      <c r="A14" s="982" t="s">
        <v>397</v>
      </c>
      <c r="B14" s="302" t="s">
        <v>707</v>
      </c>
      <c r="C14" s="318">
        <f ca="1">ROUND(INDIRECT("'数据-取费表'!l"&amp;$G$1)*F43+'数据-取费表'!L14*INDIRECT("'数据-取费表'!S"&amp;$G$1),0)</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0.05</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9" t="s">
        <v>393</v>
      </c>
      <c r="I16" s="1080" t="s">
        <v>714</v>
      </c>
      <c r="J16" s="310">
        <f ca="1">ROUND(J17+J22+J23+J24,0)</f>
        <v>0</v>
      </c>
      <c r="K16" s="1087" t="s">
        <v>715</v>
      </c>
      <c r="L16" s="1088"/>
      <c r="M16" s="1072"/>
    </row>
    <row r="17" spans="1:37" s="1395" customFormat="1" ht="18" customHeight="1">
      <c r="A17" s="982" t="s">
        <v>681</v>
      </c>
      <c r="B17" s="302" t="s">
        <v>716</v>
      </c>
      <c r="C17" s="21">
        <f ca="1">ROUND(F17*(F43+INDIRECT("'数据-取费表'!S"&amp;$G$1)),0)</f>
        <v>0</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IF(K19="按租金收入计税",ROUND(J6*M19/(1+'数据-取费表'!C42),0),ROUND(C29*M19*0.7,0))</f>
        <v>0</v>
      </c>
      <c r="K19" s="1368" t="s">
        <v>3343</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0.03</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9" t="s">
        <v>684</v>
      </c>
      <c r="I24" s="1090" t="s">
        <v>728</v>
      </c>
      <c r="J24" s="1091">
        <f ca="1">ROUND(J5*M24,0)</f>
        <v>0</v>
      </c>
      <c r="K24" s="1092" t="s">
        <v>748</v>
      </c>
      <c r="L24" s="1090" t="s">
        <v>744</v>
      </c>
      <c r="M24" s="1086">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0</v>
      </c>
      <c r="D29" s="1092"/>
      <c r="E29" s="1090"/>
      <c r="F29" s="1093"/>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0</v>
      </c>
      <c r="D30" s="1087" t="s">
        <v>715</v>
      </c>
      <c r="E30" s="1088"/>
      <c r="F30" s="1072"/>
      <c r="G30" s="1382"/>
      <c r="H30" s="2692"/>
      <c r="I30" s="1396"/>
      <c r="J30" s="1397"/>
      <c r="K30" s="2471"/>
      <c r="L30" s="2693"/>
      <c r="M30" s="2694"/>
    </row>
    <row r="31" spans="1:37" ht="18" customHeight="1">
      <c r="A31" s="982"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3" t="s">
        <v>2309</v>
      </c>
      <c r="I31" s="1396"/>
      <c r="J31" s="1397"/>
      <c r="K31" s="2471"/>
      <c r="L31" s="2693"/>
      <c r="M31" s="2694"/>
    </row>
    <row r="32" spans="1:37" ht="18" customHeight="1">
      <c r="A32" s="982" t="s">
        <v>397</v>
      </c>
      <c r="B32" s="302" t="s">
        <v>723</v>
      </c>
      <c r="C32" s="21">
        <f ca="1">IF(项目基本情况!B11="自然人","——",ROUND(C6*F32/(1+'数据-取费表'!C42),0))</f>
        <v>0</v>
      </c>
      <c r="D32" s="1342" t="s">
        <v>724</v>
      </c>
      <c r="E32" s="302" t="s">
        <v>712</v>
      </c>
      <c r="F32" s="331">
        <f>'数据-取费表'!B41</f>
        <v>5.5000000000000007E-2</v>
      </c>
      <c r="G32" s="1382"/>
      <c r="H32" s="2692"/>
      <c r="I32" s="1396"/>
      <c r="J32" s="1397"/>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8" t="s">
        <v>3343</v>
      </c>
      <c r="E33" s="302" t="s">
        <v>712</v>
      </c>
      <c r="F33" s="322">
        <f>IF(D33="按票据","——",IF(D33="按租金收入计税",'数据-取费表'!B51,'数据-取费表'!B50))</f>
        <v>0.12</v>
      </c>
      <c r="G33" s="1382"/>
      <c r="H33" s="2695"/>
      <c r="I33" s="1396"/>
      <c r="J33" s="1397"/>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2"/>
      <c r="H34" s="2692"/>
      <c r="I34" s="1396"/>
      <c r="J34" s="1397"/>
      <c r="K34" s="2697"/>
      <c r="L34" s="2698"/>
      <c r="M34" s="2698"/>
    </row>
    <row r="35" spans="1:18" ht="18" customHeight="1">
      <c r="A35" s="1103"/>
      <c r="B35" s="1101"/>
      <c r="C35" s="26"/>
      <c r="D35" s="327"/>
      <c r="E35" s="302" t="s">
        <v>736</v>
      </c>
      <c r="F35" s="303">
        <f ca="1">INDIRECT("'数据-取费表'!r"&amp;$G$1)</f>
        <v>0</v>
      </c>
      <c r="G35" s="1382"/>
      <c r="H35" s="2692"/>
      <c r="I35" s="1396"/>
      <c r="J35" s="1397"/>
      <c r="K35" s="2696"/>
      <c r="L35" s="2695"/>
      <c r="M35" s="2695"/>
    </row>
    <row r="36" spans="1:18" ht="18" customHeight="1">
      <c r="A36" s="1102" t="s">
        <v>402</v>
      </c>
      <c r="B36" s="302" t="s">
        <v>738</v>
      </c>
      <c r="C36" s="21">
        <f ca="1">ROUND(C29*F36,0)</f>
        <v>0</v>
      </c>
      <c r="D36" s="1342" t="s">
        <v>771</v>
      </c>
      <c r="E36" s="302" t="s">
        <v>712</v>
      </c>
      <c r="F36" s="328">
        <f ca="1">INDIRECT("'数据-取费表'!Ak"&amp;$G$1)</f>
        <v>0</v>
      </c>
      <c r="G36" s="1382"/>
      <c r="H36" s="2695"/>
      <c r="I36" s="1396"/>
      <c r="J36" s="1397"/>
      <c r="K36" s="2540"/>
      <c r="L36" s="2695"/>
      <c r="M36" s="2695"/>
    </row>
    <row r="37" spans="1:18" ht="18" customHeight="1">
      <c r="A37" s="982" t="s">
        <v>437</v>
      </c>
      <c r="B37" s="302" t="s">
        <v>742</v>
      </c>
      <c r="C37" s="21">
        <f ca="1">ROUND(C13*F37,0)</f>
        <v>0</v>
      </c>
      <c r="D37" s="1342" t="s">
        <v>743</v>
      </c>
      <c r="E37" s="302" t="s">
        <v>744</v>
      </c>
      <c r="F37" s="330">
        <f ca="1">INDIRECT("'数据-取费表'!Al"&amp;$G$1)</f>
        <v>0</v>
      </c>
      <c r="G37" s="1382"/>
      <c r="H37" s="2695"/>
      <c r="I37" s="1396"/>
      <c r="J37" s="1397"/>
      <c r="K37" s="2540"/>
      <c r="L37" s="2695"/>
      <c r="M37" s="2695"/>
    </row>
    <row r="38" spans="1:18" ht="18" customHeight="1" thickBot="1">
      <c r="A38" s="1089" t="s">
        <v>684</v>
      </c>
      <c r="B38" s="1090" t="s">
        <v>728</v>
      </c>
      <c r="C38" s="1091">
        <f ca="1">ROUND(C5*F38,0)</f>
        <v>0</v>
      </c>
      <c r="D38" s="1092" t="s">
        <v>748</v>
      </c>
      <c r="E38" s="1090" t="s">
        <v>744</v>
      </c>
      <c r="F38" s="1086">
        <f ca="1">INDIRECT("'数据-取费表'!Am"&amp;$G$1)</f>
        <v>0</v>
      </c>
      <c r="G38" s="1382"/>
      <c r="H38" s="2695"/>
      <c r="I38" s="1396"/>
      <c r="J38" s="1397"/>
      <c r="K38" s="2699"/>
      <c r="L38" s="2695"/>
      <c r="M38" s="2695"/>
    </row>
    <row r="39" spans="1:18" ht="24.6" customHeight="1" thickTop="1">
      <c r="A39" s="1079" t="s">
        <v>394</v>
      </c>
      <c r="B39" s="1094" t="s">
        <v>772</v>
      </c>
      <c r="C39" s="310">
        <f ca="1">C5-C30</f>
        <v>0</v>
      </c>
      <c r="D39" s="1095" t="s">
        <v>773</v>
      </c>
      <c r="E39" s="1096"/>
      <c r="F39" s="1097"/>
      <c r="G39" s="1382"/>
      <c r="H39" s="2695"/>
      <c r="I39" s="1396"/>
      <c r="J39" s="1397"/>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0"/>
      <c r="L41" s="1189"/>
      <c r="M41" s="1189"/>
    </row>
    <row r="42" spans="1:18" ht="18" customHeight="1">
      <c r="A42" s="308"/>
      <c r="B42" s="309"/>
      <c r="C42" s="310"/>
      <c r="D42" s="327"/>
      <c r="E42" s="302" t="s">
        <v>766</v>
      </c>
      <c r="F42" s="312">
        <f ca="1">INDIRECT("'数据-取费表'!v"&amp;$G$1)</f>
        <v>0</v>
      </c>
      <c r="G42" s="1382"/>
      <c r="H42" s="1189"/>
      <c r="I42" s="1396"/>
      <c r="J42" s="1397"/>
      <c r="K42" s="2540"/>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8" t="s">
        <v>3359</v>
      </c>
      <c r="B45" s="1398"/>
      <c r="C45" s="1470" t="e">
        <f ca="1">ROUND((C68-C40)/10000,4)</f>
        <v>#DIV/0!</v>
      </c>
      <c r="D45" s="3429" t="s">
        <v>3360</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978" t="s">
        <v>689</v>
      </c>
      <c r="D47" s="978" t="s">
        <v>690</v>
      </c>
      <c r="E47" s="1058" t="s">
        <v>691</v>
      </c>
      <c r="F47" s="1059"/>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2">
        <f ca="1">ROUND(F49*F51*F50*(1-F52),0)</f>
        <v>0</v>
      </c>
      <c r="D49" s="1055" t="s">
        <v>695</v>
      </c>
      <c r="E49" s="1370" t="s">
        <v>780</v>
      </c>
      <c r="F49" s="1060"/>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980"/>
      <c r="D50" s="953"/>
      <c r="E50" s="1056" t="s">
        <v>697</v>
      </c>
      <c r="F50" s="1057">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742" t="s">
        <v>837</v>
      </c>
      <c r="L53" s="3743"/>
      <c r="O53" s="1416" t="s">
        <v>409</v>
      </c>
      <c r="P53" s="1417" t="s">
        <v>838</v>
      </c>
      <c r="Q53" s="1418" t="e">
        <f ca="1">Q47+Q48</f>
        <v>#DIV/0!</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3343</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ROUND(C48*F66,0)</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4"/>
      <c r="O70" s="1426" t="s">
        <v>412</v>
      </c>
      <c r="P70" s="1465" t="s">
        <v>873</v>
      </c>
      <c r="Q70" s="1418">
        <f ca="1">C13</f>
        <v>0</v>
      </c>
      <c r="R70" s="1418" t="s">
        <v>818</v>
      </c>
    </row>
    <row r="71" spans="1:18" s="1382" customFormat="1" ht="13.5" thickBot="1">
      <c r="A71" s="971" t="s">
        <v>396</v>
      </c>
      <c r="B71" s="972" t="s">
        <v>776</v>
      </c>
      <c r="C71" s="336" t="e">
        <f ca="1">ROUND(C68/F71,0)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3" t="s">
        <v>2317</v>
      </c>
      <c r="B2" s="2838" t="e">
        <f>IF(D2="——",C40,C40+E2)</f>
        <v>#DIV/0!</v>
      </c>
      <c r="C2" s="2839" t="s">
        <v>2318</v>
      </c>
      <c r="D2" s="3442" t="s">
        <v>3368</v>
      </c>
      <c r="E2" s="3443"/>
      <c r="F2" s="2841"/>
      <c r="G2" s="2842"/>
      <c r="H2" s="2843"/>
      <c r="I2" s="2844"/>
      <c r="J2" s="3747" t="s">
        <v>2319</v>
      </c>
      <c r="K2" s="3748"/>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749" t="s">
        <v>2329</v>
      </c>
      <c r="K3" s="3750"/>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749" t="s">
        <v>2331</v>
      </c>
      <c r="K4" s="3750"/>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751" t="s">
        <v>2335</v>
      </c>
      <c r="B6" s="3752"/>
      <c r="C6" s="3753"/>
      <c r="D6" s="2865"/>
      <c r="E6" s="2866"/>
      <c r="F6" s="2867"/>
      <c r="G6" s="2868"/>
      <c r="H6" s="2843"/>
      <c r="I6" s="2844"/>
      <c r="J6" s="3754">
        <v>1</v>
      </c>
      <c r="K6" s="3755"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754"/>
      <c r="K7" s="3756"/>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758" t="s">
        <v>2349</v>
      </c>
      <c r="C8" s="3759"/>
      <c r="D8" s="2884" t="s">
        <v>2350</v>
      </c>
      <c r="E8" s="2885" t="s">
        <v>2351</v>
      </c>
      <c r="F8" s="2886" t="s">
        <v>2352</v>
      </c>
      <c r="G8" s="2887"/>
      <c r="H8" s="2843"/>
      <c r="I8" s="2844"/>
      <c r="J8" s="3754"/>
      <c r="K8" s="3756"/>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758" t="s">
        <v>2355</v>
      </c>
      <c r="C9" s="3759"/>
      <c r="D9" s="2884">
        <f>ROUND(D6*E9,0)</f>
        <v>0</v>
      </c>
      <c r="E9" s="2888"/>
      <c r="F9" s="2889" t="s">
        <v>2356</v>
      </c>
      <c r="G9" s="2868"/>
      <c r="H9" s="2843"/>
      <c r="I9" s="2844"/>
      <c r="J9" s="3754"/>
      <c r="K9" s="3756"/>
      <c r="L9" s="2878" t="s">
        <v>2357</v>
      </c>
      <c r="M9" s="2879"/>
      <c r="N9" s="2855"/>
      <c r="O9" s="2880"/>
      <c r="P9" s="2880"/>
      <c r="Q9" s="2881">
        <v>365</v>
      </c>
      <c r="R9" s="2882">
        <f t="shared" si="0"/>
        <v>0</v>
      </c>
      <c r="S9" s="2836"/>
      <c r="T9" s="2836"/>
      <c r="U9" s="2836"/>
      <c r="V9" s="2844"/>
    </row>
    <row r="10" spans="1:22" s="2848" customFormat="1" ht="13.15" customHeight="1">
      <c r="A10" s="2883">
        <v>2</v>
      </c>
      <c r="B10" s="3758" t="s">
        <v>2358</v>
      </c>
      <c r="C10" s="3759"/>
      <c r="D10" s="2884">
        <f>ROUND(D6*E10,0)</f>
        <v>0</v>
      </c>
      <c r="E10" s="2888"/>
      <c r="F10" s="2889" t="s">
        <v>2359</v>
      </c>
      <c r="G10" s="2868"/>
      <c r="H10" s="2843"/>
      <c r="I10" s="2844"/>
      <c r="J10" s="3754"/>
      <c r="K10" s="3756"/>
      <c r="L10" s="2878" t="s">
        <v>2360</v>
      </c>
      <c r="M10" s="2879"/>
      <c r="N10" s="2855"/>
      <c r="O10" s="2880"/>
      <c r="P10" s="2880"/>
      <c r="Q10" s="2881">
        <v>365</v>
      </c>
      <c r="R10" s="2882">
        <f t="shared" si="0"/>
        <v>0</v>
      </c>
      <c r="S10" s="2836"/>
      <c r="T10" s="2836"/>
      <c r="U10" s="2836"/>
      <c r="V10" s="2844"/>
    </row>
    <row r="11" spans="1:22" s="2848" customFormat="1" ht="13.15" customHeight="1">
      <c r="A11" s="2883">
        <v>3</v>
      </c>
      <c r="B11" s="3758" t="s">
        <v>2361</v>
      </c>
      <c r="C11" s="3759"/>
      <c r="D11" s="2884">
        <f>D12+D14+D15+D16</f>
        <v>0</v>
      </c>
      <c r="E11" s="2890" t="e">
        <f>D11/D6</f>
        <v>#DIV/0!</v>
      </c>
      <c r="F11" s="2886"/>
      <c r="G11" s="2887"/>
      <c r="H11" s="2843"/>
      <c r="I11" s="2844"/>
      <c r="J11" s="3754"/>
      <c r="K11" s="3756"/>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760" t="s">
        <v>2364</v>
      </c>
      <c r="C12" s="3761"/>
      <c r="D12" s="2892">
        <f>ROUND(D13*1.2%*(1-30%),0)</f>
        <v>0</v>
      </c>
      <c r="E12" s="2893">
        <v>1.2E-2</v>
      </c>
      <c r="F12" s="2886" t="s">
        <v>2365</v>
      </c>
      <c r="G12" s="2887"/>
      <c r="H12" s="2843"/>
      <c r="I12" s="2844"/>
      <c r="J12" s="3754"/>
      <c r="K12" s="3756"/>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754"/>
      <c r="K13" s="3756"/>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760" t="s">
        <v>2370</v>
      </c>
      <c r="C14" s="3761"/>
      <c r="D14" s="2892">
        <f>ROUND(E14*B5/10000,0)</f>
        <v>0</v>
      </c>
      <c r="E14" s="2881"/>
      <c r="F14" s="2886" t="s">
        <v>2371</v>
      </c>
      <c r="G14" s="2887"/>
      <c r="H14" s="2843"/>
      <c r="I14" s="2844"/>
      <c r="J14" s="3754"/>
      <c r="K14" s="3757"/>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760" t="s">
        <v>2374</v>
      </c>
      <c r="C15" s="3761"/>
      <c r="D15" s="2892">
        <f>ROUND(D6*E15,0)</f>
        <v>0</v>
      </c>
      <c r="E15" s="2893">
        <v>5.5E-2</v>
      </c>
      <c r="F15" s="2886" t="s">
        <v>2375</v>
      </c>
      <c r="G15" s="2868"/>
      <c r="H15" s="2843"/>
      <c r="I15" s="2844"/>
      <c r="J15" s="3754">
        <v>2</v>
      </c>
      <c r="K15" s="3755"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760" t="s">
        <v>2383</v>
      </c>
      <c r="C16" s="3761"/>
      <c r="D16" s="2903">
        <f>D6*E16</f>
        <v>0</v>
      </c>
      <c r="E16" s="2904"/>
      <c r="F16" s="2889" t="s">
        <v>2384</v>
      </c>
      <c r="G16" s="2868"/>
      <c r="H16" s="2843"/>
      <c r="I16" s="2844"/>
      <c r="J16" s="3754"/>
      <c r="K16" s="3756"/>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762" t="s">
        <v>2386</v>
      </c>
      <c r="C17" s="3763"/>
      <c r="D17" s="2906">
        <f>ROUND(D6*E17,0)</f>
        <v>0</v>
      </c>
      <c r="E17" s="2907"/>
      <c r="F17" s="2908" t="s">
        <v>2387</v>
      </c>
      <c r="G17" s="2868"/>
      <c r="H17" s="2843"/>
      <c r="I17" s="2844"/>
      <c r="J17" s="3754"/>
      <c r="K17" s="3756"/>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754"/>
      <c r="K18" s="3756"/>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754"/>
      <c r="K19" s="3757"/>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54">
        <v>3</v>
      </c>
      <c r="K20" s="3755"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754"/>
      <c r="K21" s="3756"/>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754"/>
      <c r="K22" s="3756"/>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754"/>
      <c r="K23" s="3756"/>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754"/>
      <c r="K24" s="3757"/>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764">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76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747" t="s">
        <v>2319</v>
      </c>
      <c r="K32" s="3748"/>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749" t="s">
        <v>2329</v>
      </c>
      <c r="K33" s="3750"/>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749" t="s">
        <v>2331</v>
      </c>
      <c r="K34" s="375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754">
        <v>1</v>
      </c>
      <c r="K36" s="3755"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754"/>
      <c r="K37" s="3756"/>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54"/>
      <c r="K38" s="3756"/>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754"/>
      <c r="K39" s="3756"/>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754"/>
      <c r="K40" s="3757"/>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764">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76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56" sqref="J56"/>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2"/>
      <c r="G1" s="1487"/>
      <c r="H1" s="1487"/>
      <c r="I1" s="1487"/>
      <c r="J1" s="1487"/>
      <c r="K1" s="1487"/>
      <c r="L1" s="1487"/>
      <c r="M1" s="1487"/>
      <c r="N1" s="1487"/>
      <c r="O1" s="1487"/>
      <c r="P1" s="1487"/>
      <c r="Q1" s="1487"/>
      <c r="R1" s="1487"/>
      <c r="S1" s="1487"/>
    </row>
    <row r="2" spans="1:22" ht="15.75">
      <c r="A2" s="1868" t="s">
        <v>1461</v>
      </c>
      <c r="B2" s="1869">
        <f ca="1">SUMIF(B6:B13,"&lt;&gt;#ref!",B6:B13)</f>
        <v>144617</v>
      </c>
      <c r="C2" s="1870" t="s">
        <v>1650</v>
      </c>
      <c r="D2" s="1871" t="s">
        <v>1651</v>
      </c>
      <c r="E2" s="2603">
        <f>SUM(E6:E13)</f>
        <v>59427.91</v>
      </c>
      <c r="F2" s="2702"/>
      <c r="G2" s="1487"/>
      <c r="H2" s="1487"/>
      <c r="I2" s="1487"/>
      <c r="J2" s="1487"/>
      <c r="K2" s="1487"/>
      <c r="L2" s="1487"/>
      <c r="M2" s="1487"/>
      <c r="N2" s="1487"/>
      <c r="O2" s="1487"/>
      <c r="P2" s="1487"/>
      <c r="Q2" s="1487"/>
      <c r="R2" s="1487"/>
      <c r="S2" s="1487"/>
    </row>
    <row r="3" spans="1:22" ht="15.75">
      <c r="A3" s="1868" t="s">
        <v>686</v>
      </c>
      <c r="B3" s="2597">
        <f ca="1">ROUND(B2*10000/E2,0)</f>
        <v>24335</v>
      </c>
      <c r="C3" s="1870" t="s">
        <v>1658</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9" t="s">
        <v>1652</v>
      </c>
      <c r="B5" s="3766" t="s">
        <v>1653</v>
      </c>
      <c r="C5" s="3767"/>
      <c r="D5" s="2703"/>
      <c r="E5" s="1872" t="s">
        <v>1654</v>
      </c>
      <c r="F5" s="1873" t="s">
        <v>1655</v>
      </c>
      <c r="G5" s="1487"/>
      <c r="H5" s="1487"/>
      <c r="I5" s="1487"/>
      <c r="J5" s="1487"/>
      <c r="K5" s="1487"/>
      <c r="L5" s="1487"/>
      <c r="M5" s="1487"/>
      <c r="N5" s="1487"/>
      <c r="O5" s="1487"/>
      <c r="P5" s="1487"/>
      <c r="Q5" s="1487"/>
      <c r="R5" s="1487"/>
      <c r="S5" s="1487"/>
    </row>
    <row r="6" spans="1:22">
      <c r="A6" s="2600" t="str">
        <f>'数据-取费表'!AN6</f>
        <v>收益法</v>
      </c>
      <c r="B6" s="2598">
        <f ca="1">IF(F6="是",'数据-取费表'!AO6,0)</f>
        <v>144617</v>
      </c>
      <c r="C6" s="1870" t="s">
        <v>1650</v>
      </c>
      <c r="D6" s="2704"/>
      <c r="E6" s="2602">
        <f>IF(OR(A6=0,F6="否"),0,'数据-取费表'!K6+'数据-取费表'!S6)</f>
        <v>59427.91</v>
      </c>
      <c r="F6" s="1874" t="s">
        <v>1656</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1650</v>
      </c>
      <c r="D7" s="2704"/>
      <c r="E7" s="2602">
        <f>IF(OR(A7=0,F7="否"),0,'数据-取费表'!K7+'数据-取费表'!S7)</f>
        <v>0</v>
      </c>
      <c r="F7" s="1874" t="s">
        <v>1656</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1650</v>
      </c>
      <c r="D8" s="2704"/>
      <c r="E8" s="2602">
        <f>IF(OR(A8=0,F8="否"),0,'数据-取费表'!K8+'数据-取费表'!S8)</f>
        <v>0</v>
      </c>
      <c r="F8" s="1874" t="s">
        <v>1656</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1650</v>
      </c>
      <c r="D9" s="2704"/>
      <c r="E9" s="2602">
        <f>IF(OR(A9=0,F9="否"),0,'数据-取费表'!K9+'数据-取费表'!S9)</f>
        <v>0</v>
      </c>
      <c r="F9" s="1874" t="s">
        <v>1656</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1650</v>
      </c>
      <c r="D10" s="2704"/>
      <c r="E10" s="2602">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1650</v>
      </c>
      <c r="D11" s="2704"/>
      <c r="E11" s="2602">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1650</v>
      </c>
      <c r="D12" s="2704"/>
      <c r="E12" s="2602">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1650</v>
      </c>
      <c r="D13" s="2705"/>
      <c r="E13" s="2602">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受贵公司委托，我公司对北京市通州区宋庄镇尹各庄村新建科研用地房地产抵押价值进行了预评估。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估价对象为北京市通州区宋庄镇尹各庄村新建科研用地房地产，为汇天网络所有。根据《国有土地使用证》[]，估价对象（分摊）出让国有建设用地使用权面积为20455.65平方米，建筑面积为59427.91平方米。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为估价委托人在向中行北分办理贷款手续过程中，确定房地产抵押贷款额度提供参考依据而评估房地产抵押价值。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2023年3月16日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3"/>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1663</v>
      </c>
      <c r="F2" s="1881"/>
      <c r="G2" s="907"/>
      <c r="H2" s="907"/>
      <c r="I2" s="907"/>
      <c r="J2" s="907"/>
      <c r="K2" s="1882"/>
      <c r="L2" s="2708"/>
      <c r="M2" s="2709"/>
      <c r="N2" s="2709"/>
      <c r="O2" s="2709"/>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59427.91</v>
      </c>
      <c r="E3" s="907"/>
      <c r="F3" s="1886"/>
      <c r="G3" s="907"/>
      <c r="H3" s="907"/>
      <c r="I3" s="907"/>
      <c r="J3" s="907"/>
      <c r="K3" s="1882"/>
      <c r="L3" s="2708"/>
      <c r="M3" s="2709"/>
      <c r="N3" s="2709"/>
      <c r="O3" s="2709"/>
      <c r="P3" s="1883"/>
      <c r="Q3" s="1884"/>
      <c r="R3" s="1884"/>
      <c r="S3" s="1884"/>
      <c r="T3" s="1884"/>
      <c r="U3" s="1884"/>
      <c r="V3" s="1884"/>
      <c r="W3" s="1884"/>
      <c r="X3" s="1884"/>
      <c r="Y3" s="1884"/>
      <c r="Z3" s="1884"/>
      <c r="AA3" s="1884"/>
      <c r="AB3" s="1884"/>
      <c r="AC3" s="1061"/>
    </row>
    <row r="4" spans="1:29" ht="15">
      <c r="A4" s="355" t="s">
        <v>1665</v>
      </c>
      <c r="B4" s="356"/>
      <c r="C4" s="3786" t="s">
        <v>1666</v>
      </c>
      <c r="D4" s="3787"/>
      <c r="E4" s="3788" t="s">
        <v>1667</v>
      </c>
      <c r="F4" s="3789"/>
      <c r="G4" s="3786" t="s">
        <v>1668</v>
      </c>
      <c r="H4" s="3787"/>
      <c r="I4" s="3786" t="s">
        <v>1669</v>
      </c>
      <c r="J4" s="3787"/>
      <c r="K4" s="1887" t="s">
        <v>1670</v>
      </c>
      <c r="L4" s="2710"/>
      <c r="M4" s="2711"/>
      <c r="N4" s="2711"/>
      <c r="O4" s="2711"/>
      <c r="P4" s="3790" t="s">
        <v>1671</v>
      </c>
      <c r="Q4" s="3791"/>
      <c r="R4" s="3773" t="s">
        <v>1667</v>
      </c>
      <c r="S4" s="3774"/>
      <c r="T4" s="3773" t="s">
        <v>1668</v>
      </c>
      <c r="U4" s="3774"/>
      <c r="V4" s="3798" t="s">
        <v>1669</v>
      </c>
      <c r="W4" s="3798"/>
      <c r="X4" s="1353"/>
      <c r="Y4" s="3773" t="s">
        <v>1671</v>
      </c>
      <c r="Z4" s="3774"/>
      <c r="AA4" s="3768" t="s">
        <v>1667</v>
      </c>
      <c r="AB4" s="3768" t="s">
        <v>1668</v>
      </c>
      <c r="AC4" s="3768" t="s">
        <v>1669</v>
      </c>
    </row>
    <row r="5" spans="1:29" ht="15">
      <c r="A5" s="358"/>
      <c r="B5" s="359"/>
      <c r="C5" s="3779" t="s">
        <v>1672</v>
      </c>
      <c r="D5" s="3780"/>
      <c r="E5" s="3777" t="s">
        <v>1673</v>
      </c>
      <c r="F5" s="3778"/>
      <c r="G5" s="3779" t="s">
        <v>1674</v>
      </c>
      <c r="H5" s="3780"/>
      <c r="I5" s="3779" t="s">
        <v>1675</v>
      </c>
      <c r="J5" s="3780"/>
      <c r="K5" s="1888"/>
      <c r="L5" s="2710"/>
      <c r="M5" s="2711"/>
      <c r="N5" s="2711"/>
      <c r="O5" s="2711"/>
      <c r="P5" s="3792"/>
      <c r="Q5" s="3793"/>
      <c r="R5" s="3775"/>
      <c r="S5" s="3776"/>
      <c r="T5" s="3775"/>
      <c r="U5" s="3776"/>
      <c r="V5" s="3798"/>
      <c r="W5" s="3798"/>
      <c r="X5" s="1353"/>
      <c r="Y5" s="3775"/>
      <c r="Z5" s="3776"/>
      <c r="AA5" s="3769"/>
      <c r="AB5" s="3769"/>
      <c r="AC5" s="3769"/>
    </row>
    <row r="6" spans="1:29" ht="15.75" thickBot="1">
      <c r="A6" s="360"/>
      <c r="B6" s="361"/>
      <c r="C6" s="3781" t="s">
        <v>1676</v>
      </c>
      <c r="D6" s="3782"/>
      <c r="E6" s="3783" t="s">
        <v>1676</v>
      </c>
      <c r="F6" s="3784"/>
      <c r="G6" s="3781" t="s">
        <v>1676</v>
      </c>
      <c r="H6" s="3782"/>
      <c r="I6" s="3781" t="s">
        <v>1676</v>
      </c>
      <c r="J6" s="3782"/>
      <c r="K6" s="1888" t="s">
        <v>1677</v>
      </c>
      <c r="L6" s="2710"/>
      <c r="M6" s="2711"/>
      <c r="N6" s="2711"/>
      <c r="O6" s="2711"/>
      <c r="P6" s="3794"/>
      <c r="Q6" s="3795"/>
      <c r="R6" s="3775"/>
      <c r="S6" s="3776"/>
      <c r="T6" s="3796"/>
      <c r="U6" s="3797"/>
      <c r="V6" s="3798"/>
      <c r="W6" s="3798"/>
      <c r="X6" s="1353"/>
      <c r="Y6" s="3796"/>
      <c r="Z6" s="3797"/>
      <c r="AA6" s="3770"/>
      <c r="AB6" s="3770"/>
      <c r="AC6" s="3770"/>
    </row>
    <row r="7" spans="1:29" s="108" customFormat="1" ht="15.75" thickBot="1">
      <c r="A7" s="362" t="s">
        <v>1678</v>
      </c>
      <c r="B7" s="363"/>
      <c r="C7" s="364">
        <f>'数据-取费表'!B2</f>
        <v>45001</v>
      </c>
      <c r="D7" s="365">
        <v>100</v>
      </c>
      <c r="E7" s="366"/>
      <c r="F7" s="367">
        <f>SUMIF(58:58,YEAR(E7)&amp;"-"&amp;MONTH(E7),59:59)</f>
        <v>0</v>
      </c>
      <c r="G7" s="366"/>
      <c r="H7" s="365">
        <f>SUMIF(58:58,YEAR(G7)&amp;"-"&amp;MONTH(G7),59:59)</f>
        <v>0</v>
      </c>
      <c r="I7" s="366"/>
      <c r="J7" s="365">
        <f>SUMIF(58:58,YEAR(I7)&amp;"-"&amp;MONTH(I7),59:59)</f>
        <v>0</v>
      </c>
      <c r="K7" s="1889"/>
      <c r="L7" s="2712"/>
      <c r="M7" s="2713"/>
      <c r="N7" s="2713"/>
      <c r="O7" s="2713"/>
      <c r="P7" s="3771" t="s">
        <v>1679</v>
      </c>
      <c r="Q7" s="3799"/>
      <c r="R7" s="701" t="s">
        <v>20</v>
      </c>
      <c r="S7" s="702">
        <f t="shared" ref="S7:S15" si="0">F7</f>
        <v>0</v>
      </c>
      <c r="T7" s="701" t="s">
        <v>20</v>
      </c>
      <c r="U7" s="702">
        <f t="shared" ref="U7:U15" si="1">H7</f>
        <v>0</v>
      </c>
      <c r="V7" s="701" t="s">
        <v>20</v>
      </c>
      <c r="W7" s="702">
        <f t="shared" ref="W7:W15"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2"/>
      <c r="M8" s="2713"/>
      <c r="N8" s="2713"/>
      <c r="O8" s="2713"/>
      <c r="P8" s="3771" t="s">
        <v>1682</v>
      </c>
      <c r="Q8" s="3772"/>
      <c r="R8" s="701" t="s">
        <v>20</v>
      </c>
      <c r="S8" s="702">
        <f t="shared" si="0"/>
        <v>100</v>
      </c>
      <c r="T8" s="701" t="s">
        <v>20</v>
      </c>
      <c r="U8" s="702">
        <f t="shared" si="1"/>
        <v>100</v>
      </c>
      <c r="V8" s="701" t="s">
        <v>20</v>
      </c>
      <c r="W8" s="702">
        <f t="shared" si="2"/>
        <v>100</v>
      </c>
      <c r="X8" s="703"/>
      <c r="Y8" s="3771" t="s">
        <v>1682</v>
      </c>
      <c r="Z8" s="377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2"/>
      <c r="M9" s="2713"/>
      <c r="N9" s="2713"/>
      <c r="O9" s="2713"/>
      <c r="P9" s="3785" t="s">
        <v>1685</v>
      </c>
      <c r="Q9" s="1341" t="str">
        <f t="shared" ref="Q9:Q15" si="6">B9</f>
        <v>用途</v>
      </c>
      <c r="R9" s="701" t="s">
        <v>14</v>
      </c>
      <c r="S9" s="702">
        <f t="shared" si="0"/>
        <v>100</v>
      </c>
      <c r="T9" s="701" t="s">
        <v>14</v>
      </c>
      <c r="U9" s="702">
        <f t="shared" si="1"/>
        <v>100</v>
      </c>
      <c r="V9" s="701" t="s">
        <v>14</v>
      </c>
      <c r="W9" s="702">
        <f t="shared" si="2"/>
        <v>100</v>
      </c>
      <c r="X9" s="703"/>
      <c r="Y9" s="3669"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89"/>
      <c r="L10" s="2714"/>
      <c r="M10" s="2715"/>
      <c r="N10" s="2715"/>
      <c r="O10" s="2715"/>
      <c r="P10" s="3785"/>
      <c r="Q10" s="1341"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85"/>
      <c r="Q11" s="1341" t="str">
        <f t="shared" si="6"/>
        <v>容积率</v>
      </c>
      <c r="R11" s="701" t="s">
        <v>18</v>
      </c>
      <c r="S11" s="702" t="e">
        <f t="shared" si="0"/>
        <v>#N/A</v>
      </c>
      <c r="T11" s="701" t="s">
        <v>18</v>
      </c>
      <c r="U11" s="702" t="e">
        <f t="shared" si="1"/>
        <v>#N/A</v>
      </c>
      <c r="V11" s="701" t="s">
        <v>18</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85"/>
      <c r="Q12" s="1341">
        <f t="shared" si="6"/>
        <v>111</v>
      </c>
      <c r="R12" s="701" t="s">
        <v>18</v>
      </c>
      <c r="S12" s="702">
        <f t="shared" si="0"/>
        <v>100</v>
      </c>
      <c r="T12" s="701" t="s">
        <v>18</v>
      </c>
      <c r="U12" s="702">
        <f t="shared" si="1"/>
        <v>100</v>
      </c>
      <c r="V12" s="701" t="s">
        <v>18</v>
      </c>
      <c r="W12" s="702">
        <f t="shared" si="2"/>
        <v>100</v>
      </c>
      <c r="X12" s="703"/>
      <c r="Y12" s="366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85"/>
      <c r="Q13" s="1341">
        <f t="shared" si="6"/>
        <v>111</v>
      </c>
      <c r="R13" s="701" t="s">
        <v>18</v>
      </c>
      <c r="S13" s="702">
        <f t="shared" si="0"/>
        <v>100</v>
      </c>
      <c r="T13" s="701" t="s">
        <v>18</v>
      </c>
      <c r="U13" s="702">
        <f t="shared" si="1"/>
        <v>100</v>
      </c>
      <c r="V13" s="701" t="s">
        <v>18</v>
      </c>
      <c r="W13" s="702">
        <f t="shared" si="2"/>
        <v>100</v>
      </c>
      <c r="X13" s="703"/>
      <c r="Y13" s="3669"/>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85"/>
      <c r="Q14" s="1341">
        <f t="shared" si="6"/>
        <v>111</v>
      </c>
      <c r="R14" s="701" t="s">
        <v>18</v>
      </c>
      <c r="S14" s="702">
        <f t="shared" si="0"/>
        <v>100</v>
      </c>
      <c r="T14" s="701" t="s">
        <v>18</v>
      </c>
      <c r="U14" s="702">
        <f t="shared" si="1"/>
        <v>100</v>
      </c>
      <c r="V14" s="701" t="s">
        <v>18</v>
      </c>
      <c r="W14" s="702">
        <f t="shared" si="2"/>
        <v>100</v>
      </c>
      <c r="X14" s="703"/>
      <c r="Y14" s="3669"/>
      <c r="Z14" s="52">
        <f t="shared" si="7"/>
        <v>111</v>
      </c>
      <c r="AA14" s="704">
        <f t="shared" si="3"/>
        <v>1</v>
      </c>
      <c r="AB14" s="704">
        <f t="shared" si="4"/>
        <v>1</v>
      </c>
      <c r="AC14" s="704">
        <f t="shared" si="5"/>
        <v>1</v>
      </c>
    </row>
    <row r="15" spans="1:29" ht="85.5">
      <c r="A15" s="391" t="s">
        <v>1689</v>
      </c>
      <c r="B15" s="61" t="s">
        <v>1256</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812" t="s">
        <v>1690</v>
      </c>
      <c r="Q15" s="1350" t="str">
        <f t="shared" si="6"/>
        <v>居住社区成熟度</v>
      </c>
      <c r="R15" s="705" t="s">
        <v>18</v>
      </c>
      <c r="S15" s="706">
        <f t="shared" si="0"/>
        <v>100</v>
      </c>
      <c r="T15" s="705" t="s">
        <v>18</v>
      </c>
      <c r="U15" s="706">
        <f t="shared" si="1"/>
        <v>100</v>
      </c>
      <c r="V15" s="705" t="s">
        <v>18</v>
      </c>
      <c r="W15" s="706">
        <f t="shared" si="2"/>
        <v>100</v>
      </c>
      <c r="X15" s="1353"/>
      <c r="Y15" s="3805"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7"/>
      <c r="M16" s="2711"/>
      <c r="N16" s="2711"/>
      <c r="O16" s="2711"/>
      <c r="P16" s="3813"/>
      <c r="Q16" s="1350"/>
      <c r="R16" s="705"/>
      <c r="S16" s="706"/>
      <c r="T16" s="705"/>
      <c r="U16" s="706"/>
      <c r="V16" s="705"/>
      <c r="W16" s="706"/>
      <c r="X16" s="1353"/>
      <c r="Y16" s="3806"/>
      <c r="Z16" s="1354"/>
      <c r="AA16" s="1351">
        <v>1</v>
      </c>
      <c r="AB16" s="1351">
        <v>1</v>
      </c>
      <c r="AC16" s="1351">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813"/>
      <c r="Q17" s="1350" t="str">
        <f>B17</f>
        <v>交通便捷度</v>
      </c>
      <c r="R17" s="705" t="s">
        <v>18</v>
      </c>
      <c r="S17" s="706">
        <f>F17</f>
        <v>100</v>
      </c>
      <c r="T17" s="705" t="s">
        <v>18</v>
      </c>
      <c r="U17" s="706">
        <f>H17</f>
        <v>100</v>
      </c>
      <c r="V17" s="705" t="s">
        <v>18</v>
      </c>
      <c r="W17" s="706">
        <f>J17</f>
        <v>100</v>
      </c>
      <c r="X17" s="1353"/>
      <c r="Y17" s="380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7"/>
      <c r="M18" s="2711"/>
      <c r="N18" s="2711"/>
      <c r="O18" s="2711"/>
      <c r="P18" s="3813"/>
      <c r="Q18" s="1350"/>
      <c r="R18" s="705"/>
      <c r="S18" s="706"/>
      <c r="T18" s="705"/>
      <c r="U18" s="706"/>
      <c r="V18" s="705"/>
      <c r="W18" s="706"/>
      <c r="X18" s="1353"/>
      <c r="Y18" s="3806"/>
      <c r="Z18" s="1354"/>
      <c r="AA18" s="1351">
        <v>1</v>
      </c>
      <c r="AB18" s="1351">
        <v>1</v>
      </c>
      <c r="AC18" s="1351">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813"/>
      <c r="Q19" s="1350" t="str">
        <f>B19</f>
        <v>公共配套设施</v>
      </c>
      <c r="R19" s="705" t="s">
        <v>18</v>
      </c>
      <c r="S19" s="706">
        <f>F19</f>
        <v>100</v>
      </c>
      <c r="T19" s="705" t="s">
        <v>18</v>
      </c>
      <c r="U19" s="706">
        <f>H19</f>
        <v>100</v>
      </c>
      <c r="V19" s="705" t="s">
        <v>18</v>
      </c>
      <c r="W19" s="706">
        <f>J19</f>
        <v>100</v>
      </c>
      <c r="X19" s="1353"/>
      <c r="Y19" s="380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7"/>
      <c r="M20" s="2711"/>
      <c r="N20" s="2711"/>
      <c r="O20" s="2711"/>
      <c r="P20" s="3813"/>
      <c r="Q20" s="1350"/>
      <c r="R20" s="705"/>
      <c r="S20" s="706"/>
      <c r="T20" s="705"/>
      <c r="U20" s="706"/>
      <c r="V20" s="705"/>
      <c r="W20" s="706"/>
      <c r="X20" s="1353"/>
      <c r="Y20" s="3806"/>
      <c r="Z20" s="1354"/>
      <c r="AA20" s="1351">
        <v>1</v>
      </c>
      <c r="AB20" s="1351">
        <v>1</v>
      </c>
      <c r="AC20" s="1351">
        <v>1</v>
      </c>
    </row>
    <row r="21" spans="1:29" ht="28.5">
      <c r="A21" s="379"/>
      <c r="B21" s="1129"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813"/>
      <c r="Q21" s="1350" t="str">
        <f>B21</f>
        <v>基础设施水平</v>
      </c>
      <c r="R21" s="705" t="s">
        <v>14</v>
      </c>
      <c r="S21" s="706">
        <f>F21</f>
        <v>100</v>
      </c>
      <c r="T21" s="705" t="s">
        <v>14</v>
      </c>
      <c r="U21" s="706">
        <f>H21</f>
        <v>100</v>
      </c>
      <c r="V21" s="705" t="s">
        <v>14</v>
      </c>
      <c r="W21" s="706">
        <f>J21</f>
        <v>100</v>
      </c>
      <c r="X21" s="1353"/>
      <c r="Y21" s="38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7"/>
      <c r="M22" s="2711"/>
      <c r="N22" s="2711"/>
      <c r="O22" s="2711"/>
      <c r="P22" s="3813"/>
      <c r="Q22" s="1350"/>
      <c r="R22" s="705"/>
      <c r="S22" s="706"/>
      <c r="T22" s="705"/>
      <c r="U22" s="706"/>
      <c r="V22" s="705"/>
      <c r="W22" s="706"/>
      <c r="X22" s="1353"/>
      <c r="Y22" s="3806"/>
      <c r="Z22" s="1354"/>
      <c r="AA22" s="1351">
        <v>1</v>
      </c>
      <c r="AB22" s="1351">
        <v>1</v>
      </c>
      <c r="AC22" s="1351">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813"/>
      <c r="Q23" s="1350" t="str">
        <f>B23</f>
        <v>自然及人文环境</v>
      </c>
      <c r="R23" s="705" t="s">
        <v>18</v>
      </c>
      <c r="S23" s="706">
        <f>F23</f>
        <v>100</v>
      </c>
      <c r="T23" s="705" t="s">
        <v>18</v>
      </c>
      <c r="U23" s="706">
        <f>H23</f>
        <v>100</v>
      </c>
      <c r="V23" s="705" t="s">
        <v>18</v>
      </c>
      <c r="W23" s="706">
        <f>J23</f>
        <v>100</v>
      </c>
      <c r="X23" s="1353"/>
      <c r="Y23" s="380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7"/>
      <c r="M24" s="2711"/>
      <c r="N24" s="2711"/>
      <c r="O24" s="2711"/>
      <c r="P24" s="3813"/>
      <c r="Q24" s="1350"/>
      <c r="R24" s="705"/>
      <c r="S24" s="706"/>
      <c r="T24" s="705"/>
      <c r="U24" s="706"/>
      <c r="V24" s="705"/>
      <c r="W24" s="706"/>
      <c r="X24" s="1353"/>
      <c r="Y24" s="3806"/>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813"/>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806"/>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813"/>
      <c r="Q26" s="1350" t="str">
        <f t="shared" si="11"/>
        <v>朝向</v>
      </c>
      <c r="R26" s="705" t="s">
        <v>18</v>
      </c>
      <c r="S26" s="706">
        <f t="shared" si="12"/>
        <v>100</v>
      </c>
      <c r="T26" s="705" t="s">
        <v>18</v>
      </c>
      <c r="U26" s="706">
        <f t="shared" si="13"/>
        <v>100</v>
      </c>
      <c r="V26" s="705" t="s">
        <v>18</v>
      </c>
      <c r="W26" s="706">
        <f t="shared" si="14"/>
        <v>100</v>
      </c>
      <c r="X26" s="1353"/>
      <c r="Y26" s="380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813"/>
      <c r="Q27" s="1341">
        <f t="shared" si="11"/>
        <v>111</v>
      </c>
      <c r="R27" s="701" t="s">
        <v>18</v>
      </c>
      <c r="S27" s="702">
        <f t="shared" si="12"/>
        <v>100</v>
      </c>
      <c r="T27" s="701" t="s">
        <v>18</v>
      </c>
      <c r="U27" s="702">
        <f t="shared" si="13"/>
        <v>100</v>
      </c>
      <c r="V27" s="701" t="s">
        <v>18</v>
      </c>
      <c r="W27" s="702">
        <f t="shared" si="14"/>
        <v>100</v>
      </c>
      <c r="X27" s="703"/>
      <c r="Y27" s="380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813"/>
      <c r="Q28" s="1350">
        <f t="shared" si="11"/>
        <v>111</v>
      </c>
      <c r="R28" s="705" t="s">
        <v>18</v>
      </c>
      <c r="S28" s="706">
        <f t="shared" si="12"/>
        <v>100</v>
      </c>
      <c r="T28" s="705" t="s">
        <v>18</v>
      </c>
      <c r="U28" s="706">
        <f t="shared" si="13"/>
        <v>100</v>
      </c>
      <c r="V28" s="705" t="s">
        <v>18</v>
      </c>
      <c r="W28" s="706">
        <f t="shared" si="14"/>
        <v>100</v>
      </c>
      <c r="X28" s="1353"/>
      <c r="Y28" s="380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813"/>
      <c r="Q29" s="1350">
        <f t="shared" si="11"/>
        <v>111</v>
      </c>
      <c r="R29" s="705" t="s">
        <v>18</v>
      </c>
      <c r="S29" s="706">
        <f t="shared" si="12"/>
        <v>100</v>
      </c>
      <c r="T29" s="705" t="s">
        <v>18</v>
      </c>
      <c r="U29" s="706">
        <f t="shared" si="13"/>
        <v>100</v>
      </c>
      <c r="V29" s="705" t="s">
        <v>18</v>
      </c>
      <c r="W29" s="706">
        <f t="shared" si="14"/>
        <v>100</v>
      </c>
      <c r="X29" s="1353"/>
      <c r="Y29" s="380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813"/>
      <c r="Q30" s="1350">
        <f t="shared" si="11"/>
        <v>111</v>
      </c>
      <c r="R30" s="705" t="s">
        <v>18</v>
      </c>
      <c r="S30" s="706">
        <f t="shared" si="12"/>
        <v>100</v>
      </c>
      <c r="T30" s="705" t="s">
        <v>18</v>
      </c>
      <c r="U30" s="706">
        <f t="shared" si="13"/>
        <v>100</v>
      </c>
      <c r="V30" s="705" t="s">
        <v>18</v>
      </c>
      <c r="W30" s="706">
        <f t="shared" si="14"/>
        <v>100</v>
      </c>
      <c r="X30" s="1353"/>
      <c r="Y30" s="380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813"/>
      <c r="Q31" s="1350">
        <f t="shared" si="11"/>
        <v>111</v>
      </c>
      <c r="R31" s="705" t="s">
        <v>18</v>
      </c>
      <c r="S31" s="706">
        <f t="shared" si="12"/>
        <v>100</v>
      </c>
      <c r="T31" s="705" t="s">
        <v>18</v>
      </c>
      <c r="U31" s="706">
        <f t="shared" si="13"/>
        <v>100</v>
      </c>
      <c r="V31" s="705" t="s">
        <v>18</v>
      </c>
      <c r="W31" s="706">
        <f t="shared" si="14"/>
        <v>100</v>
      </c>
      <c r="X31" s="1353"/>
      <c r="Y31" s="3806"/>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7"/>
      <c r="M32" s="2711"/>
      <c r="N32" s="2711"/>
      <c r="O32" s="2711"/>
      <c r="P32" s="3807" t="s">
        <v>1695</v>
      </c>
      <c r="Q32" s="1350" t="str">
        <f t="shared" si="11"/>
        <v>建筑类型</v>
      </c>
      <c r="R32" s="705" t="s">
        <v>18</v>
      </c>
      <c r="S32" s="706">
        <f t="shared" si="12"/>
        <v>100</v>
      </c>
      <c r="T32" s="705" t="s">
        <v>18</v>
      </c>
      <c r="U32" s="706">
        <f t="shared" si="13"/>
        <v>100</v>
      </c>
      <c r="V32" s="705" t="s">
        <v>18</v>
      </c>
      <c r="W32" s="706">
        <f t="shared" si="14"/>
        <v>100</v>
      </c>
      <c r="X32" s="1353"/>
      <c r="Y32" s="3810"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6"/>
      <c r="M33" s="2718"/>
      <c r="N33" s="2718"/>
      <c r="O33" s="2718"/>
      <c r="P33" s="3808"/>
      <c r="Q33" s="707" t="str">
        <f t="shared" si="11"/>
        <v>项目建筑规模</v>
      </c>
      <c r="R33" s="708" t="s">
        <v>18</v>
      </c>
      <c r="S33" s="709" t="e">
        <f t="shared" si="12"/>
        <v>#N/A</v>
      </c>
      <c r="T33" s="708" t="s">
        <v>18</v>
      </c>
      <c r="U33" s="709" t="e">
        <f t="shared" si="13"/>
        <v>#N/A</v>
      </c>
      <c r="V33" s="708" t="s">
        <v>18</v>
      </c>
      <c r="W33" s="709" t="e">
        <f t="shared" si="14"/>
        <v>#N/A</v>
      </c>
      <c r="X33" s="710"/>
      <c r="Y33" s="3810"/>
      <c r="Z33" s="711"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7"/>
      <c r="M34" s="2711"/>
      <c r="N34" s="2711"/>
      <c r="O34" s="2711"/>
      <c r="P34" s="3808"/>
      <c r="Q34" s="1350" t="str">
        <f t="shared" si="11"/>
        <v>建筑结构</v>
      </c>
      <c r="R34" s="705" t="s">
        <v>18</v>
      </c>
      <c r="S34" s="706">
        <f t="shared" si="12"/>
        <v>100</v>
      </c>
      <c r="T34" s="705" t="s">
        <v>18</v>
      </c>
      <c r="U34" s="706">
        <f t="shared" si="13"/>
        <v>100</v>
      </c>
      <c r="V34" s="705" t="s">
        <v>18</v>
      </c>
      <c r="W34" s="706">
        <f t="shared" si="14"/>
        <v>100</v>
      </c>
      <c r="X34" s="1353"/>
      <c r="Y34" s="3810"/>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7"/>
      <c r="M35" s="2711"/>
      <c r="N35" s="2711"/>
      <c r="O35" s="2711"/>
      <c r="P35" s="3808"/>
      <c r="Q35" s="1350" t="str">
        <f t="shared" si="11"/>
        <v>建筑品质</v>
      </c>
      <c r="R35" s="705" t="s">
        <v>18</v>
      </c>
      <c r="S35" s="706">
        <f t="shared" si="12"/>
        <v>100</v>
      </c>
      <c r="T35" s="705" t="s">
        <v>18</v>
      </c>
      <c r="U35" s="706">
        <f t="shared" si="13"/>
        <v>100</v>
      </c>
      <c r="V35" s="705" t="s">
        <v>18</v>
      </c>
      <c r="W35" s="706">
        <f t="shared" si="14"/>
        <v>100</v>
      </c>
      <c r="X35" s="1353"/>
      <c r="Y35" s="3810"/>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808"/>
      <c r="Q36" s="1350" t="str">
        <f t="shared" si="11"/>
        <v>公共部分装修</v>
      </c>
      <c r="R36" s="705" t="s">
        <v>18</v>
      </c>
      <c r="S36" s="706">
        <f t="shared" si="12"/>
        <v>100</v>
      </c>
      <c r="T36" s="705" t="s">
        <v>18</v>
      </c>
      <c r="U36" s="706">
        <f t="shared" si="13"/>
        <v>100</v>
      </c>
      <c r="V36" s="705" t="s">
        <v>18</v>
      </c>
      <c r="W36" s="706">
        <f t="shared" si="14"/>
        <v>100</v>
      </c>
      <c r="X36" s="1353"/>
      <c r="Y36" s="3810"/>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808"/>
      <c r="Q37" s="1341" t="str">
        <f t="shared" si="11"/>
        <v>成新度</v>
      </c>
      <c r="R37" s="701" t="s">
        <v>18</v>
      </c>
      <c r="S37" s="702" t="e">
        <f t="shared" si="12"/>
        <v>#N/A</v>
      </c>
      <c r="T37" s="701" t="s">
        <v>18</v>
      </c>
      <c r="U37" s="702" t="e">
        <f t="shared" si="13"/>
        <v>#N/A</v>
      </c>
      <c r="V37" s="701" t="s">
        <v>18</v>
      </c>
      <c r="W37" s="702" t="e">
        <f t="shared" si="14"/>
        <v>#N/A</v>
      </c>
      <c r="X37" s="703"/>
      <c r="Y37" s="3810"/>
      <c r="Z37" s="52" t="str">
        <f t="shared" si="18"/>
        <v>成新度</v>
      </c>
      <c r="AA37" s="704" t="e">
        <f t="shared" si="15"/>
        <v>#N/A</v>
      </c>
      <c r="AB37" s="704" t="e">
        <f t="shared" si="16"/>
        <v>#N/A</v>
      </c>
      <c r="AC37" s="704"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7"/>
      <c r="M38" s="2711"/>
      <c r="N38" s="2711"/>
      <c r="O38" s="2711"/>
      <c r="P38" s="3808" t="s">
        <v>1695</v>
      </c>
      <c r="Q38" s="1350" t="str">
        <f t="shared" si="11"/>
        <v>物业管理</v>
      </c>
      <c r="R38" s="705" t="s">
        <v>18</v>
      </c>
      <c r="S38" s="706">
        <f t="shared" si="12"/>
        <v>100</v>
      </c>
      <c r="T38" s="705" t="s">
        <v>18</v>
      </c>
      <c r="U38" s="706">
        <f t="shared" si="13"/>
        <v>100</v>
      </c>
      <c r="V38" s="705" t="s">
        <v>18</v>
      </c>
      <c r="W38" s="706">
        <f t="shared" si="14"/>
        <v>100</v>
      </c>
      <c r="X38" s="1353"/>
      <c r="Y38" s="3810"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7"/>
      <c r="M39" s="2711"/>
      <c r="N39" s="2711"/>
      <c r="O39" s="2711"/>
      <c r="P39" s="3808"/>
      <c r="Q39" s="1350" t="str">
        <f t="shared" si="11"/>
        <v>市政基础设施</v>
      </c>
      <c r="R39" s="705" t="s">
        <v>18</v>
      </c>
      <c r="S39" s="706">
        <f t="shared" si="12"/>
        <v>100</v>
      </c>
      <c r="T39" s="705" t="s">
        <v>18</v>
      </c>
      <c r="U39" s="706">
        <f t="shared" si="13"/>
        <v>100</v>
      </c>
      <c r="V39" s="705" t="s">
        <v>18</v>
      </c>
      <c r="W39" s="706">
        <f t="shared" si="14"/>
        <v>100</v>
      </c>
      <c r="X39" s="1353"/>
      <c r="Y39" s="3810"/>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808"/>
      <c r="Q40" s="1350" t="str">
        <f t="shared" si="11"/>
        <v>房型</v>
      </c>
      <c r="R40" s="705" t="s">
        <v>18</v>
      </c>
      <c r="S40" s="706">
        <f t="shared" si="12"/>
        <v>100</v>
      </c>
      <c r="T40" s="705" t="s">
        <v>18</v>
      </c>
      <c r="U40" s="706">
        <f t="shared" si="13"/>
        <v>100</v>
      </c>
      <c r="V40" s="705" t="s">
        <v>18</v>
      </c>
      <c r="W40" s="706">
        <f t="shared" si="14"/>
        <v>100</v>
      </c>
      <c r="X40" s="1353"/>
      <c r="Y40" s="3810"/>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808"/>
      <c r="Q41" s="707" t="str">
        <f t="shared" si="11"/>
        <v>单套/主力户型建筑面积</v>
      </c>
      <c r="R41" s="708" t="s">
        <v>18</v>
      </c>
      <c r="S41" s="709">
        <f t="shared" si="12"/>
        <v>100</v>
      </c>
      <c r="T41" s="708" t="s">
        <v>18</v>
      </c>
      <c r="U41" s="709">
        <f t="shared" si="13"/>
        <v>100</v>
      </c>
      <c r="V41" s="708" t="s">
        <v>18</v>
      </c>
      <c r="W41" s="709">
        <f t="shared" si="14"/>
        <v>100</v>
      </c>
      <c r="X41" s="710"/>
      <c r="Y41" s="3810"/>
      <c r="Z41" s="711"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7"/>
      <c r="M42" s="2711"/>
      <c r="N42" s="2711"/>
      <c r="O42" s="2711"/>
      <c r="P42" s="3808"/>
      <c r="Q42" s="1350" t="str">
        <f t="shared" si="11"/>
        <v>内部装修</v>
      </c>
      <c r="R42" s="705" t="s">
        <v>18</v>
      </c>
      <c r="S42" s="706">
        <f t="shared" si="12"/>
        <v>100</v>
      </c>
      <c r="T42" s="705" t="s">
        <v>18</v>
      </c>
      <c r="U42" s="706">
        <f t="shared" si="13"/>
        <v>100</v>
      </c>
      <c r="V42" s="705" t="s">
        <v>18</v>
      </c>
      <c r="W42" s="706">
        <f t="shared" si="14"/>
        <v>100</v>
      </c>
      <c r="X42" s="1353"/>
      <c r="Y42" s="3810"/>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7"/>
      <c r="M43" s="2711"/>
      <c r="N43" s="2711"/>
      <c r="O43" s="2711"/>
      <c r="P43" s="3808"/>
      <c r="Q43" s="1350" t="str">
        <f t="shared" si="11"/>
        <v>内部装修维护情况</v>
      </c>
      <c r="R43" s="705" t="s">
        <v>18</v>
      </c>
      <c r="S43" s="706">
        <f t="shared" si="12"/>
        <v>100</v>
      </c>
      <c r="T43" s="705" t="s">
        <v>18</v>
      </c>
      <c r="U43" s="706">
        <f t="shared" si="13"/>
        <v>100</v>
      </c>
      <c r="V43" s="705" t="s">
        <v>18</v>
      </c>
      <c r="W43" s="706">
        <f t="shared" si="14"/>
        <v>100</v>
      </c>
      <c r="X43" s="1353"/>
      <c r="Y43" s="381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2"/>
      <c r="M44" s="2713"/>
      <c r="N44" s="2713"/>
      <c r="O44" s="2713"/>
      <c r="P44" s="3808"/>
      <c r="Q44" s="1341">
        <f t="shared" si="11"/>
        <v>111</v>
      </c>
      <c r="R44" s="701" t="s">
        <v>18</v>
      </c>
      <c r="S44" s="702">
        <f t="shared" si="12"/>
        <v>100</v>
      </c>
      <c r="T44" s="701" t="s">
        <v>18</v>
      </c>
      <c r="U44" s="702">
        <f t="shared" si="13"/>
        <v>100</v>
      </c>
      <c r="V44" s="701" t="s">
        <v>18</v>
      </c>
      <c r="W44" s="702">
        <f t="shared" si="14"/>
        <v>100</v>
      </c>
      <c r="X44" s="703"/>
      <c r="Y44" s="3810"/>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808"/>
      <c r="Q45" s="1350">
        <f t="shared" si="11"/>
        <v>111</v>
      </c>
      <c r="R45" s="705" t="s">
        <v>18</v>
      </c>
      <c r="S45" s="706">
        <f t="shared" si="12"/>
        <v>100</v>
      </c>
      <c r="T45" s="705" t="s">
        <v>18</v>
      </c>
      <c r="U45" s="706">
        <f t="shared" si="13"/>
        <v>100</v>
      </c>
      <c r="V45" s="705" t="s">
        <v>18</v>
      </c>
      <c r="W45" s="706">
        <f t="shared" si="14"/>
        <v>100</v>
      </c>
      <c r="X45" s="1353"/>
      <c r="Y45" s="381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809"/>
      <c r="Q46" s="1350">
        <f t="shared" si="11"/>
        <v>111</v>
      </c>
      <c r="R46" s="705" t="s">
        <v>17</v>
      </c>
      <c r="S46" s="706">
        <f t="shared" si="12"/>
        <v>100</v>
      </c>
      <c r="T46" s="705" t="s">
        <v>17</v>
      </c>
      <c r="U46" s="706">
        <f t="shared" si="13"/>
        <v>100</v>
      </c>
      <c r="V46" s="705" t="s">
        <v>17</v>
      </c>
      <c r="W46" s="706">
        <f t="shared" si="14"/>
        <v>100</v>
      </c>
      <c r="X46" s="1353"/>
      <c r="Y46" s="3811"/>
      <c r="Z46" s="1354">
        <f t="shared" si="18"/>
        <v>111</v>
      </c>
      <c r="AA46" s="1351">
        <f t="shared" si="15"/>
        <v>1</v>
      </c>
      <c r="AB46" s="1351">
        <f t="shared" si="16"/>
        <v>1</v>
      </c>
      <c r="AC46" s="1351">
        <f t="shared" si="17"/>
        <v>1</v>
      </c>
    </row>
    <row r="47" spans="1:29" ht="15">
      <c r="A47" s="430" t="s">
        <v>1707</v>
      </c>
      <c r="B47" s="431"/>
      <c r="C47" s="1152" t="s">
        <v>16</v>
      </c>
      <c r="D47" s="1153"/>
      <c r="E47" s="1154"/>
      <c r="F47" s="1155"/>
      <c r="G47" s="1156"/>
      <c r="H47" s="1157"/>
      <c r="I47" s="1154"/>
      <c r="J47" s="1157"/>
      <c r="K47" s="1912"/>
      <c r="L47" s="2719"/>
      <c r="M47" s="2720"/>
      <c r="N47" s="2711"/>
      <c r="O47" s="2720"/>
      <c r="P47" s="3803" t="str">
        <f>A47</f>
        <v>成交单价（元/平方米）</v>
      </c>
      <c r="Q47" s="3803"/>
      <c r="R47" s="3804">
        <f>E47</f>
        <v>0</v>
      </c>
      <c r="S47" s="3804"/>
      <c r="T47" s="3804">
        <f>G47</f>
        <v>0</v>
      </c>
      <c r="U47" s="3804"/>
      <c r="V47" s="3804">
        <f>I47</f>
        <v>0</v>
      </c>
      <c r="W47" s="3804"/>
      <c r="X47" s="690"/>
      <c r="Y47" s="712"/>
      <c r="Z47" s="690"/>
      <c r="AA47" s="690"/>
      <c r="AB47" s="690"/>
      <c r="AC47" s="690"/>
    </row>
    <row r="48" spans="1:29" ht="15.75" thickBot="1">
      <c r="A48" s="437" t="s">
        <v>1708</v>
      </c>
      <c r="B48" s="438"/>
      <c r="C48" s="1158" t="e">
        <f>R49</f>
        <v>#DIV/0!</v>
      </c>
      <c r="D48" s="2315" t="s">
        <v>2137</v>
      </c>
      <c r="E48" s="1159" t="e">
        <f>R48</f>
        <v>#DIV/0!</v>
      </c>
      <c r="F48" s="2316"/>
      <c r="G48" s="1158" t="e">
        <f>T48</f>
        <v>#DIV/0!</v>
      </c>
      <c r="H48" s="2316"/>
      <c r="I48" s="1159" t="e">
        <f>V48</f>
        <v>#DIV/0!</v>
      </c>
      <c r="J48" s="2316"/>
      <c r="K48" s="2317">
        <f>F48+H48+J48</f>
        <v>0</v>
      </c>
      <c r="L48" s="2719"/>
      <c r="M48" s="2720"/>
      <c r="N48" s="2720"/>
      <c r="O48" s="2720"/>
      <c r="P48" s="3803" t="str">
        <f>A48</f>
        <v>比较价值（元/平方米）</v>
      </c>
      <c r="Q48" s="3803"/>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690"/>
      <c r="Y48" s="690"/>
      <c r="Z48" s="690"/>
      <c r="AA48" s="690"/>
      <c r="AB48" s="690"/>
      <c r="AC48" s="690"/>
    </row>
    <row r="49" spans="1:29" ht="15.75" thickBot="1">
      <c r="A49" s="441" t="s">
        <v>1709</v>
      </c>
      <c r="B49" s="442"/>
      <c r="C49" s="1160" t="e">
        <f>R49</f>
        <v>#DIV/0!</v>
      </c>
      <c r="D49" s="1161"/>
      <c r="E49" s="1161"/>
      <c r="F49" s="1161"/>
      <c r="G49" s="1161"/>
      <c r="H49" s="1161"/>
      <c r="I49" s="1161"/>
      <c r="J49" s="1161"/>
      <c r="K49" s="1913"/>
      <c r="L49" s="2719"/>
      <c r="M49" s="2720"/>
      <c r="N49" s="2720"/>
      <c r="O49" s="2720"/>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6"/>
      <c r="Q57" s="453"/>
    </row>
    <row r="58" spans="1:29" s="457" customFormat="1" ht="15">
      <c r="A58" s="454" t="s">
        <v>1714</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1718</v>
      </c>
      <c r="B63" s="477" t="s">
        <v>1684</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1687</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7"/>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1733</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1734</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1693</v>
      </c>
      <c r="B100" s="477" t="s">
        <v>1735</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1737</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1738</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1739</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1740</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1741</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1742</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1743</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7">
        <v>6</v>
      </c>
      <c r="C139" s="868">
        <v>96</v>
      </c>
      <c r="D139" s="1938" t="s">
        <v>1754</v>
      </c>
      <c r="E139" s="869">
        <v>100</v>
      </c>
      <c r="F139" s="870">
        <v>102.5</v>
      </c>
      <c r="G139" s="1938" t="s">
        <v>1754</v>
      </c>
      <c r="H139" s="871">
        <v>105</v>
      </c>
      <c r="I139" s="1939" t="s">
        <v>1755</v>
      </c>
      <c r="J139" s="868">
        <v>20</v>
      </c>
      <c r="K139" s="872">
        <f>C145/(J139-2)</f>
        <v>4.0555555555555553E-3</v>
      </c>
    </row>
    <row r="140" spans="1:17" ht="15">
      <c r="B140" s="873">
        <v>5</v>
      </c>
      <c r="C140" s="874">
        <v>100</v>
      </c>
      <c r="D140" s="874"/>
      <c r="E140" s="875"/>
      <c r="F140" s="876">
        <v>102</v>
      </c>
      <c r="G140" s="874"/>
      <c r="H140" s="877"/>
      <c r="I140" s="1940" t="s">
        <v>1756</v>
      </c>
      <c r="J140" s="271">
        <f>ROUNDUP((J139-1)/2,0)</f>
        <v>10</v>
      </c>
      <c r="K140" s="878">
        <v>100</v>
      </c>
    </row>
    <row r="141" spans="1:17" ht="15">
      <c r="B141" s="873">
        <v>4</v>
      </c>
      <c r="C141" s="874">
        <v>102</v>
      </c>
      <c r="D141" s="874"/>
      <c r="E141" s="875"/>
      <c r="F141" s="876">
        <v>101.5</v>
      </c>
      <c r="G141" s="874"/>
      <c r="H141" s="877"/>
      <c r="I141" s="1940" t="s">
        <v>1757</v>
      </c>
      <c r="J141" s="271">
        <v>1</v>
      </c>
      <c r="K141" s="879">
        <f>ROUND(100+(J141-J140)*K139*100,1)</f>
        <v>96.4</v>
      </c>
    </row>
    <row r="142" spans="1:17" ht="15">
      <c r="B142" s="873">
        <v>3</v>
      </c>
      <c r="C142" s="874">
        <v>103</v>
      </c>
      <c r="D142" s="874"/>
      <c r="E142" s="875"/>
      <c r="F142" s="876">
        <v>101</v>
      </c>
      <c r="G142" s="874"/>
      <c r="H142" s="877"/>
      <c r="I142" s="1940" t="s">
        <v>1758</v>
      </c>
      <c r="J142" s="271">
        <f>J139</f>
        <v>20</v>
      </c>
      <c r="K142" s="880">
        <v>95</v>
      </c>
    </row>
    <row r="143" spans="1:17" ht="15">
      <c r="B143" s="873">
        <v>2</v>
      </c>
      <c r="C143" s="874">
        <v>100</v>
      </c>
      <c r="D143" s="874"/>
      <c r="E143" s="875"/>
      <c r="F143" s="876">
        <v>100.5</v>
      </c>
      <c r="G143" s="874"/>
      <c r="H143" s="877"/>
      <c r="I143" s="1940" t="s">
        <v>1759</v>
      </c>
      <c r="J143" s="874">
        <v>15</v>
      </c>
      <c r="K143" s="879">
        <f>ROUND(100+(J143-J140)*K139*100,1)</f>
        <v>102</v>
      </c>
    </row>
    <row r="144" spans="1:17" ht="15">
      <c r="B144" s="873">
        <v>1</v>
      </c>
      <c r="C144" s="874">
        <v>98</v>
      </c>
      <c r="D144" s="1941" t="s">
        <v>1760</v>
      </c>
      <c r="E144" s="875">
        <v>102</v>
      </c>
      <c r="F144" s="881">
        <v>100</v>
      </c>
      <c r="G144" s="1941" t="s">
        <v>1760</v>
      </c>
      <c r="H144" s="877">
        <v>105</v>
      </c>
      <c r="I144" s="1940" t="s">
        <v>1759</v>
      </c>
      <c r="J144" s="874">
        <v>18</v>
      </c>
      <c r="K144" s="879">
        <f>ROUND(100+(J144-J140)*K139*100,1)</f>
        <v>103.2</v>
      </c>
    </row>
    <row r="145" spans="2:11" ht="15.75" thickBot="1">
      <c r="B145" s="1942" t="s">
        <v>1761</v>
      </c>
      <c r="C145" s="882">
        <f>ROUND(MAX(C139:C144)/MIN(C139:C144)-1,3)</f>
        <v>7.2999999999999995E-2</v>
      </c>
      <c r="D145" s="883"/>
      <c r="E145" s="883"/>
      <c r="F145" s="1943" t="s">
        <v>1762</v>
      </c>
      <c r="G145" s="1944"/>
      <c r="H145" s="1945"/>
      <c r="I145" s="1946" t="s">
        <v>1759</v>
      </c>
      <c r="J145" s="884">
        <v>8</v>
      </c>
      <c r="K145" s="885">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c r="E1" s="3423"/>
      <c r="F1" s="1877"/>
      <c r="G1" s="1233" t="s">
        <v>1766</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1461</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1462</v>
      </c>
      <c r="F2" s="1881"/>
      <c r="G2" s="908"/>
      <c r="H2" s="908"/>
      <c r="I2" s="908"/>
      <c r="J2" s="908"/>
      <c r="K2" s="908"/>
      <c r="L2" s="2729"/>
      <c r="M2" s="2730"/>
      <c r="N2" s="2730"/>
      <c r="O2" s="2730"/>
      <c r="P2" s="1950"/>
      <c r="Q2" s="912"/>
      <c r="R2" s="912"/>
      <c r="S2" s="912"/>
      <c r="T2" s="912"/>
      <c r="U2" s="912"/>
      <c r="V2" s="912"/>
      <c r="W2" s="912"/>
      <c r="X2" s="912"/>
      <c r="Y2" s="912"/>
      <c r="Z2" s="912"/>
      <c r="AA2" s="912"/>
      <c r="AB2" s="912"/>
      <c r="AC2" s="1951"/>
    </row>
    <row r="3" spans="1:29" s="352" customFormat="1" ht="28.5" customHeight="1" thickBot="1">
      <c r="A3" s="203" t="s">
        <v>1463</v>
      </c>
      <c r="B3" s="558">
        <f>IF(C2="——",C49,ROUND(B2*10000/D3,0))</f>
        <v>0</v>
      </c>
      <c r="C3" s="354" t="s">
        <v>1767</v>
      </c>
      <c r="D3" s="353">
        <f>IF(D1="",'数据-汇总表'!E3,SUMIF('数据-汇总表'!$C19:$C33,D1,'数据-汇总表'!$E19:$E33))</f>
        <v>59427.91</v>
      </c>
      <c r="E3" s="1952"/>
      <c r="F3" s="909"/>
      <c r="G3" s="908"/>
      <c r="H3" s="908"/>
      <c r="I3" s="908"/>
      <c r="J3" s="908"/>
      <c r="K3" s="910"/>
      <c r="L3" s="2729"/>
      <c r="M3" s="2730"/>
      <c r="N3" s="2730"/>
      <c r="O3" s="2730"/>
      <c r="P3" s="1950"/>
      <c r="Q3" s="912"/>
      <c r="R3" s="912"/>
      <c r="S3" s="912"/>
      <c r="T3" s="912"/>
      <c r="U3" s="912"/>
      <c r="V3" s="912"/>
      <c r="W3" s="912"/>
      <c r="X3" s="912"/>
      <c r="Y3" s="912"/>
      <c r="Z3" s="912"/>
      <c r="AA3" s="912"/>
      <c r="AB3" s="912"/>
      <c r="AC3" s="1952"/>
    </row>
    <row r="4" spans="1:29" ht="15">
      <c r="A4" s="355" t="s">
        <v>1768</v>
      </c>
      <c r="B4" s="356"/>
      <c r="C4" s="3786" t="s">
        <v>1769</v>
      </c>
      <c r="D4" s="3787"/>
      <c r="E4" s="3788" t="s">
        <v>1770</v>
      </c>
      <c r="F4" s="3789"/>
      <c r="G4" s="3786" t="s">
        <v>1771</v>
      </c>
      <c r="H4" s="3787"/>
      <c r="I4" s="3786" t="s">
        <v>1772</v>
      </c>
      <c r="J4" s="3787"/>
      <c r="K4" s="559" t="s">
        <v>1773</v>
      </c>
      <c r="L4" s="2710"/>
      <c r="M4" s="2711"/>
      <c r="N4" s="2711"/>
      <c r="O4" s="2711"/>
      <c r="P4" s="3790" t="s">
        <v>1774</v>
      </c>
      <c r="Q4" s="3791"/>
      <c r="R4" s="3773" t="s">
        <v>1770</v>
      </c>
      <c r="S4" s="3774"/>
      <c r="T4" s="3773" t="s">
        <v>1771</v>
      </c>
      <c r="U4" s="3774"/>
      <c r="V4" s="3798" t="s">
        <v>1772</v>
      </c>
      <c r="W4" s="3798"/>
      <c r="X4" s="1353"/>
      <c r="Y4" s="3773" t="s">
        <v>1774</v>
      </c>
      <c r="Z4" s="3774"/>
      <c r="AA4" s="3768" t="s">
        <v>1770</v>
      </c>
      <c r="AB4" s="3798" t="s">
        <v>1771</v>
      </c>
      <c r="AC4" s="3768" t="s">
        <v>1772</v>
      </c>
    </row>
    <row r="5" spans="1:29" ht="15">
      <c r="A5" s="358"/>
      <c r="B5" s="359"/>
      <c r="C5" s="3779" t="s">
        <v>1672</v>
      </c>
      <c r="D5" s="3780"/>
      <c r="E5" s="3777" t="s">
        <v>1673</v>
      </c>
      <c r="F5" s="3778"/>
      <c r="G5" s="3779" t="s">
        <v>1674</v>
      </c>
      <c r="H5" s="3780"/>
      <c r="I5" s="3779" t="s">
        <v>1675</v>
      </c>
      <c r="J5" s="3780"/>
      <c r="K5" s="559"/>
      <c r="L5" s="2710"/>
      <c r="M5" s="2711"/>
      <c r="N5" s="2711"/>
      <c r="O5" s="2711"/>
      <c r="P5" s="3792"/>
      <c r="Q5" s="3793"/>
      <c r="R5" s="3775"/>
      <c r="S5" s="3776"/>
      <c r="T5" s="3775"/>
      <c r="U5" s="3776"/>
      <c r="V5" s="3798"/>
      <c r="W5" s="3798"/>
      <c r="X5" s="1353"/>
      <c r="Y5" s="3775"/>
      <c r="Z5" s="3776"/>
      <c r="AA5" s="3769"/>
      <c r="AB5" s="3798"/>
      <c r="AC5" s="3769"/>
    </row>
    <row r="6" spans="1:29" ht="15.75" thickBot="1">
      <c r="A6" s="360"/>
      <c r="B6" s="361"/>
      <c r="C6" s="3781" t="s">
        <v>1676</v>
      </c>
      <c r="D6" s="3782"/>
      <c r="E6" s="3783" t="s">
        <v>1676</v>
      </c>
      <c r="F6" s="3784"/>
      <c r="G6" s="3781" t="s">
        <v>1676</v>
      </c>
      <c r="H6" s="3782"/>
      <c r="I6" s="3781" t="s">
        <v>1676</v>
      </c>
      <c r="J6" s="3782"/>
      <c r="K6" s="559" t="s">
        <v>1677</v>
      </c>
      <c r="L6" s="2710"/>
      <c r="M6" s="2711"/>
      <c r="N6" s="2711"/>
      <c r="O6" s="2711"/>
      <c r="P6" s="3794"/>
      <c r="Q6" s="3795"/>
      <c r="R6" s="3775"/>
      <c r="S6" s="3776"/>
      <c r="T6" s="3796"/>
      <c r="U6" s="3797"/>
      <c r="V6" s="3798"/>
      <c r="W6" s="3798"/>
      <c r="X6" s="1353"/>
      <c r="Y6" s="3796"/>
      <c r="Z6" s="3797"/>
      <c r="AA6" s="3770"/>
      <c r="AB6" s="3798"/>
      <c r="AC6" s="3770"/>
    </row>
    <row r="7" spans="1:29" s="108" customFormat="1" ht="15.75" thickBot="1">
      <c r="A7" s="362" t="s">
        <v>1678</v>
      </c>
      <c r="B7" s="363"/>
      <c r="C7" s="364">
        <f>'数据-取费表'!B2</f>
        <v>45001</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71"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71" t="s">
        <v>1682</v>
      </c>
      <c r="Q8" s="3772"/>
      <c r="R8" s="701" t="s">
        <v>14</v>
      </c>
      <c r="S8" s="702">
        <f t="shared" si="0"/>
        <v>100</v>
      </c>
      <c r="T8" s="701" t="s">
        <v>14</v>
      </c>
      <c r="U8" s="702">
        <f t="shared" si="1"/>
        <v>100</v>
      </c>
      <c r="V8" s="701" t="s">
        <v>14</v>
      </c>
      <c r="W8" s="702">
        <f t="shared" si="2"/>
        <v>100</v>
      </c>
      <c r="X8" s="703"/>
      <c r="Y8" s="3771" t="s">
        <v>1682</v>
      </c>
      <c r="Z8" s="377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85" t="s">
        <v>1685</v>
      </c>
      <c r="Q9" s="1341" t="str">
        <f t="shared" ref="Q9:Q15" si="6">B9</f>
        <v>用途</v>
      </c>
      <c r="R9" s="701" t="s">
        <v>14</v>
      </c>
      <c r="S9" s="702">
        <f t="shared" si="0"/>
        <v>100</v>
      </c>
      <c r="T9" s="701" t="s">
        <v>14</v>
      </c>
      <c r="U9" s="702">
        <f t="shared" si="1"/>
        <v>100</v>
      </c>
      <c r="V9" s="701" t="s">
        <v>14</v>
      </c>
      <c r="W9" s="702">
        <f t="shared" si="2"/>
        <v>100</v>
      </c>
      <c r="X9" s="703"/>
      <c r="Y9" s="3669"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4"/>
      <c r="M10" s="2715"/>
      <c r="N10" s="2715"/>
      <c r="O10" s="2715"/>
      <c r="P10" s="3785"/>
      <c r="Q10" s="1341"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85"/>
      <c r="Q11" s="1341"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85"/>
      <c r="Q12" s="1341">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85"/>
      <c r="Q13" s="1341">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85"/>
      <c r="Q14" s="1341">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812" t="s">
        <v>1690</v>
      </c>
      <c r="Q15" s="1350" t="str">
        <f t="shared" si="6"/>
        <v>商业繁华度</v>
      </c>
      <c r="R15" s="705" t="s">
        <v>14</v>
      </c>
      <c r="S15" s="706">
        <f t="shared" si="0"/>
        <v>100</v>
      </c>
      <c r="T15" s="705" t="s">
        <v>14</v>
      </c>
      <c r="U15" s="706">
        <f t="shared" si="1"/>
        <v>100</v>
      </c>
      <c r="V15" s="705" t="s">
        <v>14</v>
      </c>
      <c r="W15" s="706">
        <f t="shared" si="2"/>
        <v>100</v>
      </c>
      <c r="X15" s="1353"/>
      <c r="Y15" s="3805" t="s">
        <v>1690</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7"/>
      <c r="M16" s="2711"/>
      <c r="N16" s="2711"/>
      <c r="O16" s="2711"/>
      <c r="P16" s="3813"/>
      <c r="Q16" s="1350"/>
      <c r="R16" s="705"/>
      <c r="S16" s="706"/>
      <c r="T16" s="705"/>
      <c r="U16" s="706"/>
      <c r="V16" s="705"/>
      <c r="W16" s="706"/>
      <c r="X16" s="1353"/>
      <c r="Y16" s="3806"/>
      <c r="Z16" s="1354"/>
      <c r="AA16" s="1351">
        <v>1</v>
      </c>
      <c r="AB16" s="1351">
        <v>1</v>
      </c>
      <c r="AC16" s="1351">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813"/>
      <c r="Q17" s="1350" t="str">
        <f>B17</f>
        <v>交通便捷度</v>
      </c>
      <c r="R17" s="705" t="s">
        <v>14</v>
      </c>
      <c r="S17" s="706">
        <f>F17</f>
        <v>100</v>
      </c>
      <c r="T17" s="705" t="s">
        <v>14</v>
      </c>
      <c r="U17" s="706">
        <f>H17</f>
        <v>100</v>
      </c>
      <c r="V17" s="705" t="s">
        <v>14</v>
      </c>
      <c r="W17" s="706">
        <f>J17</f>
        <v>100</v>
      </c>
      <c r="X17" s="1353"/>
      <c r="Y17" s="38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7"/>
      <c r="M18" s="2711"/>
      <c r="N18" s="2711"/>
      <c r="O18" s="2711"/>
      <c r="P18" s="3813"/>
      <c r="Q18" s="1350"/>
      <c r="R18" s="705"/>
      <c r="S18" s="706"/>
      <c r="T18" s="705"/>
      <c r="U18" s="706"/>
      <c r="V18" s="705"/>
      <c r="W18" s="706"/>
      <c r="X18" s="1353"/>
      <c r="Y18" s="3806"/>
      <c r="Z18" s="1354"/>
      <c r="AA18" s="1351">
        <v>1</v>
      </c>
      <c r="AB18" s="1351">
        <v>1</v>
      </c>
      <c r="AC18" s="1351">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813"/>
      <c r="Q19" s="1350" t="str">
        <f>B19</f>
        <v>公共配套设施</v>
      </c>
      <c r="R19" s="705" t="s">
        <v>14</v>
      </c>
      <c r="S19" s="706">
        <f>F19</f>
        <v>100</v>
      </c>
      <c r="T19" s="705" t="s">
        <v>14</v>
      </c>
      <c r="U19" s="706">
        <f>H19</f>
        <v>100</v>
      </c>
      <c r="V19" s="705" t="s">
        <v>14</v>
      </c>
      <c r="W19" s="706">
        <f>J19</f>
        <v>100</v>
      </c>
      <c r="X19" s="1353"/>
      <c r="Y19" s="38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7"/>
      <c r="M20" s="2711"/>
      <c r="N20" s="2711"/>
      <c r="O20" s="2711"/>
      <c r="P20" s="3813"/>
      <c r="Q20" s="1350"/>
      <c r="R20" s="705"/>
      <c r="S20" s="706"/>
      <c r="T20" s="705"/>
      <c r="U20" s="706"/>
      <c r="V20" s="705"/>
      <c r="W20" s="706"/>
      <c r="X20" s="1353"/>
      <c r="Y20" s="3806"/>
      <c r="Z20" s="1354"/>
      <c r="AA20" s="1351">
        <v>1</v>
      </c>
      <c r="AB20" s="1351">
        <v>1</v>
      </c>
      <c r="AC20" s="1351">
        <v>1</v>
      </c>
    </row>
    <row r="21" spans="1:29" ht="28.5">
      <c r="A21" s="379"/>
      <c r="B21" s="1129"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813"/>
      <c r="Q21" s="1350" t="str">
        <f>B21</f>
        <v>基础设施水平</v>
      </c>
      <c r="R21" s="705" t="s">
        <v>14</v>
      </c>
      <c r="S21" s="706">
        <f>F21</f>
        <v>100</v>
      </c>
      <c r="T21" s="705" t="s">
        <v>14</v>
      </c>
      <c r="U21" s="706">
        <f>H21</f>
        <v>100</v>
      </c>
      <c r="V21" s="705" t="s">
        <v>14</v>
      </c>
      <c r="W21" s="706">
        <f>J21</f>
        <v>100</v>
      </c>
      <c r="X21" s="1353"/>
      <c r="Y21" s="38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7"/>
      <c r="M22" s="2711"/>
      <c r="N22" s="2711"/>
      <c r="O22" s="2711"/>
      <c r="P22" s="3813"/>
      <c r="Q22" s="1350"/>
      <c r="R22" s="705"/>
      <c r="S22" s="706"/>
      <c r="T22" s="705"/>
      <c r="U22" s="706"/>
      <c r="V22" s="705"/>
      <c r="W22" s="706"/>
      <c r="X22" s="1353"/>
      <c r="Y22" s="3806"/>
      <c r="Z22" s="1354"/>
      <c r="AA22" s="1351">
        <v>1</v>
      </c>
      <c r="AB22" s="1351">
        <v>1</v>
      </c>
      <c r="AC22" s="1351">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813"/>
      <c r="Q23" s="1350" t="str">
        <f>B23</f>
        <v>自然及人文环境</v>
      </c>
      <c r="R23" s="705" t="s">
        <v>14</v>
      </c>
      <c r="S23" s="706">
        <f>F23</f>
        <v>100</v>
      </c>
      <c r="T23" s="705" t="s">
        <v>14</v>
      </c>
      <c r="U23" s="706">
        <f>H23</f>
        <v>100</v>
      </c>
      <c r="V23" s="705" t="s">
        <v>14</v>
      </c>
      <c r="W23" s="706">
        <f>J23</f>
        <v>100</v>
      </c>
      <c r="X23" s="1353"/>
      <c r="Y23" s="380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7"/>
      <c r="M24" s="2711"/>
      <c r="N24" s="2711"/>
      <c r="O24" s="2711"/>
      <c r="P24" s="3813"/>
      <c r="Q24" s="1350"/>
      <c r="R24" s="705"/>
      <c r="S24" s="706"/>
      <c r="T24" s="705"/>
      <c r="U24" s="706"/>
      <c r="V24" s="705"/>
      <c r="W24" s="706"/>
      <c r="X24" s="1353"/>
      <c r="Y24" s="3806"/>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813"/>
      <c r="Q25" s="1350" t="str">
        <f t="shared" ref="Q25:Q46" si="11">B25</f>
        <v>临街状况</v>
      </c>
      <c r="R25" s="705" t="s">
        <v>14</v>
      </c>
      <c r="S25" s="706">
        <f>F25</f>
        <v>100</v>
      </c>
      <c r="T25" s="705" t="s">
        <v>14</v>
      </c>
      <c r="U25" s="706">
        <f>H25</f>
        <v>100</v>
      </c>
      <c r="V25" s="705" t="s">
        <v>14</v>
      </c>
      <c r="W25" s="706">
        <f>J25</f>
        <v>100</v>
      </c>
      <c r="X25" s="1353"/>
      <c r="Y25" s="3806"/>
      <c r="Z25" s="1354" t="str">
        <f>Q25</f>
        <v>临街状况</v>
      </c>
      <c r="AA25" s="1351">
        <f t="shared" si="3"/>
        <v>1</v>
      </c>
      <c r="AB25" s="1351">
        <f t="shared" si="4"/>
        <v>1</v>
      </c>
      <c r="AC25" s="1351">
        <f t="shared" si="5"/>
        <v>1</v>
      </c>
    </row>
    <row r="26" spans="1:29" ht="15">
      <c r="A26" s="379"/>
      <c r="B26" s="1131"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813"/>
      <c r="Q26" s="1350" t="str">
        <f t="shared" si="11"/>
        <v>平面位置/可视性</v>
      </c>
      <c r="R26" s="705" t="s">
        <v>14</v>
      </c>
      <c r="S26" s="706">
        <f>F26</f>
        <v>100</v>
      </c>
      <c r="T26" s="705" t="s">
        <v>14</v>
      </c>
      <c r="U26" s="706">
        <f>H26</f>
        <v>100</v>
      </c>
      <c r="V26" s="705" t="s">
        <v>14</v>
      </c>
      <c r="W26" s="706">
        <f>J26</f>
        <v>100</v>
      </c>
      <c r="X26" s="1353"/>
      <c r="Y26" s="3806"/>
      <c r="Z26" s="1354" t="str">
        <f>Q26</f>
        <v>平面位置/可视性</v>
      </c>
      <c r="AA26" s="1351">
        <f t="shared" si="3"/>
        <v>1</v>
      </c>
      <c r="AB26" s="1351">
        <f t="shared" si="4"/>
        <v>1</v>
      </c>
      <c r="AC26" s="1351">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1"/>
      <c r="L27" s="2712"/>
      <c r="M27" s="2713"/>
      <c r="N27" s="2713"/>
      <c r="O27" s="2713"/>
      <c r="P27" s="3813"/>
      <c r="Q27" s="1341" t="str">
        <f t="shared" si="11"/>
        <v>人流量</v>
      </c>
      <c r="R27" s="701" t="s">
        <v>14</v>
      </c>
      <c r="S27" s="702">
        <f>F27</f>
        <v>100</v>
      </c>
      <c r="T27" s="701" t="s">
        <v>14</v>
      </c>
      <c r="U27" s="702">
        <f>H27</f>
        <v>100</v>
      </c>
      <c r="V27" s="701" t="s">
        <v>14</v>
      </c>
      <c r="W27" s="702">
        <f>J27</f>
        <v>100</v>
      </c>
      <c r="X27" s="703"/>
      <c r="Y27" s="3806"/>
      <c r="Z27" s="52" t="str">
        <f>Q27</f>
        <v>人流量</v>
      </c>
      <c r="AA27" s="1351">
        <f>D27/F27</f>
        <v>1</v>
      </c>
      <c r="AB27" s="1351">
        <f>D27/H27</f>
        <v>1</v>
      </c>
      <c r="AC27" s="1351">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813"/>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80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813"/>
      <c r="Q29" s="1350">
        <f t="shared" si="11"/>
        <v>111</v>
      </c>
      <c r="R29" s="705" t="s">
        <v>14</v>
      </c>
      <c r="S29" s="706">
        <f t="shared" si="12"/>
        <v>100</v>
      </c>
      <c r="T29" s="705" t="s">
        <v>14</v>
      </c>
      <c r="U29" s="706">
        <f t="shared" si="13"/>
        <v>100</v>
      </c>
      <c r="V29" s="705" t="s">
        <v>14</v>
      </c>
      <c r="W29" s="706">
        <f t="shared" si="14"/>
        <v>100</v>
      </c>
      <c r="X29" s="1353"/>
      <c r="Y29" s="380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813"/>
      <c r="Q30" s="1350">
        <f t="shared" si="11"/>
        <v>111</v>
      </c>
      <c r="R30" s="705" t="s">
        <v>14</v>
      </c>
      <c r="S30" s="706">
        <f t="shared" si="12"/>
        <v>100</v>
      </c>
      <c r="T30" s="705" t="s">
        <v>14</v>
      </c>
      <c r="U30" s="706">
        <f t="shared" si="13"/>
        <v>100</v>
      </c>
      <c r="V30" s="705" t="s">
        <v>14</v>
      </c>
      <c r="W30" s="706">
        <f t="shared" si="14"/>
        <v>100</v>
      </c>
      <c r="X30" s="1353"/>
      <c r="Y30" s="380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813"/>
      <c r="Q31" s="1350">
        <f t="shared" si="11"/>
        <v>111</v>
      </c>
      <c r="R31" s="705" t="s">
        <v>14</v>
      </c>
      <c r="S31" s="706">
        <f t="shared" si="12"/>
        <v>100</v>
      </c>
      <c r="T31" s="705" t="s">
        <v>14</v>
      </c>
      <c r="U31" s="706">
        <f t="shared" si="13"/>
        <v>100</v>
      </c>
      <c r="V31" s="705" t="s">
        <v>14</v>
      </c>
      <c r="W31" s="706">
        <f t="shared" si="14"/>
        <v>100</v>
      </c>
      <c r="X31" s="1353"/>
      <c r="Y31" s="3806"/>
      <c r="Z31" s="1354">
        <f t="shared" si="15"/>
        <v>111</v>
      </c>
      <c r="AA31" s="1351">
        <f t="shared" si="3"/>
        <v>1</v>
      </c>
      <c r="AB31" s="1351">
        <f t="shared" si="4"/>
        <v>1</v>
      </c>
      <c r="AC31" s="1351">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807" t="s">
        <v>1695</v>
      </c>
      <c r="Q32" s="1350" t="str">
        <f t="shared" si="11"/>
        <v>商业类型</v>
      </c>
      <c r="R32" s="705" t="s">
        <v>14</v>
      </c>
      <c r="S32" s="706">
        <f t="shared" si="12"/>
        <v>100</v>
      </c>
      <c r="T32" s="705" t="s">
        <v>14</v>
      </c>
      <c r="U32" s="706">
        <f t="shared" si="13"/>
        <v>100</v>
      </c>
      <c r="V32" s="705" t="s">
        <v>14</v>
      </c>
      <c r="W32" s="706">
        <f t="shared" si="14"/>
        <v>100</v>
      </c>
      <c r="X32" s="1353"/>
      <c r="Y32" s="3810" t="s">
        <v>1695</v>
      </c>
      <c r="Z32" s="1354" t="str">
        <f t="shared" si="15"/>
        <v>商业类型</v>
      </c>
      <c r="AA32" s="1351">
        <f t="shared" si="3"/>
        <v>1</v>
      </c>
      <c r="AB32" s="1351">
        <f t="shared" si="4"/>
        <v>1</v>
      </c>
      <c r="AC32" s="1351">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808"/>
      <c r="Q33" s="707" t="str">
        <f t="shared" si="11"/>
        <v>项目建筑规模</v>
      </c>
      <c r="R33" s="708" t="s">
        <v>14</v>
      </c>
      <c r="S33" s="709" t="e">
        <f t="shared" si="12"/>
        <v>#N/A</v>
      </c>
      <c r="T33" s="708" t="s">
        <v>14</v>
      </c>
      <c r="U33" s="709" t="e">
        <f t="shared" si="13"/>
        <v>#N/A</v>
      </c>
      <c r="V33" s="708" t="s">
        <v>14</v>
      </c>
      <c r="W33" s="709" t="e">
        <f t="shared" si="14"/>
        <v>#N/A</v>
      </c>
      <c r="X33" s="710"/>
      <c r="Y33" s="3810"/>
      <c r="Z33" s="711" t="str">
        <f t="shared" si="15"/>
        <v>项目建筑规模</v>
      </c>
      <c r="AA33" s="1351" t="e">
        <f t="shared" si="3"/>
        <v>#N/A</v>
      </c>
      <c r="AB33" s="1351" t="e">
        <f t="shared" si="4"/>
        <v>#N/A</v>
      </c>
      <c r="AC33" s="1351" t="e">
        <f t="shared" si="5"/>
        <v>#N/A</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7"/>
      <c r="M34" s="2711"/>
      <c r="N34" s="2711"/>
      <c r="O34" s="2711"/>
      <c r="P34" s="3808"/>
      <c r="Q34" s="1350" t="str">
        <f t="shared" si="11"/>
        <v>建筑结构</v>
      </c>
      <c r="R34" s="705" t="s">
        <v>14</v>
      </c>
      <c r="S34" s="706">
        <f t="shared" si="12"/>
        <v>100</v>
      </c>
      <c r="T34" s="705" t="s">
        <v>14</v>
      </c>
      <c r="U34" s="706">
        <f t="shared" si="13"/>
        <v>100</v>
      </c>
      <c r="V34" s="705" t="s">
        <v>14</v>
      </c>
      <c r="W34" s="706">
        <f t="shared" si="14"/>
        <v>100</v>
      </c>
      <c r="X34" s="1353"/>
      <c r="Y34" s="3810"/>
      <c r="Z34" s="1354" t="str">
        <f t="shared" si="15"/>
        <v>建筑结构</v>
      </c>
      <c r="AA34" s="1351">
        <f t="shared" si="3"/>
        <v>1</v>
      </c>
      <c r="AB34" s="1351">
        <f t="shared" si="4"/>
        <v>1</v>
      </c>
      <c r="AC34" s="1351">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808"/>
      <c r="Q35" s="1350" t="str">
        <f t="shared" si="11"/>
        <v>公共部分装修</v>
      </c>
      <c r="R35" s="705" t="s">
        <v>14</v>
      </c>
      <c r="S35" s="706">
        <f t="shared" si="12"/>
        <v>100</v>
      </c>
      <c r="T35" s="705" t="s">
        <v>14</v>
      </c>
      <c r="U35" s="706">
        <f t="shared" si="13"/>
        <v>100</v>
      </c>
      <c r="V35" s="705" t="s">
        <v>14</v>
      </c>
      <c r="W35" s="706">
        <f t="shared" si="14"/>
        <v>100</v>
      </c>
      <c r="X35" s="1353"/>
      <c r="Y35" s="3810"/>
      <c r="Z35" s="1354" t="str">
        <f t="shared" si="15"/>
        <v>公共部分装修</v>
      </c>
      <c r="AA35" s="1351">
        <f t="shared" si="3"/>
        <v>1</v>
      </c>
      <c r="AB35" s="1351">
        <f t="shared" si="4"/>
        <v>1</v>
      </c>
      <c r="AC35" s="1351">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808"/>
      <c r="Q36" s="1350" t="str">
        <f t="shared" si="11"/>
        <v>成新度</v>
      </c>
      <c r="R36" s="705" t="s">
        <v>14</v>
      </c>
      <c r="S36" s="706" t="e">
        <f t="shared" si="12"/>
        <v>#N/A</v>
      </c>
      <c r="T36" s="705" t="s">
        <v>14</v>
      </c>
      <c r="U36" s="706" t="e">
        <f t="shared" si="13"/>
        <v>#N/A</v>
      </c>
      <c r="V36" s="705" t="s">
        <v>14</v>
      </c>
      <c r="W36" s="706" t="e">
        <f t="shared" si="14"/>
        <v>#N/A</v>
      </c>
      <c r="X36" s="1353"/>
      <c r="Y36" s="3810"/>
      <c r="Z36" s="1354" t="str">
        <f t="shared" si="15"/>
        <v>成新度</v>
      </c>
      <c r="AA36" s="1351" t="e">
        <f t="shared" si="3"/>
        <v>#N/A</v>
      </c>
      <c r="AB36" s="1351" t="e">
        <f t="shared" si="4"/>
        <v>#N/A</v>
      </c>
      <c r="AC36" s="1351"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808"/>
      <c r="Q37" s="1341" t="str">
        <f t="shared" si="11"/>
        <v>市政基础设施</v>
      </c>
      <c r="R37" s="701" t="s">
        <v>14</v>
      </c>
      <c r="S37" s="702">
        <f t="shared" si="12"/>
        <v>100</v>
      </c>
      <c r="T37" s="701" t="s">
        <v>14</v>
      </c>
      <c r="U37" s="702">
        <f t="shared" si="13"/>
        <v>100</v>
      </c>
      <c r="V37" s="701" t="s">
        <v>14</v>
      </c>
      <c r="W37" s="702">
        <f t="shared" si="14"/>
        <v>100</v>
      </c>
      <c r="X37" s="703"/>
      <c r="Y37" s="3810"/>
      <c r="Z37" s="52" t="str">
        <f t="shared" si="15"/>
        <v>市政基础设施</v>
      </c>
      <c r="AA37" s="704">
        <f t="shared" si="3"/>
        <v>1</v>
      </c>
      <c r="AB37" s="704">
        <f t="shared" si="4"/>
        <v>1</v>
      </c>
      <c r="AC37" s="704">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808" t="s">
        <v>1695</v>
      </c>
      <c r="Q38" s="1350" t="str">
        <f t="shared" si="11"/>
        <v>业态</v>
      </c>
      <c r="R38" s="705" t="s">
        <v>14</v>
      </c>
      <c r="S38" s="706">
        <f t="shared" si="12"/>
        <v>100</v>
      </c>
      <c r="T38" s="705" t="s">
        <v>14</v>
      </c>
      <c r="U38" s="706">
        <f t="shared" si="13"/>
        <v>100</v>
      </c>
      <c r="V38" s="705" t="s">
        <v>14</v>
      </c>
      <c r="W38" s="706">
        <f t="shared" si="14"/>
        <v>100</v>
      </c>
      <c r="X38" s="1353"/>
      <c r="Y38" s="3810"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808"/>
      <c r="Q39" s="1350" t="str">
        <f t="shared" si="11"/>
        <v>层高</v>
      </c>
      <c r="R39" s="705" t="s">
        <v>14</v>
      </c>
      <c r="S39" s="706">
        <f t="shared" si="12"/>
        <v>100</v>
      </c>
      <c r="T39" s="705" t="s">
        <v>14</v>
      </c>
      <c r="U39" s="706">
        <f t="shared" si="13"/>
        <v>100</v>
      </c>
      <c r="V39" s="705" t="s">
        <v>14</v>
      </c>
      <c r="W39" s="706">
        <f t="shared" si="14"/>
        <v>100</v>
      </c>
      <c r="X39" s="1353"/>
      <c r="Y39" s="3810"/>
      <c r="Z39" s="1354" t="str">
        <f t="shared" si="15"/>
        <v>层高</v>
      </c>
      <c r="AA39" s="1351">
        <f t="shared" si="3"/>
        <v>1</v>
      </c>
      <c r="AB39" s="1351">
        <f t="shared" si="4"/>
        <v>1</v>
      </c>
      <c r="AC39" s="1351">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808"/>
      <c r="Q40" s="1350" t="str">
        <f t="shared" si="11"/>
        <v>单套建筑面积</v>
      </c>
      <c r="R40" s="705" t="s">
        <v>14</v>
      </c>
      <c r="S40" s="706">
        <f t="shared" si="12"/>
        <v>100</v>
      </c>
      <c r="T40" s="705" t="s">
        <v>14</v>
      </c>
      <c r="U40" s="706">
        <f t="shared" si="13"/>
        <v>100</v>
      </c>
      <c r="V40" s="705" t="s">
        <v>14</v>
      </c>
      <c r="W40" s="706">
        <f t="shared" si="14"/>
        <v>100</v>
      </c>
      <c r="X40" s="1353"/>
      <c r="Y40" s="3810"/>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808"/>
      <c r="Q41" s="707" t="str">
        <f t="shared" si="11"/>
        <v>进深比</v>
      </c>
      <c r="R41" s="708" t="s">
        <v>14</v>
      </c>
      <c r="S41" s="709">
        <f t="shared" si="12"/>
        <v>100</v>
      </c>
      <c r="T41" s="708" t="s">
        <v>14</v>
      </c>
      <c r="U41" s="709">
        <f t="shared" si="13"/>
        <v>100</v>
      </c>
      <c r="V41" s="708" t="s">
        <v>14</v>
      </c>
      <c r="W41" s="709">
        <f t="shared" si="14"/>
        <v>100</v>
      </c>
      <c r="X41" s="710"/>
      <c r="Y41" s="3810"/>
      <c r="Z41" s="711"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808"/>
      <c r="Q42" s="1350" t="str">
        <f t="shared" si="11"/>
        <v>内部装修</v>
      </c>
      <c r="R42" s="705" t="s">
        <v>14</v>
      </c>
      <c r="S42" s="706">
        <f t="shared" si="12"/>
        <v>100</v>
      </c>
      <c r="T42" s="705" t="s">
        <v>14</v>
      </c>
      <c r="U42" s="706">
        <f t="shared" si="13"/>
        <v>100</v>
      </c>
      <c r="V42" s="705" t="s">
        <v>14</v>
      </c>
      <c r="W42" s="706">
        <f t="shared" si="14"/>
        <v>100</v>
      </c>
      <c r="X42" s="1353"/>
      <c r="Y42" s="3810"/>
      <c r="Z42" s="1354" t="str">
        <f t="shared" si="15"/>
        <v>内部装修</v>
      </c>
      <c r="AA42" s="1351">
        <f t="shared" si="3"/>
        <v>1</v>
      </c>
      <c r="AB42" s="1351">
        <f t="shared" si="4"/>
        <v>1</v>
      </c>
      <c r="AC42" s="1351">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808"/>
      <c r="Q43" s="1350" t="str">
        <f t="shared" si="11"/>
        <v>内部装修维护情况</v>
      </c>
      <c r="R43" s="705" t="s">
        <v>14</v>
      </c>
      <c r="S43" s="706">
        <f t="shared" si="12"/>
        <v>100</v>
      </c>
      <c r="T43" s="705" t="s">
        <v>14</v>
      </c>
      <c r="U43" s="706">
        <f t="shared" si="13"/>
        <v>100</v>
      </c>
      <c r="V43" s="705" t="s">
        <v>14</v>
      </c>
      <c r="W43" s="706">
        <f t="shared" si="14"/>
        <v>100</v>
      </c>
      <c r="X43" s="1353"/>
      <c r="Y43" s="381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808"/>
      <c r="Q44" s="1341">
        <f t="shared" si="11"/>
        <v>111</v>
      </c>
      <c r="R44" s="701" t="s">
        <v>14</v>
      </c>
      <c r="S44" s="702">
        <f t="shared" si="12"/>
        <v>100</v>
      </c>
      <c r="T44" s="701" t="s">
        <v>14</v>
      </c>
      <c r="U44" s="702">
        <f t="shared" si="13"/>
        <v>100</v>
      </c>
      <c r="V44" s="701" t="s">
        <v>14</v>
      </c>
      <c r="W44" s="702">
        <f t="shared" si="14"/>
        <v>100</v>
      </c>
      <c r="X44" s="703"/>
      <c r="Y44" s="3810"/>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808"/>
      <c r="Q45" s="1350">
        <f t="shared" si="11"/>
        <v>111</v>
      </c>
      <c r="R45" s="705" t="s">
        <v>14</v>
      </c>
      <c r="S45" s="706">
        <f t="shared" si="12"/>
        <v>100</v>
      </c>
      <c r="T45" s="705" t="s">
        <v>14</v>
      </c>
      <c r="U45" s="706">
        <f t="shared" si="13"/>
        <v>100</v>
      </c>
      <c r="V45" s="705" t="s">
        <v>14</v>
      </c>
      <c r="W45" s="706">
        <f t="shared" si="14"/>
        <v>100</v>
      </c>
      <c r="X45" s="1353"/>
      <c r="Y45" s="381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809"/>
      <c r="Q46" s="1350">
        <f t="shared" si="11"/>
        <v>111</v>
      </c>
      <c r="R46" s="705" t="s">
        <v>14</v>
      </c>
      <c r="S46" s="706">
        <f t="shared" si="12"/>
        <v>100</v>
      </c>
      <c r="T46" s="705" t="s">
        <v>14</v>
      </c>
      <c r="U46" s="706">
        <f t="shared" si="13"/>
        <v>100</v>
      </c>
      <c r="V46" s="705" t="s">
        <v>14</v>
      </c>
      <c r="W46" s="706">
        <f t="shared" si="14"/>
        <v>100</v>
      </c>
      <c r="X46" s="1353"/>
      <c r="Y46" s="3811"/>
      <c r="Z46" s="1354">
        <f t="shared" si="15"/>
        <v>111</v>
      </c>
      <c r="AA46" s="1351">
        <f t="shared" si="3"/>
        <v>1</v>
      </c>
      <c r="AB46" s="1351">
        <f t="shared" si="4"/>
        <v>1</v>
      </c>
      <c r="AC46" s="1351">
        <f t="shared" si="5"/>
        <v>1</v>
      </c>
    </row>
    <row r="47" spans="1:29" ht="15">
      <c r="A47" s="430" t="s">
        <v>1707</v>
      </c>
      <c r="B47" s="431"/>
      <c r="C47" s="1152" t="s">
        <v>0</v>
      </c>
      <c r="D47" s="1153"/>
      <c r="E47" s="1154"/>
      <c r="F47" s="1155"/>
      <c r="G47" s="1156"/>
      <c r="H47" s="1157"/>
      <c r="I47" s="1154"/>
      <c r="J47" s="1157"/>
      <c r="K47" s="714"/>
      <c r="L47" s="2719"/>
      <c r="M47" s="2720"/>
      <c r="N47" s="2711"/>
      <c r="O47" s="2720"/>
      <c r="P47" s="3803" t="str">
        <f>A47</f>
        <v>成交单价（元/平方米）</v>
      </c>
      <c r="Q47" s="3803"/>
      <c r="R47" s="3798">
        <f>E47</f>
        <v>0</v>
      </c>
      <c r="S47" s="3798"/>
      <c r="T47" s="3798">
        <f>G47</f>
        <v>0</v>
      </c>
      <c r="U47" s="3798"/>
      <c r="V47" s="3798">
        <f>I47</f>
        <v>0</v>
      </c>
      <c r="W47" s="3798"/>
      <c r="X47" s="690"/>
      <c r="Y47" s="712"/>
      <c r="Z47" s="690"/>
      <c r="AA47" s="690"/>
      <c r="AB47" s="690"/>
      <c r="AC47" s="690"/>
    </row>
    <row r="48" spans="1:29" ht="15.75" thickBot="1">
      <c r="A48" s="437" t="s">
        <v>1792</v>
      </c>
      <c r="B48" s="438"/>
      <c r="C48" s="1158" t="e">
        <f>R49</f>
        <v>#DIV/0!</v>
      </c>
      <c r="D48" s="2315" t="s">
        <v>2137</v>
      </c>
      <c r="E48" s="1159" t="e">
        <f>R48</f>
        <v>#DIV/0!</v>
      </c>
      <c r="F48" s="2316"/>
      <c r="G48" s="1158" t="e">
        <f>T48</f>
        <v>#DIV/0!</v>
      </c>
      <c r="H48" s="2316"/>
      <c r="I48" s="1159" t="e">
        <f>V48</f>
        <v>#DIV/0!</v>
      </c>
      <c r="J48" s="2316"/>
      <c r="K48" s="2318">
        <f>F48+H48+J48</f>
        <v>0</v>
      </c>
      <c r="L48" s="2719"/>
      <c r="M48" s="2720"/>
      <c r="N48" s="2711"/>
      <c r="O48" s="2720"/>
      <c r="P48" s="3803" t="str">
        <f>A48</f>
        <v>比较价值（元/平方米）</v>
      </c>
      <c r="Q48" s="3803"/>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690"/>
      <c r="Y48" s="690"/>
      <c r="Z48" s="690"/>
      <c r="AA48" s="690"/>
      <c r="AB48" s="690"/>
      <c r="AC48" s="690"/>
    </row>
    <row r="49" spans="1:29" ht="15.75" thickBot="1">
      <c r="A49" s="441" t="s">
        <v>1793</v>
      </c>
      <c r="B49" s="442"/>
      <c r="C49" s="1161" t="e">
        <f>R49</f>
        <v>#DIV/0!</v>
      </c>
      <c r="D49" s="1161"/>
      <c r="E49" s="1161"/>
      <c r="F49" s="1161"/>
      <c r="G49" s="1161"/>
      <c r="H49" s="1161"/>
      <c r="I49" s="1161"/>
      <c r="J49" s="1161"/>
      <c r="K49" s="715"/>
      <c r="L49" s="2719"/>
      <c r="M49" s="2720"/>
      <c r="N49" s="2711"/>
      <c r="O49" s="2720"/>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1">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1809</v>
      </c>
      <c r="C1" s="1222" t="s">
        <v>1661</v>
      </c>
      <c r="D1" s="1223"/>
      <c r="E1" s="3430"/>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1462</v>
      </c>
      <c r="F2" s="1881"/>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59427.91</v>
      </c>
      <c r="E3" s="1952"/>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786" t="s">
        <v>1769</v>
      </c>
      <c r="D4" s="3787"/>
      <c r="E4" s="3788" t="s">
        <v>1770</v>
      </c>
      <c r="F4" s="3789"/>
      <c r="G4" s="3786" t="s">
        <v>1771</v>
      </c>
      <c r="H4" s="3787"/>
      <c r="I4" s="3786" t="s">
        <v>1772</v>
      </c>
      <c r="J4" s="3787"/>
      <c r="K4" s="559" t="s">
        <v>1773</v>
      </c>
      <c r="L4" s="2710"/>
      <c r="M4" s="2711"/>
      <c r="N4" s="2711"/>
      <c r="O4" s="2711"/>
      <c r="P4" s="3820" t="s">
        <v>1774</v>
      </c>
      <c r="Q4" s="3821"/>
      <c r="R4" s="3815" t="s">
        <v>1770</v>
      </c>
      <c r="S4" s="3816"/>
      <c r="T4" s="3815" t="s">
        <v>1771</v>
      </c>
      <c r="U4" s="3816"/>
      <c r="V4" s="3824" t="s">
        <v>1772</v>
      </c>
      <c r="W4" s="3824"/>
      <c r="X4" s="1956"/>
      <c r="Y4" s="3815" t="s">
        <v>1774</v>
      </c>
      <c r="Z4" s="3816"/>
      <c r="AA4" s="3814" t="s">
        <v>1770</v>
      </c>
      <c r="AB4" s="3814" t="s">
        <v>1771</v>
      </c>
      <c r="AC4" s="3817" t="s">
        <v>1772</v>
      </c>
    </row>
    <row r="5" spans="1:29" ht="15">
      <c r="A5" s="358"/>
      <c r="B5" s="359"/>
      <c r="C5" s="3779" t="s">
        <v>1672</v>
      </c>
      <c r="D5" s="3780"/>
      <c r="E5" s="3777" t="s">
        <v>1673</v>
      </c>
      <c r="F5" s="3778"/>
      <c r="G5" s="3779" t="s">
        <v>1674</v>
      </c>
      <c r="H5" s="3780"/>
      <c r="I5" s="3779" t="s">
        <v>1675</v>
      </c>
      <c r="J5" s="3780"/>
      <c r="K5" s="559"/>
      <c r="L5" s="2710"/>
      <c r="M5" s="2711"/>
      <c r="N5" s="2711"/>
      <c r="O5" s="2711"/>
      <c r="P5" s="3822"/>
      <c r="Q5" s="3793"/>
      <c r="R5" s="3775"/>
      <c r="S5" s="3776"/>
      <c r="T5" s="3775"/>
      <c r="U5" s="3776"/>
      <c r="V5" s="3798"/>
      <c r="W5" s="3798"/>
      <c r="X5" s="1353"/>
      <c r="Y5" s="3775"/>
      <c r="Z5" s="3776"/>
      <c r="AA5" s="3769"/>
      <c r="AB5" s="3769"/>
      <c r="AC5" s="3818"/>
    </row>
    <row r="6" spans="1:29" ht="15.75" thickBot="1">
      <c r="A6" s="360"/>
      <c r="B6" s="361"/>
      <c r="C6" s="3781" t="s">
        <v>1676</v>
      </c>
      <c r="D6" s="3782"/>
      <c r="E6" s="3783" t="s">
        <v>1676</v>
      </c>
      <c r="F6" s="3784"/>
      <c r="G6" s="3781" t="s">
        <v>1676</v>
      </c>
      <c r="H6" s="3782"/>
      <c r="I6" s="3781" t="s">
        <v>1676</v>
      </c>
      <c r="J6" s="3782"/>
      <c r="K6" s="559" t="s">
        <v>1677</v>
      </c>
      <c r="L6" s="2710"/>
      <c r="M6" s="2711"/>
      <c r="N6" s="2711"/>
      <c r="O6" s="2711"/>
      <c r="P6" s="3823"/>
      <c r="Q6" s="3795"/>
      <c r="R6" s="3775"/>
      <c r="S6" s="3776"/>
      <c r="T6" s="3796"/>
      <c r="U6" s="3797"/>
      <c r="V6" s="3798"/>
      <c r="W6" s="3798"/>
      <c r="X6" s="1353"/>
      <c r="Y6" s="3796"/>
      <c r="Z6" s="3797"/>
      <c r="AA6" s="3770"/>
      <c r="AB6" s="3770"/>
      <c r="AC6" s="3819"/>
    </row>
    <row r="7" spans="1:29" s="108" customFormat="1" ht="15.75" thickBot="1">
      <c r="A7" s="362" t="s">
        <v>1678</v>
      </c>
      <c r="B7" s="363"/>
      <c r="C7" s="364">
        <f>'数据-取费表'!B2</f>
        <v>45001</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25"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25" t="s">
        <v>1682</v>
      </c>
      <c r="Q8" s="3772"/>
      <c r="R8" s="701" t="s">
        <v>14</v>
      </c>
      <c r="S8" s="702">
        <f t="shared" si="0"/>
        <v>100</v>
      </c>
      <c r="T8" s="701" t="s">
        <v>14</v>
      </c>
      <c r="U8" s="702">
        <f t="shared" si="1"/>
        <v>100</v>
      </c>
      <c r="V8" s="701" t="s">
        <v>14</v>
      </c>
      <c r="W8" s="702">
        <f t="shared" si="2"/>
        <v>100</v>
      </c>
      <c r="X8" s="703"/>
      <c r="Y8" s="3771" t="s">
        <v>1682</v>
      </c>
      <c r="Z8" s="3772"/>
      <c r="AA8" s="704">
        <f t="shared" ref="AA8:AA47" si="3">D8/F8</f>
        <v>1</v>
      </c>
      <c r="AB8" s="704">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85" t="s">
        <v>1685</v>
      </c>
      <c r="Q9" s="1341" t="str">
        <f t="shared" ref="Q9:Q15" si="6">B9</f>
        <v>用途</v>
      </c>
      <c r="R9" s="701" t="s">
        <v>14</v>
      </c>
      <c r="S9" s="702">
        <f t="shared" si="0"/>
        <v>100</v>
      </c>
      <c r="T9" s="701" t="s">
        <v>14</v>
      </c>
      <c r="U9" s="702">
        <f t="shared" si="1"/>
        <v>100</v>
      </c>
      <c r="V9" s="701" t="s">
        <v>14</v>
      </c>
      <c r="W9" s="702">
        <f t="shared" si="2"/>
        <v>100</v>
      </c>
      <c r="X9" s="703"/>
      <c r="Y9" s="3669" t="s">
        <v>1686</v>
      </c>
      <c r="Z9" s="52" t="str">
        <f t="shared" ref="Z9:Z15" si="7">Q9</f>
        <v>用途</v>
      </c>
      <c r="AA9" s="704">
        <f t="shared" si="3"/>
        <v>1</v>
      </c>
      <c r="AB9" s="704">
        <f t="shared" si="4"/>
        <v>1</v>
      </c>
      <c r="AC9" s="1957">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4"/>
      <c r="M10" s="2715"/>
      <c r="N10" s="2715"/>
      <c r="O10" s="2715"/>
      <c r="P10" s="3785"/>
      <c r="Q10" s="1341"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85"/>
      <c r="Q11" s="1341" t="str">
        <f t="shared" si="6"/>
        <v>容积率</v>
      </c>
      <c r="R11" s="701" t="s">
        <v>14</v>
      </c>
      <c r="S11" s="702">
        <f t="shared" si="0"/>
        <v>100</v>
      </c>
      <c r="T11" s="701" t="s">
        <v>14</v>
      </c>
      <c r="U11" s="702">
        <f t="shared" si="1"/>
        <v>100</v>
      </c>
      <c r="V11" s="701" t="s">
        <v>14</v>
      </c>
      <c r="W11" s="702">
        <f t="shared" si="2"/>
        <v>100</v>
      </c>
      <c r="X11" s="703"/>
      <c r="Y11" s="3669"/>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785"/>
      <c r="Q12" s="1341">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785"/>
      <c r="Q13" s="1341">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7"/>
      <c r="M14" s="2711"/>
      <c r="N14" s="2711"/>
      <c r="O14" s="2711"/>
      <c r="P14" s="3785"/>
      <c r="Q14" s="1341">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1957">
        <f t="shared" si="5"/>
        <v>1</v>
      </c>
    </row>
    <row r="15" spans="1:29" ht="71.25">
      <c r="A15" s="391" t="s">
        <v>1689</v>
      </c>
      <c r="B15" s="577"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812" t="s">
        <v>1690</v>
      </c>
      <c r="Q15" s="1350" t="str">
        <f t="shared" si="6"/>
        <v>办公集聚程度</v>
      </c>
      <c r="R15" s="705" t="s">
        <v>14</v>
      </c>
      <c r="S15" s="706">
        <f t="shared" si="0"/>
        <v>100</v>
      </c>
      <c r="T15" s="705" t="s">
        <v>14</v>
      </c>
      <c r="U15" s="706">
        <f t="shared" si="1"/>
        <v>100</v>
      </c>
      <c r="V15" s="705" t="s">
        <v>14</v>
      </c>
      <c r="W15" s="706">
        <f t="shared" si="2"/>
        <v>100</v>
      </c>
      <c r="X15" s="1353"/>
      <c r="Y15" s="3805" t="s">
        <v>1690</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7"/>
      <c r="M16" s="2711"/>
      <c r="N16" s="2711"/>
      <c r="O16" s="2711"/>
      <c r="P16" s="3813"/>
      <c r="Q16" s="1350"/>
      <c r="R16" s="705"/>
      <c r="S16" s="706"/>
      <c r="T16" s="705"/>
      <c r="U16" s="706"/>
      <c r="V16" s="705"/>
      <c r="W16" s="706"/>
      <c r="X16" s="1353"/>
      <c r="Y16" s="3806"/>
      <c r="Z16" s="1354"/>
      <c r="AA16" s="1351">
        <v>1</v>
      </c>
      <c r="AB16" s="1351">
        <v>1</v>
      </c>
      <c r="AC16" s="1960">
        <v>1</v>
      </c>
    </row>
    <row r="17" spans="1:29" ht="71.25">
      <c r="A17" s="379"/>
      <c r="B17" s="579"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813"/>
      <c r="Q17" s="1350" t="str">
        <f>B17</f>
        <v>交通便捷度</v>
      </c>
      <c r="R17" s="705" t="s">
        <v>14</v>
      </c>
      <c r="S17" s="706">
        <f>F17</f>
        <v>100</v>
      </c>
      <c r="T17" s="705" t="s">
        <v>14</v>
      </c>
      <c r="U17" s="706">
        <f>H17</f>
        <v>100</v>
      </c>
      <c r="V17" s="705" t="s">
        <v>14</v>
      </c>
      <c r="W17" s="706">
        <f>J17</f>
        <v>100</v>
      </c>
      <c r="X17" s="1353"/>
      <c r="Y17" s="3806"/>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7"/>
      <c r="M18" s="2711"/>
      <c r="N18" s="2711"/>
      <c r="O18" s="2711"/>
      <c r="P18" s="3813"/>
      <c r="Q18" s="1350"/>
      <c r="R18" s="705"/>
      <c r="S18" s="706"/>
      <c r="T18" s="705"/>
      <c r="U18" s="706"/>
      <c r="V18" s="705"/>
      <c r="W18" s="706"/>
      <c r="X18" s="1353"/>
      <c r="Y18" s="3806"/>
      <c r="Z18" s="1354"/>
      <c r="AA18" s="1351">
        <v>1</v>
      </c>
      <c r="AB18" s="1351">
        <v>1</v>
      </c>
      <c r="AC18" s="1960">
        <v>1</v>
      </c>
    </row>
    <row r="19" spans="1:29" ht="42.75">
      <c r="A19" s="379"/>
      <c r="B19" s="579"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813"/>
      <c r="Q19" s="1350" t="str">
        <f>B19</f>
        <v>公共配套设施</v>
      </c>
      <c r="R19" s="705" t="s">
        <v>14</v>
      </c>
      <c r="S19" s="706">
        <f>F19</f>
        <v>100</v>
      </c>
      <c r="T19" s="705" t="s">
        <v>14</v>
      </c>
      <c r="U19" s="706">
        <f>H19</f>
        <v>100</v>
      </c>
      <c r="V19" s="705" t="s">
        <v>14</v>
      </c>
      <c r="W19" s="706">
        <f>J19</f>
        <v>100</v>
      </c>
      <c r="X19" s="1353"/>
      <c r="Y19" s="3806"/>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7"/>
      <c r="M20" s="2711"/>
      <c r="N20" s="2711"/>
      <c r="O20" s="2711"/>
      <c r="P20" s="3813"/>
      <c r="Q20" s="1350"/>
      <c r="R20" s="705"/>
      <c r="S20" s="706"/>
      <c r="T20" s="705"/>
      <c r="U20" s="706"/>
      <c r="V20" s="705"/>
      <c r="W20" s="706"/>
      <c r="X20" s="1353"/>
      <c r="Y20" s="3806"/>
      <c r="Z20" s="1354"/>
      <c r="AA20" s="1351">
        <v>1</v>
      </c>
      <c r="AB20" s="1351">
        <v>1</v>
      </c>
      <c r="AC20" s="1960">
        <v>1</v>
      </c>
    </row>
    <row r="21" spans="1:29" ht="28.5">
      <c r="A21" s="379"/>
      <c r="B21" s="581"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813"/>
      <c r="Q21" s="1350" t="str">
        <f>B21</f>
        <v>基础设施水平</v>
      </c>
      <c r="R21" s="705" t="s">
        <v>14</v>
      </c>
      <c r="S21" s="706">
        <f>F21</f>
        <v>100</v>
      </c>
      <c r="T21" s="705" t="s">
        <v>14</v>
      </c>
      <c r="U21" s="706">
        <f>H21</f>
        <v>100</v>
      </c>
      <c r="V21" s="705" t="s">
        <v>14</v>
      </c>
      <c r="W21" s="706">
        <f>J21</f>
        <v>100</v>
      </c>
      <c r="X21" s="1353"/>
      <c r="Y21" s="3806"/>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17"/>
      <c r="M22" s="2711"/>
      <c r="N22" s="2711"/>
      <c r="O22" s="2711"/>
      <c r="P22" s="3813"/>
      <c r="Q22" s="1350"/>
      <c r="R22" s="705"/>
      <c r="S22" s="706"/>
      <c r="T22" s="705"/>
      <c r="U22" s="706"/>
      <c r="V22" s="705"/>
      <c r="W22" s="706"/>
      <c r="X22" s="1353"/>
      <c r="Y22" s="3806"/>
      <c r="Z22" s="1354"/>
      <c r="AA22" s="1351">
        <v>1</v>
      </c>
      <c r="AB22" s="1351">
        <v>1</v>
      </c>
      <c r="AC22" s="1960">
        <v>1</v>
      </c>
    </row>
    <row r="23" spans="1:29" ht="42.75">
      <c r="A23" s="379"/>
      <c r="B23" s="579"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813"/>
      <c r="Q23" s="1350" t="str">
        <f>B23</f>
        <v>环境质量</v>
      </c>
      <c r="R23" s="705" t="s">
        <v>14</v>
      </c>
      <c r="S23" s="706">
        <f>F23</f>
        <v>100</v>
      </c>
      <c r="T23" s="705" t="s">
        <v>14</v>
      </c>
      <c r="U23" s="706">
        <f>H23</f>
        <v>100</v>
      </c>
      <c r="V23" s="705" t="s">
        <v>14</v>
      </c>
      <c r="W23" s="706">
        <f>J23</f>
        <v>100</v>
      </c>
      <c r="X23" s="1353"/>
      <c r="Y23" s="3806"/>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7"/>
      <c r="M24" s="2711"/>
      <c r="N24" s="2711"/>
      <c r="O24" s="2711"/>
      <c r="P24" s="3813"/>
      <c r="Q24" s="1350"/>
      <c r="R24" s="705"/>
      <c r="S24" s="706"/>
      <c r="T24" s="705"/>
      <c r="U24" s="706"/>
      <c r="V24" s="705"/>
      <c r="W24" s="706"/>
      <c r="X24" s="1353"/>
      <c r="Y24" s="3806"/>
      <c r="Z24" s="1354"/>
      <c r="AA24" s="1351">
        <v>1</v>
      </c>
      <c r="AB24" s="1351">
        <v>1</v>
      </c>
      <c r="AC24" s="1960">
        <v>1</v>
      </c>
    </row>
    <row r="25" spans="1:29" ht="27">
      <c r="A25" s="358"/>
      <c r="B25" s="579"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813"/>
      <c r="Q25" s="1350" t="str">
        <f>B25</f>
        <v>毗邻道路的类型与等级</v>
      </c>
      <c r="R25" s="705" t="s">
        <v>14</v>
      </c>
      <c r="S25" s="706">
        <f>F25</f>
        <v>100</v>
      </c>
      <c r="T25" s="705" t="s">
        <v>14</v>
      </c>
      <c r="U25" s="706">
        <f>H25</f>
        <v>100</v>
      </c>
      <c r="V25" s="705" t="s">
        <v>14</v>
      </c>
      <c r="W25" s="706">
        <f>J25</f>
        <v>100</v>
      </c>
      <c r="X25" s="1353"/>
      <c r="Y25" s="3806"/>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7"/>
      <c r="M26" s="2711"/>
      <c r="N26" s="2711"/>
      <c r="O26" s="2711"/>
      <c r="P26" s="3813"/>
      <c r="Q26" s="1350"/>
      <c r="R26" s="705"/>
      <c r="S26" s="706"/>
      <c r="T26" s="705"/>
      <c r="U26" s="706"/>
      <c r="V26" s="705"/>
      <c r="W26" s="706"/>
      <c r="X26" s="1353"/>
      <c r="Y26" s="3806"/>
      <c r="Z26" s="1354"/>
      <c r="AA26" s="1351">
        <v>1</v>
      </c>
      <c r="AB26" s="1351">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813"/>
      <c r="Q27" s="1350" t="str">
        <f t="shared" ref="Q27:Q47" si="11">B27</f>
        <v>楼层</v>
      </c>
      <c r="R27" s="705" t="s">
        <v>14</v>
      </c>
      <c r="S27" s="706">
        <f>F27</f>
        <v>100</v>
      </c>
      <c r="T27" s="705" t="s">
        <v>14</v>
      </c>
      <c r="U27" s="706">
        <f>H27</f>
        <v>100</v>
      </c>
      <c r="V27" s="705" t="s">
        <v>14</v>
      </c>
      <c r="W27" s="706">
        <f>J27</f>
        <v>100</v>
      </c>
      <c r="X27" s="1353"/>
      <c r="Y27" s="3806"/>
      <c r="Z27" s="1354" t="str">
        <f>Q27</f>
        <v>楼层</v>
      </c>
      <c r="AA27" s="1351">
        <f t="shared" si="3"/>
        <v>1</v>
      </c>
      <c r="AB27" s="1351">
        <f t="shared" si="4"/>
        <v>1</v>
      </c>
      <c r="AC27" s="1960">
        <f t="shared" si="5"/>
        <v>1</v>
      </c>
    </row>
    <row r="28" spans="1:29" s="108" customFormat="1" ht="15">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813"/>
      <c r="Q28" s="1341" t="str">
        <f t="shared" si="11"/>
        <v>朝向</v>
      </c>
      <c r="R28" s="701" t="s">
        <v>14</v>
      </c>
      <c r="S28" s="702">
        <f>F28</f>
        <v>100</v>
      </c>
      <c r="T28" s="701" t="s">
        <v>14</v>
      </c>
      <c r="U28" s="702">
        <f>H28</f>
        <v>100</v>
      </c>
      <c r="V28" s="701" t="s">
        <v>14</v>
      </c>
      <c r="W28" s="702">
        <f>J28</f>
        <v>100</v>
      </c>
      <c r="X28" s="703"/>
      <c r="Y28" s="380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813"/>
      <c r="Q29" s="1350">
        <f t="shared" si="11"/>
        <v>111</v>
      </c>
      <c r="R29" s="705" t="s">
        <v>14</v>
      </c>
      <c r="S29" s="706">
        <f t="shared" ref="S29:S47" si="12">F29</f>
        <v>100</v>
      </c>
      <c r="T29" s="705" t="s">
        <v>14</v>
      </c>
      <c r="U29" s="706">
        <f t="shared" ref="U29:U47" si="13">H29</f>
        <v>100</v>
      </c>
      <c r="V29" s="705" t="s">
        <v>14</v>
      </c>
      <c r="W29" s="706">
        <f t="shared" ref="W29:W47" si="14">J29</f>
        <v>100</v>
      </c>
      <c r="X29" s="1353"/>
      <c r="Y29" s="380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813"/>
      <c r="Q30" s="1350">
        <f t="shared" si="11"/>
        <v>111</v>
      </c>
      <c r="R30" s="705" t="s">
        <v>14</v>
      </c>
      <c r="S30" s="706">
        <f t="shared" si="12"/>
        <v>100</v>
      </c>
      <c r="T30" s="705" t="s">
        <v>14</v>
      </c>
      <c r="U30" s="706">
        <f t="shared" si="13"/>
        <v>100</v>
      </c>
      <c r="V30" s="705" t="s">
        <v>14</v>
      </c>
      <c r="W30" s="706">
        <f t="shared" si="14"/>
        <v>100</v>
      </c>
      <c r="X30" s="1353"/>
      <c r="Y30" s="380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813"/>
      <c r="Q31" s="1350">
        <f t="shared" si="11"/>
        <v>111</v>
      </c>
      <c r="R31" s="705" t="s">
        <v>14</v>
      </c>
      <c r="S31" s="706">
        <f t="shared" si="12"/>
        <v>100</v>
      </c>
      <c r="T31" s="705" t="s">
        <v>14</v>
      </c>
      <c r="U31" s="706">
        <f t="shared" si="13"/>
        <v>100</v>
      </c>
      <c r="V31" s="705" t="s">
        <v>14</v>
      </c>
      <c r="W31" s="706">
        <f t="shared" si="14"/>
        <v>100</v>
      </c>
      <c r="X31" s="1353"/>
      <c r="Y31" s="380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813"/>
      <c r="Q32" s="1350">
        <f t="shared" si="11"/>
        <v>111</v>
      </c>
      <c r="R32" s="705" t="s">
        <v>14</v>
      </c>
      <c r="S32" s="706">
        <f t="shared" si="12"/>
        <v>100</v>
      </c>
      <c r="T32" s="705" t="s">
        <v>14</v>
      </c>
      <c r="U32" s="706">
        <f t="shared" si="13"/>
        <v>100</v>
      </c>
      <c r="V32" s="705" t="s">
        <v>14</v>
      </c>
      <c r="W32" s="706">
        <f t="shared" si="14"/>
        <v>100</v>
      </c>
      <c r="X32" s="1353"/>
      <c r="Y32" s="3806"/>
      <c r="Z32" s="1354">
        <f t="shared" si="15"/>
        <v>111</v>
      </c>
      <c r="AA32" s="1351">
        <f t="shared" si="3"/>
        <v>1</v>
      </c>
      <c r="AB32" s="1351">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807" t="s">
        <v>1695</v>
      </c>
      <c r="Q33" s="1350" t="str">
        <f t="shared" si="11"/>
        <v>建筑类型</v>
      </c>
      <c r="R33" s="705" t="s">
        <v>14</v>
      </c>
      <c r="S33" s="706">
        <f t="shared" si="12"/>
        <v>100</v>
      </c>
      <c r="T33" s="705" t="s">
        <v>14</v>
      </c>
      <c r="U33" s="706">
        <f t="shared" si="13"/>
        <v>100</v>
      </c>
      <c r="V33" s="705" t="s">
        <v>14</v>
      </c>
      <c r="W33" s="706">
        <f t="shared" si="14"/>
        <v>100</v>
      </c>
      <c r="X33" s="1353"/>
      <c r="Y33" s="3810" t="s">
        <v>1695</v>
      </c>
      <c r="Z33" s="1354" t="str">
        <f t="shared" si="15"/>
        <v>建筑类型</v>
      </c>
      <c r="AA33" s="1351">
        <f t="shared" si="3"/>
        <v>1</v>
      </c>
      <c r="AB33" s="1351">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808"/>
      <c r="Q34" s="707" t="str">
        <f t="shared" si="11"/>
        <v>项目建筑规模</v>
      </c>
      <c r="R34" s="708" t="s">
        <v>14</v>
      </c>
      <c r="S34" s="709" t="e">
        <f t="shared" si="12"/>
        <v>#N/A</v>
      </c>
      <c r="T34" s="708" t="s">
        <v>14</v>
      </c>
      <c r="U34" s="709" t="e">
        <f t="shared" si="13"/>
        <v>#N/A</v>
      </c>
      <c r="V34" s="708" t="s">
        <v>14</v>
      </c>
      <c r="W34" s="709" t="e">
        <f t="shared" si="14"/>
        <v>#N/A</v>
      </c>
      <c r="X34" s="710"/>
      <c r="Y34" s="3810"/>
      <c r="Z34" s="711" t="str">
        <f t="shared" si="15"/>
        <v>项目建筑规模</v>
      </c>
      <c r="AA34" s="1351" t="e">
        <f t="shared" si="3"/>
        <v>#N/A</v>
      </c>
      <c r="AB34" s="1351"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808"/>
      <c r="Q35" s="1350" t="str">
        <f t="shared" si="11"/>
        <v>建筑结构</v>
      </c>
      <c r="R35" s="705" t="s">
        <v>14</v>
      </c>
      <c r="S35" s="706">
        <f t="shared" si="12"/>
        <v>100</v>
      </c>
      <c r="T35" s="705" t="s">
        <v>14</v>
      </c>
      <c r="U35" s="706">
        <f t="shared" si="13"/>
        <v>100</v>
      </c>
      <c r="V35" s="705" t="s">
        <v>14</v>
      </c>
      <c r="W35" s="706">
        <f t="shared" si="14"/>
        <v>100</v>
      </c>
      <c r="X35" s="1353"/>
      <c r="Y35" s="3810"/>
      <c r="Z35" s="1354" t="str">
        <f t="shared" si="15"/>
        <v>建筑结构</v>
      </c>
      <c r="AA35" s="1351">
        <f t="shared" si="3"/>
        <v>1</v>
      </c>
      <c r="AB35" s="1351">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808"/>
      <c r="Q36" s="1350" t="str">
        <f t="shared" si="11"/>
        <v>公共部分装修</v>
      </c>
      <c r="R36" s="705" t="s">
        <v>14</v>
      </c>
      <c r="S36" s="706">
        <f t="shared" si="12"/>
        <v>100</v>
      </c>
      <c r="T36" s="705" t="s">
        <v>14</v>
      </c>
      <c r="U36" s="706">
        <f t="shared" si="13"/>
        <v>100</v>
      </c>
      <c r="V36" s="705" t="s">
        <v>14</v>
      </c>
      <c r="W36" s="706">
        <f t="shared" si="14"/>
        <v>100</v>
      </c>
      <c r="X36" s="1353"/>
      <c r="Y36" s="3810"/>
      <c r="Z36" s="1354" t="str">
        <f t="shared" si="15"/>
        <v>公共部分装修</v>
      </c>
      <c r="AA36" s="1351">
        <f t="shared" si="3"/>
        <v>1</v>
      </c>
      <c r="AB36" s="1351">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808"/>
      <c r="Q37" s="1350" t="str">
        <f t="shared" si="11"/>
        <v>成新度</v>
      </c>
      <c r="R37" s="705" t="s">
        <v>14</v>
      </c>
      <c r="S37" s="706" t="e">
        <f t="shared" si="12"/>
        <v>#N/A</v>
      </c>
      <c r="T37" s="705" t="s">
        <v>14</v>
      </c>
      <c r="U37" s="706" t="e">
        <f t="shared" si="13"/>
        <v>#N/A</v>
      </c>
      <c r="V37" s="705" t="s">
        <v>14</v>
      </c>
      <c r="W37" s="706" t="e">
        <f t="shared" si="14"/>
        <v>#N/A</v>
      </c>
      <c r="X37" s="1353"/>
      <c r="Y37" s="3810"/>
      <c r="Z37" s="1354" t="str">
        <f t="shared" si="15"/>
        <v>成新度</v>
      </c>
      <c r="AA37" s="1351" t="e">
        <f t="shared" si="3"/>
        <v>#N/A</v>
      </c>
      <c r="AB37" s="1351"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808"/>
      <c r="Q38" s="1341" t="str">
        <f t="shared" si="11"/>
        <v>写字楼等级</v>
      </c>
      <c r="R38" s="701" t="s">
        <v>14</v>
      </c>
      <c r="S38" s="702">
        <f t="shared" si="12"/>
        <v>100</v>
      </c>
      <c r="T38" s="701" t="s">
        <v>14</v>
      </c>
      <c r="U38" s="702">
        <f t="shared" si="13"/>
        <v>100</v>
      </c>
      <c r="V38" s="701" t="s">
        <v>14</v>
      </c>
      <c r="W38" s="702">
        <f t="shared" si="14"/>
        <v>100</v>
      </c>
      <c r="X38" s="703"/>
      <c r="Y38" s="3810"/>
      <c r="Z38" s="52" t="str">
        <f t="shared" si="15"/>
        <v>写字楼等级</v>
      </c>
      <c r="AA38" s="704">
        <f t="shared" si="3"/>
        <v>1</v>
      </c>
      <c r="AB38" s="704">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808" t="s">
        <v>1695</v>
      </c>
      <c r="Q39" s="1350" t="str">
        <f t="shared" si="11"/>
        <v>物业管理</v>
      </c>
      <c r="R39" s="705" t="s">
        <v>14</v>
      </c>
      <c r="S39" s="706">
        <f t="shared" si="12"/>
        <v>100</v>
      </c>
      <c r="T39" s="705" t="s">
        <v>14</v>
      </c>
      <c r="U39" s="706">
        <f t="shared" si="13"/>
        <v>100</v>
      </c>
      <c r="V39" s="705" t="s">
        <v>14</v>
      </c>
      <c r="W39" s="706">
        <f t="shared" si="14"/>
        <v>100</v>
      </c>
      <c r="X39" s="1353"/>
      <c r="Y39" s="3810" t="s">
        <v>1695</v>
      </c>
      <c r="Z39" s="1354" t="str">
        <f t="shared" si="15"/>
        <v>物业管理</v>
      </c>
      <c r="AA39" s="1351">
        <f t="shared" si="3"/>
        <v>1</v>
      </c>
      <c r="AB39" s="1351">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808"/>
      <c r="Q40" s="1350" t="str">
        <f t="shared" si="11"/>
        <v>市政基础设施</v>
      </c>
      <c r="R40" s="705" t="s">
        <v>14</v>
      </c>
      <c r="S40" s="706">
        <f t="shared" si="12"/>
        <v>100</v>
      </c>
      <c r="T40" s="705" t="s">
        <v>14</v>
      </c>
      <c r="U40" s="706">
        <f t="shared" si="13"/>
        <v>100</v>
      </c>
      <c r="V40" s="705" t="s">
        <v>14</v>
      </c>
      <c r="W40" s="706">
        <f t="shared" si="14"/>
        <v>100</v>
      </c>
      <c r="X40" s="1353"/>
      <c r="Y40" s="3810"/>
      <c r="Z40" s="1354" t="str">
        <f t="shared" si="15"/>
        <v>市政基础设施</v>
      </c>
      <c r="AA40" s="1351">
        <f t="shared" si="3"/>
        <v>1</v>
      </c>
      <c r="AB40" s="1351">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808"/>
      <c r="Q41" s="1350" t="str">
        <f t="shared" si="11"/>
        <v>层高</v>
      </c>
      <c r="R41" s="705" t="s">
        <v>14</v>
      </c>
      <c r="S41" s="706">
        <f t="shared" si="12"/>
        <v>100</v>
      </c>
      <c r="T41" s="705" t="s">
        <v>14</v>
      </c>
      <c r="U41" s="706">
        <f t="shared" si="13"/>
        <v>100</v>
      </c>
      <c r="V41" s="705" t="s">
        <v>14</v>
      </c>
      <c r="W41" s="706">
        <f t="shared" si="14"/>
        <v>100</v>
      </c>
      <c r="X41" s="1353"/>
      <c r="Y41" s="3810"/>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808"/>
      <c r="Q42" s="707" t="str">
        <f t="shared" si="11"/>
        <v>单套建筑面积</v>
      </c>
      <c r="R42" s="708" t="s">
        <v>14</v>
      </c>
      <c r="S42" s="709">
        <f t="shared" si="12"/>
        <v>100</v>
      </c>
      <c r="T42" s="708" t="s">
        <v>14</v>
      </c>
      <c r="U42" s="709">
        <f t="shared" si="13"/>
        <v>100</v>
      </c>
      <c r="V42" s="708" t="s">
        <v>14</v>
      </c>
      <c r="W42" s="709">
        <f t="shared" si="14"/>
        <v>100</v>
      </c>
      <c r="X42" s="710"/>
      <c r="Y42" s="3810"/>
      <c r="Z42" s="711" t="str">
        <f t="shared" si="15"/>
        <v>单套建筑面积</v>
      </c>
      <c r="AA42" s="1351">
        <f t="shared" si="3"/>
        <v>1</v>
      </c>
      <c r="AB42" s="1351">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808"/>
      <c r="Q43" s="1350" t="str">
        <f t="shared" si="11"/>
        <v>内部装修</v>
      </c>
      <c r="R43" s="705" t="s">
        <v>14</v>
      </c>
      <c r="S43" s="706">
        <f t="shared" si="12"/>
        <v>100</v>
      </c>
      <c r="T43" s="705" t="s">
        <v>14</v>
      </c>
      <c r="U43" s="706">
        <f t="shared" si="13"/>
        <v>100</v>
      </c>
      <c r="V43" s="705" t="s">
        <v>14</v>
      </c>
      <c r="W43" s="706">
        <f t="shared" si="14"/>
        <v>100</v>
      </c>
      <c r="X43" s="1353"/>
      <c r="Y43" s="3810"/>
      <c r="Z43" s="1354" t="str">
        <f t="shared" si="15"/>
        <v>内部装修</v>
      </c>
      <c r="AA43" s="1351">
        <f t="shared" si="3"/>
        <v>1</v>
      </c>
      <c r="AB43" s="1351">
        <f t="shared" si="4"/>
        <v>1</v>
      </c>
      <c r="AC43" s="1960">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808"/>
      <c r="Q44" s="1350" t="str">
        <f t="shared" si="11"/>
        <v>内部装修维护情况</v>
      </c>
      <c r="R44" s="705" t="s">
        <v>14</v>
      </c>
      <c r="S44" s="706">
        <f t="shared" si="12"/>
        <v>100</v>
      </c>
      <c r="T44" s="705" t="s">
        <v>14</v>
      </c>
      <c r="U44" s="706">
        <f t="shared" si="13"/>
        <v>100</v>
      </c>
      <c r="V44" s="705" t="s">
        <v>14</v>
      </c>
      <c r="W44" s="706">
        <f t="shared" si="14"/>
        <v>100</v>
      </c>
      <c r="X44" s="1353"/>
      <c r="Y44" s="381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808"/>
      <c r="Q45" s="1341">
        <f t="shared" si="11"/>
        <v>111</v>
      </c>
      <c r="R45" s="701" t="s">
        <v>14</v>
      </c>
      <c r="S45" s="702">
        <f t="shared" si="12"/>
        <v>100</v>
      </c>
      <c r="T45" s="701" t="s">
        <v>14</v>
      </c>
      <c r="U45" s="702">
        <f t="shared" si="13"/>
        <v>100</v>
      </c>
      <c r="V45" s="701" t="s">
        <v>14</v>
      </c>
      <c r="W45" s="702">
        <f t="shared" si="14"/>
        <v>100</v>
      </c>
      <c r="X45" s="703"/>
      <c r="Y45" s="3810"/>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808"/>
      <c r="Q46" s="1350">
        <f t="shared" si="11"/>
        <v>111</v>
      </c>
      <c r="R46" s="705" t="s">
        <v>14</v>
      </c>
      <c r="S46" s="706">
        <f t="shared" si="12"/>
        <v>100</v>
      </c>
      <c r="T46" s="705" t="s">
        <v>14</v>
      </c>
      <c r="U46" s="706">
        <f t="shared" si="13"/>
        <v>100</v>
      </c>
      <c r="V46" s="705" t="s">
        <v>14</v>
      </c>
      <c r="W46" s="706">
        <f t="shared" si="14"/>
        <v>100</v>
      </c>
      <c r="X46" s="1353"/>
      <c r="Y46" s="381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809"/>
      <c r="Q47" s="1350">
        <f t="shared" si="11"/>
        <v>111</v>
      </c>
      <c r="R47" s="705" t="s">
        <v>14</v>
      </c>
      <c r="S47" s="706">
        <f t="shared" si="12"/>
        <v>100</v>
      </c>
      <c r="T47" s="705" t="s">
        <v>14</v>
      </c>
      <c r="U47" s="706">
        <f t="shared" si="13"/>
        <v>100</v>
      </c>
      <c r="V47" s="705" t="s">
        <v>14</v>
      </c>
      <c r="W47" s="706">
        <f t="shared" si="14"/>
        <v>100</v>
      </c>
      <c r="X47" s="1353"/>
      <c r="Y47" s="3811"/>
      <c r="Z47" s="1354">
        <f t="shared" si="15"/>
        <v>111</v>
      </c>
      <c r="AA47" s="1351">
        <f t="shared" si="3"/>
        <v>1</v>
      </c>
      <c r="AB47" s="1351">
        <f t="shared" si="4"/>
        <v>1</v>
      </c>
      <c r="AC47" s="1960">
        <f t="shared" si="5"/>
        <v>1</v>
      </c>
    </row>
    <row r="48" spans="1:29" ht="15">
      <c r="A48" s="430" t="s">
        <v>1707</v>
      </c>
      <c r="B48" s="431"/>
      <c r="C48" s="1152" t="s">
        <v>0</v>
      </c>
      <c r="D48" s="1153"/>
      <c r="E48" s="1154"/>
      <c r="F48" s="1155"/>
      <c r="G48" s="1156"/>
      <c r="H48" s="1157"/>
      <c r="I48" s="1154"/>
      <c r="J48" s="436"/>
      <c r="K48" s="714"/>
      <c r="L48" s="2719"/>
      <c r="M48" s="2711"/>
      <c r="N48" s="2711"/>
      <c r="O48" s="2711"/>
      <c r="P48" s="3785" t="str">
        <f>A48</f>
        <v>成交单价（元/平方米）</v>
      </c>
      <c r="Q48" s="3803"/>
      <c r="R48" s="3804">
        <f>E48</f>
        <v>0</v>
      </c>
      <c r="S48" s="3804"/>
      <c r="T48" s="3804">
        <f>G48</f>
        <v>0</v>
      </c>
      <c r="U48" s="3804"/>
      <c r="V48" s="3804">
        <f>I48</f>
        <v>0</v>
      </c>
      <c r="W48" s="3804"/>
      <c r="X48" s="397"/>
      <c r="Y48" s="712"/>
      <c r="Z48" s="397"/>
      <c r="AA48" s="397"/>
      <c r="AB48" s="397"/>
      <c r="AC48" s="578"/>
    </row>
    <row r="49" spans="1:29" ht="15.75" thickBot="1">
      <c r="A49" s="437" t="s">
        <v>1792</v>
      </c>
      <c r="B49" s="438"/>
      <c r="C49" s="1158" t="e">
        <f>R50</f>
        <v>#DIV/0!</v>
      </c>
      <c r="D49" s="2315" t="s">
        <v>2137</v>
      </c>
      <c r="E49" s="1159" t="e">
        <f>R49</f>
        <v>#DIV/0!</v>
      </c>
      <c r="F49" s="2316"/>
      <c r="G49" s="1158" t="e">
        <f>T49</f>
        <v>#DIV/0!</v>
      </c>
      <c r="H49" s="2316"/>
      <c r="I49" s="1159" t="e">
        <f>V49</f>
        <v>#DIV/0!</v>
      </c>
      <c r="J49" s="2316"/>
      <c r="K49" s="2318">
        <f>F49+H49+J49</f>
        <v>0</v>
      </c>
      <c r="L49" s="2719"/>
      <c r="M49" s="2711"/>
      <c r="N49" s="2711"/>
      <c r="O49" s="2711"/>
      <c r="P49" s="3785" t="str">
        <f>A49</f>
        <v>比较价值（元/平方米）</v>
      </c>
      <c r="Q49" s="3803"/>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397"/>
      <c r="Y49" s="397"/>
      <c r="Z49" s="397"/>
      <c r="AA49" s="397"/>
      <c r="AB49" s="397"/>
      <c r="AC49" s="578"/>
    </row>
    <row r="50" spans="1:29" ht="15.75" thickBot="1">
      <c r="A50" s="441" t="s">
        <v>1793</v>
      </c>
      <c r="B50" s="442"/>
      <c r="C50" s="1161" t="e">
        <f>R50</f>
        <v>#DIV/0!</v>
      </c>
      <c r="D50" s="1161"/>
      <c r="E50" s="1161"/>
      <c r="F50" s="1161"/>
      <c r="G50" s="1161"/>
      <c r="H50" s="1161"/>
      <c r="I50" s="1161"/>
      <c r="J50" s="443"/>
      <c r="K50" s="715"/>
      <c r="L50" s="2719"/>
      <c r="M50" s="2711"/>
      <c r="N50" s="2711"/>
      <c r="O50" s="2711"/>
      <c r="P50" s="3826" t="str">
        <f>A50</f>
        <v>估价对象XX用房的比较价值（楼面单价，元/平方米）</v>
      </c>
      <c r="Q50" s="3827"/>
      <c r="R50" s="3828" t="e">
        <f>IF(F1="售价",ROUND(IF(D49="简单平均",AVERAGE(R49:V49),R49*F49+T49*H49+V49*J49),0),ROUND(IF(D49="简单平均",AVERAGE(R49:V49),R49*F49+T49*H49+V49*J49),1))</f>
        <v>#DIV/0!</v>
      </c>
      <c r="S50" s="3828"/>
      <c r="T50" s="3828"/>
      <c r="U50" s="3828"/>
      <c r="V50" s="3828"/>
      <c r="W50" s="3828"/>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1">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1825</v>
      </c>
      <c r="C1" s="1222" t="s">
        <v>1661</v>
      </c>
      <c r="D1" s="1223"/>
      <c r="E1" s="3430"/>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1462</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59427.91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86" t="s">
        <v>1769</v>
      </c>
      <c r="D4" s="3787"/>
      <c r="E4" s="3788" t="s">
        <v>1770</v>
      </c>
      <c r="F4" s="3789"/>
      <c r="G4" s="3786" t="s">
        <v>1771</v>
      </c>
      <c r="H4" s="3787"/>
      <c r="I4" s="3786" t="s">
        <v>1772</v>
      </c>
      <c r="J4" s="3787"/>
      <c r="K4" s="559" t="s">
        <v>1773</v>
      </c>
      <c r="L4" s="913"/>
      <c r="M4" s="914"/>
      <c r="N4" s="914"/>
      <c r="O4" s="914"/>
      <c r="P4" s="3790" t="s">
        <v>1774</v>
      </c>
      <c r="Q4" s="3791"/>
      <c r="R4" s="3773" t="s">
        <v>1770</v>
      </c>
      <c r="S4" s="3774"/>
      <c r="T4" s="3773" t="s">
        <v>1771</v>
      </c>
      <c r="U4" s="3774"/>
      <c r="V4" s="3798" t="s">
        <v>1772</v>
      </c>
      <c r="W4" s="3798"/>
      <c r="X4" s="1353"/>
      <c r="Y4" s="3773" t="s">
        <v>1774</v>
      </c>
      <c r="Z4" s="3774"/>
      <c r="AA4" s="3768" t="s">
        <v>1770</v>
      </c>
      <c r="AB4" s="3769" t="s">
        <v>1771</v>
      </c>
      <c r="AC4" s="3768" t="s">
        <v>1772</v>
      </c>
    </row>
    <row r="5" spans="1:29" ht="15">
      <c r="A5" s="358"/>
      <c r="B5" s="359"/>
      <c r="C5" s="3779" t="s">
        <v>1672</v>
      </c>
      <c r="D5" s="3780"/>
      <c r="E5" s="3777" t="s">
        <v>1673</v>
      </c>
      <c r="F5" s="3778"/>
      <c r="G5" s="3779" t="s">
        <v>1674</v>
      </c>
      <c r="H5" s="3780"/>
      <c r="I5" s="3779" t="s">
        <v>1675</v>
      </c>
      <c r="J5" s="3780"/>
      <c r="K5" s="559"/>
      <c r="L5" s="913"/>
      <c r="M5" s="914"/>
      <c r="N5" s="914"/>
      <c r="O5" s="914"/>
      <c r="P5" s="3792"/>
      <c r="Q5" s="3793"/>
      <c r="R5" s="3775"/>
      <c r="S5" s="3776"/>
      <c r="T5" s="3775"/>
      <c r="U5" s="3776"/>
      <c r="V5" s="3798"/>
      <c r="W5" s="3798"/>
      <c r="X5" s="1353"/>
      <c r="Y5" s="3775"/>
      <c r="Z5" s="3776"/>
      <c r="AA5" s="3769"/>
      <c r="AB5" s="3769"/>
      <c r="AC5" s="3769"/>
    </row>
    <row r="6" spans="1:29" ht="15.75" thickBot="1">
      <c r="A6" s="360"/>
      <c r="B6" s="361"/>
      <c r="C6" s="3781" t="s">
        <v>1676</v>
      </c>
      <c r="D6" s="3782"/>
      <c r="E6" s="3783" t="s">
        <v>1676</v>
      </c>
      <c r="F6" s="3784"/>
      <c r="G6" s="3781" t="s">
        <v>1676</v>
      </c>
      <c r="H6" s="3782"/>
      <c r="I6" s="3781" t="s">
        <v>1676</v>
      </c>
      <c r="J6" s="3782"/>
      <c r="K6" s="559" t="s">
        <v>1677</v>
      </c>
      <c r="L6" s="913"/>
      <c r="M6" s="914"/>
      <c r="N6" s="914"/>
      <c r="O6" s="914"/>
      <c r="P6" s="3794"/>
      <c r="Q6" s="3795"/>
      <c r="R6" s="3775"/>
      <c r="S6" s="3776"/>
      <c r="T6" s="3796"/>
      <c r="U6" s="3797"/>
      <c r="V6" s="3798"/>
      <c r="W6" s="3798"/>
      <c r="X6" s="1353"/>
      <c r="Y6" s="3796"/>
      <c r="Z6" s="3797"/>
      <c r="AA6" s="3770"/>
      <c r="AB6" s="3770"/>
      <c r="AC6" s="3770"/>
    </row>
    <row r="7" spans="1:29" s="108" customFormat="1" ht="15.75" thickBot="1">
      <c r="A7" s="362" t="s">
        <v>1678</v>
      </c>
      <c r="B7" s="363"/>
      <c r="C7" s="364">
        <f>'数据-取费表'!B2</f>
        <v>45001</v>
      </c>
      <c r="D7" s="365">
        <v>100</v>
      </c>
      <c r="E7" s="366"/>
      <c r="F7" s="367">
        <f>SUMIF(52:52,YEAR(E7)&amp;"-"&amp;MONTH(E7),53:53)</f>
        <v>0</v>
      </c>
      <c r="G7" s="366"/>
      <c r="H7" s="365">
        <f>SUMIF(52:52,YEAR(G7)&amp;"-"&amp;MONTH(G7),53:53)</f>
        <v>0</v>
      </c>
      <c r="I7" s="366"/>
      <c r="J7" s="365">
        <f>SUMIF(52:52,YEAR(I7)&amp;"-"&amp;MONTH(I7),53:53)</f>
        <v>0</v>
      </c>
      <c r="K7" s="560"/>
      <c r="L7" s="915"/>
      <c r="M7" s="916"/>
      <c r="N7" s="916"/>
      <c r="O7" s="916"/>
      <c r="P7" s="3771"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1" t="s">
        <v>1682</v>
      </c>
      <c r="Q8" s="3772"/>
      <c r="R8" s="701" t="s">
        <v>14</v>
      </c>
      <c r="S8" s="702">
        <f t="shared" si="0"/>
        <v>100</v>
      </c>
      <c r="T8" s="701" t="s">
        <v>14</v>
      </c>
      <c r="U8" s="702">
        <f t="shared" si="1"/>
        <v>100</v>
      </c>
      <c r="V8" s="701" t="s">
        <v>14</v>
      </c>
      <c r="W8" s="702">
        <f t="shared" si="2"/>
        <v>100</v>
      </c>
      <c r="X8" s="703"/>
      <c r="Y8" s="3771" t="s">
        <v>1682</v>
      </c>
      <c r="Z8" s="377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3" t="s">
        <v>1685</v>
      </c>
      <c r="Q9" s="1341" t="str">
        <f t="shared" ref="Q9:Q15" si="6">B9</f>
        <v>用途</v>
      </c>
      <c r="R9" s="701" t="s">
        <v>14</v>
      </c>
      <c r="S9" s="702">
        <f t="shared" si="0"/>
        <v>100</v>
      </c>
      <c r="T9" s="701" t="s">
        <v>14</v>
      </c>
      <c r="U9" s="702">
        <f t="shared" si="1"/>
        <v>100</v>
      </c>
      <c r="V9" s="701" t="s">
        <v>14</v>
      </c>
      <c r="W9" s="702">
        <f t="shared" si="2"/>
        <v>100</v>
      </c>
      <c r="X9" s="703"/>
      <c r="Y9" s="3669"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03"/>
      <c r="Q10" s="1341"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3"/>
      <c r="Q11" s="1341" t="str">
        <f t="shared" si="6"/>
        <v>容积率</v>
      </c>
      <c r="R11" s="701" t="s">
        <v>14</v>
      </c>
      <c r="S11" s="702">
        <f t="shared" si="0"/>
        <v>100</v>
      </c>
      <c r="T11" s="701" t="s">
        <v>14</v>
      </c>
      <c r="U11" s="702">
        <f t="shared" si="1"/>
        <v>100</v>
      </c>
      <c r="V11" s="701" t="s">
        <v>14</v>
      </c>
      <c r="W11" s="702">
        <f t="shared" si="2"/>
        <v>100</v>
      </c>
      <c r="X11" s="703"/>
      <c r="Y11" s="3669"/>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03"/>
      <c r="Q12" s="1341">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03"/>
      <c r="Q13" s="1341">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03"/>
      <c r="Q14" s="1341">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5" t="s">
        <v>1690</v>
      </c>
      <c r="Q15" s="1350" t="str">
        <f t="shared" si="6"/>
        <v>产业集聚程度</v>
      </c>
      <c r="R15" s="705" t="s">
        <v>14</v>
      </c>
      <c r="S15" s="706">
        <f t="shared" si="0"/>
        <v>100</v>
      </c>
      <c r="T15" s="705" t="s">
        <v>14</v>
      </c>
      <c r="U15" s="706">
        <f t="shared" si="1"/>
        <v>100</v>
      </c>
      <c r="V15" s="705" t="s">
        <v>14</v>
      </c>
      <c r="W15" s="706">
        <f t="shared" si="2"/>
        <v>100</v>
      </c>
      <c r="X15" s="1353"/>
      <c r="Y15" s="3805"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806"/>
      <c r="Q16" s="1350"/>
      <c r="R16" s="705"/>
      <c r="S16" s="706"/>
      <c r="T16" s="705"/>
      <c r="U16" s="706"/>
      <c r="V16" s="705"/>
      <c r="W16" s="706"/>
      <c r="X16" s="1353"/>
      <c r="Y16" s="3806"/>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6"/>
      <c r="Q17" s="1350" t="str">
        <f>B17</f>
        <v>交通便捷度</v>
      </c>
      <c r="R17" s="705" t="s">
        <v>14</v>
      </c>
      <c r="S17" s="706">
        <f>F17</f>
        <v>100</v>
      </c>
      <c r="T17" s="705" t="s">
        <v>14</v>
      </c>
      <c r="U17" s="706">
        <f>H17</f>
        <v>100</v>
      </c>
      <c r="V17" s="705" t="s">
        <v>14</v>
      </c>
      <c r="W17" s="706">
        <f>J17</f>
        <v>100</v>
      </c>
      <c r="X17" s="1353"/>
      <c r="Y17" s="38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806"/>
      <c r="Q18" s="1350"/>
      <c r="R18" s="705"/>
      <c r="S18" s="706"/>
      <c r="T18" s="705"/>
      <c r="U18" s="706"/>
      <c r="V18" s="705"/>
      <c r="W18" s="706"/>
      <c r="X18" s="1353"/>
      <c r="Y18" s="3806"/>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6"/>
      <c r="Q19" s="1350" t="str">
        <f>B19</f>
        <v>公共配套设施</v>
      </c>
      <c r="R19" s="705" t="s">
        <v>14</v>
      </c>
      <c r="S19" s="706">
        <f>F19</f>
        <v>100</v>
      </c>
      <c r="T19" s="705" t="s">
        <v>14</v>
      </c>
      <c r="U19" s="706">
        <f>H19</f>
        <v>100</v>
      </c>
      <c r="V19" s="705" t="s">
        <v>14</v>
      </c>
      <c r="W19" s="706">
        <f>J19</f>
        <v>100</v>
      </c>
      <c r="X19" s="1353"/>
      <c r="Y19" s="38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806"/>
      <c r="Q20" s="1350"/>
      <c r="R20" s="705"/>
      <c r="S20" s="706"/>
      <c r="T20" s="705"/>
      <c r="U20" s="706"/>
      <c r="V20" s="705"/>
      <c r="W20" s="706"/>
      <c r="X20" s="1353"/>
      <c r="Y20" s="3806"/>
      <c r="Z20" s="1354"/>
      <c r="AA20" s="1351">
        <v>1</v>
      </c>
      <c r="AB20" s="1351">
        <v>1</v>
      </c>
      <c r="AC20" s="1351">
        <v>1</v>
      </c>
    </row>
    <row r="21" spans="1:29" ht="28.5">
      <c r="A21" s="379"/>
      <c r="B21" s="1129"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6"/>
      <c r="Q21" s="1350" t="str">
        <f>B21</f>
        <v>基础设施水平</v>
      </c>
      <c r="R21" s="705" t="s">
        <v>14</v>
      </c>
      <c r="S21" s="706">
        <f>F21</f>
        <v>100</v>
      </c>
      <c r="T21" s="705" t="s">
        <v>14</v>
      </c>
      <c r="U21" s="706">
        <f>H21</f>
        <v>100</v>
      </c>
      <c r="V21" s="705" t="s">
        <v>14</v>
      </c>
      <c r="W21" s="706">
        <f>J21</f>
        <v>100</v>
      </c>
      <c r="X21" s="1353"/>
      <c r="Y21" s="38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3"/>
      <c r="M22" s="914"/>
      <c r="N22" s="914"/>
      <c r="O22" s="922"/>
      <c r="P22" s="3806"/>
      <c r="Q22" s="1350"/>
      <c r="R22" s="705"/>
      <c r="S22" s="706"/>
      <c r="T22" s="705"/>
      <c r="U22" s="706"/>
      <c r="V22" s="705"/>
      <c r="W22" s="706"/>
      <c r="X22" s="1353"/>
      <c r="Y22" s="3806"/>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6"/>
      <c r="Q23" s="1350" t="str">
        <f>B23</f>
        <v>环境质量</v>
      </c>
      <c r="R23" s="705" t="s">
        <v>14</v>
      </c>
      <c r="S23" s="706">
        <f>F23</f>
        <v>100</v>
      </c>
      <c r="T23" s="705" t="s">
        <v>14</v>
      </c>
      <c r="U23" s="706">
        <f>H23</f>
        <v>100</v>
      </c>
      <c r="V23" s="705" t="s">
        <v>14</v>
      </c>
      <c r="W23" s="706">
        <f>J23</f>
        <v>100</v>
      </c>
      <c r="X23" s="1353"/>
      <c r="Y23" s="380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3"/>
      <c r="M24" s="914"/>
      <c r="N24" s="914"/>
      <c r="O24" s="922"/>
      <c r="P24" s="3806"/>
      <c r="Q24" s="1350"/>
      <c r="R24" s="705"/>
      <c r="S24" s="706"/>
      <c r="T24" s="705"/>
      <c r="U24" s="706"/>
      <c r="V24" s="705"/>
      <c r="W24" s="706"/>
      <c r="X24" s="1353"/>
      <c r="Y24" s="380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6"/>
      <c r="Q25" s="1350">
        <f>B25</f>
        <v>111</v>
      </c>
      <c r="R25" s="705" t="s">
        <v>14</v>
      </c>
      <c r="S25" s="706">
        <f>F25</f>
        <v>100</v>
      </c>
      <c r="T25" s="705" t="s">
        <v>14</v>
      </c>
      <c r="U25" s="706">
        <f>H25</f>
        <v>100</v>
      </c>
      <c r="V25" s="705" t="s">
        <v>14</v>
      </c>
      <c r="W25" s="706">
        <f>J25</f>
        <v>100</v>
      </c>
      <c r="X25" s="1353"/>
      <c r="Y25" s="380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6"/>
      <c r="Q26" s="1350">
        <f t="shared" ref="Q26:Q40" si="11">B26</f>
        <v>111</v>
      </c>
      <c r="R26" s="705" t="s">
        <v>14</v>
      </c>
      <c r="S26" s="706">
        <f>F26</f>
        <v>100</v>
      </c>
      <c r="T26" s="705" t="s">
        <v>14</v>
      </c>
      <c r="U26" s="706">
        <f>H26</f>
        <v>100</v>
      </c>
      <c r="V26" s="705" t="s">
        <v>14</v>
      </c>
      <c r="W26" s="706">
        <f>J26</f>
        <v>100</v>
      </c>
      <c r="X26" s="1353"/>
      <c r="Y26" s="380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6"/>
      <c r="Q27" s="1341">
        <f t="shared" si="11"/>
        <v>111</v>
      </c>
      <c r="R27" s="701" t="s">
        <v>14</v>
      </c>
      <c r="S27" s="702">
        <f>F27</f>
        <v>100</v>
      </c>
      <c r="T27" s="701" t="s">
        <v>14</v>
      </c>
      <c r="U27" s="702">
        <f>H27</f>
        <v>100</v>
      </c>
      <c r="V27" s="701" t="s">
        <v>14</v>
      </c>
      <c r="W27" s="702">
        <f>J27</f>
        <v>100</v>
      </c>
      <c r="X27" s="703"/>
      <c r="Y27" s="380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6"/>
      <c r="Q28" s="1350">
        <f t="shared" si="11"/>
        <v>111</v>
      </c>
      <c r="R28" s="705" t="s">
        <v>14</v>
      </c>
      <c r="S28" s="706">
        <f t="shared" ref="S28:S40" si="12">F28</f>
        <v>100</v>
      </c>
      <c r="T28" s="705" t="s">
        <v>14</v>
      </c>
      <c r="U28" s="706">
        <f t="shared" ref="U28:U40" si="13">H28</f>
        <v>100</v>
      </c>
      <c r="V28" s="705" t="s">
        <v>14</v>
      </c>
      <c r="W28" s="706">
        <f t="shared" ref="W28:W40" si="14">J28</f>
        <v>100</v>
      </c>
      <c r="X28" s="1353"/>
      <c r="Y28" s="3806"/>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29" t="s">
        <v>1695</v>
      </c>
      <c r="Q29" s="1350" t="str">
        <f t="shared" si="11"/>
        <v>建筑类型</v>
      </c>
      <c r="R29" s="705" t="s">
        <v>14</v>
      </c>
      <c r="S29" s="706">
        <f t="shared" si="12"/>
        <v>100</v>
      </c>
      <c r="T29" s="705" t="s">
        <v>14</v>
      </c>
      <c r="U29" s="706">
        <f t="shared" si="13"/>
        <v>100</v>
      </c>
      <c r="V29" s="705" t="s">
        <v>14</v>
      </c>
      <c r="W29" s="706">
        <f t="shared" si="14"/>
        <v>100</v>
      </c>
      <c r="X29" s="1353"/>
      <c r="Y29" s="3810"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0"/>
      <c r="Q30" s="707" t="str">
        <f t="shared" si="11"/>
        <v>项目建筑规模</v>
      </c>
      <c r="R30" s="708" t="s">
        <v>14</v>
      </c>
      <c r="S30" s="709" t="e">
        <f t="shared" si="12"/>
        <v>#N/A</v>
      </c>
      <c r="T30" s="708" t="s">
        <v>14</v>
      </c>
      <c r="U30" s="709" t="e">
        <f t="shared" si="13"/>
        <v>#N/A</v>
      </c>
      <c r="V30" s="708" t="s">
        <v>14</v>
      </c>
      <c r="W30" s="709" t="e">
        <f t="shared" si="14"/>
        <v>#N/A</v>
      </c>
      <c r="X30" s="710"/>
      <c r="Y30" s="3810"/>
      <c r="Z30" s="711"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0"/>
      <c r="Q31" s="1350" t="str">
        <f t="shared" si="11"/>
        <v>建筑结构</v>
      </c>
      <c r="R31" s="705" t="s">
        <v>14</v>
      </c>
      <c r="S31" s="706">
        <f t="shared" si="12"/>
        <v>100</v>
      </c>
      <c r="T31" s="705" t="s">
        <v>14</v>
      </c>
      <c r="U31" s="706">
        <f t="shared" si="13"/>
        <v>100</v>
      </c>
      <c r="V31" s="705" t="s">
        <v>14</v>
      </c>
      <c r="W31" s="706">
        <f t="shared" si="14"/>
        <v>100</v>
      </c>
      <c r="X31" s="1353"/>
      <c r="Y31" s="3810"/>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0"/>
      <c r="Q32" s="1350" t="str">
        <f t="shared" si="11"/>
        <v>公共部分装修</v>
      </c>
      <c r="R32" s="705" t="s">
        <v>14</v>
      </c>
      <c r="S32" s="706">
        <f t="shared" si="12"/>
        <v>100</v>
      </c>
      <c r="T32" s="705" t="s">
        <v>14</v>
      </c>
      <c r="U32" s="706">
        <f t="shared" si="13"/>
        <v>100</v>
      </c>
      <c r="V32" s="705" t="s">
        <v>14</v>
      </c>
      <c r="W32" s="706">
        <f t="shared" si="14"/>
        <v>100</v>
      </c>
      <c r="X32" s="1353"/>
      <c r="Y32" s="3810"/>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0"/>
      <c r="Q33" s="1350" t="str">
        <f t="shared" si="11"/>
        <v>成新度</v>
      </c>
      <c r="R33" s="705" t="s">
        <v>14</v>
      </c>
      <c r="S33" s="706" t="e">
        <f t="shared" si="12"/>
        <v>#N/A</v>
      </c>
      <c r="T33" s="705" t="s">
        <v>14</v>
      </c>
      <c r="U33" s="706" t="e">
        <f t="shared" si="13"/>
        <v>#N/A</v>
      </c>
      <c r="V33" s="705" t="s">
        <v>14</v>
      </c>
      <c r="W33" s="706" t="e">
        <f t="shared" si="14"/>
        <v>#N/A</v>
      </c>
      <c r="X33" s="1353"/>
      <c r="Y33" s="3810"/>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0"/>
      <c r="Q34" s="1341" t="str">
        <f t="shared" si="11"/>
        <v>物业管理</v>
      </c>
      <c r="R34" s="701" t="s">
        <v>14</v>
      </c>
      <c r="S34" s="702">
        <f t="shared" si="12"/>
        <v>100</v>
      </c>
      <c r="T34" s="701" t="s">
        <v>14</v>
      </c>
      <c r="U34" s="702">
        <f t="shared" si="13"/>
        <v>100</v>
      </c>
      <c r="V34" s="701" t="s">
        <v>14</v>
      </c>
      <c r="W34" s="702">
        <f t="shared" si="14"/>
        <v>100</v>
      </c>
      <c r="X34" s="703"/>
      <c r="Y34" s="381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0" t="s">
        <v>1695</v>
      </c>
      <c r="Q35" s="1350" t="str">
        <f t="shared" si="11"/>
        <v>市政基础设施</v>
      </c>
      <c r="R35" s="705" t="s">
        <v>14</v>
      </c>
      <c r="S35" s="706">
        <f t="shared" si="12"/>
        <v>100</v>
      </c>
      <c r="T35" s="705" t="s">
        <v>14</v>
      </c>
      <c r="U35" s="706">
        <f t="shared" si="13"/>
        <v>100</v>
      </c>
      <c r="V35" s="705" t="s">
        <v>14</v>
      </c>
      <c r="W35" s="706">
        <f t="shared" si="14"/>
        <v>100</v>
      </c>
      <c r="X35" s="1353"/>
      <c r="Y35" s="3810"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0"/>
      <c r="Q36" s="1350" t="str">
        <f t="shared" si="11"/>
        <v>内部装修</v>
      </c>
      <c r="R36" s="705" t="s">
        <v>14</v>
      </c>
      <c r="S36" s="706">
        <f t="shared" si="12"/>
        <v>100</v>
      </c>
      <c r="T36" s="705" t="s">
        <v>14</v>
      </c>
      <c r="U36" s="706">
        <f t="shared" si="13"/>
        <v>100</v>
      </c>
      <c r="V36" s="705" t="s">
        <v>14</v>
      </c>
      <c r="W36" s="706">
        <f t="shared" si="14"/>
        <v>100</v>
      </c>
      <c r="X36" s="1353"/>
      <c r="Y36" s="3810"/>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0"/>
      <c r="Q37" s="1350" t="str">
        <f t="shared" si="11"/>
        <v>内部装修状况</v>
      </c>
      <c r="R37" s="705" t="s">
        <v>14</v>
      </c>
      <c r="S37" s="706">
        <f t="shared" si="12"/>
        <v>100</v>
      </c>
      <c r="T37" s="705" t="s">
        <v>14</v>
      </c>
      <c r="U37" s="706">
        <f t="shared" si="13"/>
        <v>100</v>
      </c>
      <c r="V37" s="705" t="s">
        <v>14</v>
      </c>
      <c r="W37" s="706">
        <f t="shared" si="14"/>
        <v>100</v>
      </c>
      <c r="X37" s="1353"/>
      <c r="Y37" s="381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0"/>
      <c r="Q38" s="707">
        <f t="shared" si="11"/>
        <v>111</v>
      </c>
      <c r="R38" s="708" t="s">
        <v>14</v>
      </c>
      <c r="S38" s="709">
        <f t="shared" si="12"/>
        <v>100</v>
      </c>
      <c r="T38" s="708" t="s">
        <v>14</v>
      </c>
      <c r="U38" s="709">
        <f t="shared" si="13"/>
        <v>100</v>
      </c>
      <c r="V38" s="708" t="s">
        <v>14</v>
      </c>
      <c r="W38" s="709">
        <f t="shared" si="14"/>
        <v>100</v>
      </c>
      <c r="X38" s="710"/>
      <c r="Y38" s="3810"/>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0"/>
      <c r="Q39" s="1350">
        <f t="shared" si="11"/>
        <v>111</v>
      </c>
      <c r="R39" s="705" t="s">
        <v>14</v>
      </c>
      <c r="S39" s="706">
        <f t="shared" si="12"/>
        <v>100</v>
      </c>
      <c r="T39" s="705" t="s">
        <v>14</v>
      </c>
      <c r="U39" s="706">
        <f t="shared" si="13"/>
        <v>100</v>
      </c>
      <c r="V39" s="705" t="s">
        <v>14</v>
      </c>
      <c r="W39" s="706">
        <f t="shared" si="14"/>
        <v>100</v>
      </c>
      <c r="X39" s="1353"/>
      <c r="Y39" s="381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1"/>
      <c r="Q40" s="1350">
        <f t="shared" si="11"/>
        <v>111</v>
      </c>
      <c r="R40" s="705" t="s">
        <v>14</v>
      </c>
      <c r="S40" s="706">
        <f t="shared" si="12"/>
        <v>100</v>
      </c>
      <c r="T40" s="705" t="s">
        <v>14</v>
      </c>
      <c r="U40" s="706">
        <f t="shared" si="13"/>
        <v>100</v>
      </c>
      <c r="V40" s="705" t="s">
        <v>14</v>
      </c>
      <c r="W40" s="706">
        <f t="shared" si="14"/>
        <v>100</v>
      </c>
      <c r="X40" s="1353"/>
      <c r="Y40" s="3811"/>
      <c r="Z40" s="1354">
        <f t="shared" si="15"/>
        <v>111</v>
      </c>
      <c r="AA40" s="1351">
        <f t="shared" si="3"/>
        <v>1</v>
      </c>
      <c r="AB40" s="1351">
        <f t="shared" si="4"/>
        <v>1</v>
      </c>
      <c r="AC40" s="1351">
        <f t="shared" si="5"/>
        <v>1</v>
      </c>
    </row>
    <row r="41" spans="1:29" ht="15">
      <c r="A41" s="430" t="s">
        <v>1707</v>
      </c>
      <c r="B41" s="431"/>
      <c r="C41" s="1152" t="s">
        <v>0</v>
      </c>
      <c r="D41" s="1153"/>
      <c r="E41" s="1154"/>
      <c r="F41" s="1155"/>
      <c r="G41" s="1156"/>
      <c r="H41" s="1157"/>
      <c r="I41" s="1154"/>
      <c r="J41" s="1157"/>
      <c r="K41" s="714"/>
      <c r="L41" s="926"/>
      <c r="M41" s="927"/>
      <c r="N41" s="914"/>
      <c r="O41" s="927"/>
      <c r="P41" s="3803" t="str">
        <f>A41</f>
        <v>成交单价（元/平方米）</v>
      </c>
      <c r="Q41" s="3803"/>
      <c r="R41" s="3804">
        <f>E41</f>
        <v>0</v>
      </c>
      <c r="S41" s="3804"/>
      <c r="T41" s="3804">
        <f>G41</f>
        <v>0</v>
      </c>
      <c r="U41" s="3804"/>
      <c r="V41" s="3804">
        <f>I41</f>
        <v>0</v>
      </c>
      <c r="W41" s="3804"/>
      <c r="X41" s="690"/>
      <c r="Y41" s="712"/>
      <c r="Z41" s="690"/>
      <c r="AA41" s="690"/>
      <c r="AB41" s="690"/>
      <c r="AC41" s="690"/>
    </row>
    <row r="42" spans="1:29" ht="15.75" thickBot="1">
      <c r="A42" s="437" t="s">
        <v>1792</v>
      </c>
      <c r="B42" s="438"/>
      <c r="C42" s="1158" t="e">
        <f>R43</f>
        <v>#DIV/0!</v>
      </c>
      <c r="D42" s="2315" t="s">
        <v>2137</v>
      </c>
      <c r="E42" s="1159" t="e">
        <f>R42</f>
        <v>#DIV/0!</v>
      </c>
      <c r="F42" s="2316"/>
      <c r="G42" s="1158" t="e">
        <f>T42</f>
        <v>#DIV/0!</v>
      </c>
      <c r="H42" s="2316"/>
      <c r="I42" s="1159" t="e">
        <f>V42</f>
        <v>#DIV/0!</v>
      </c>
      <c r="J42" s="2316"/>
      <c r="K42" s="2318">
        <f>F42+H42+J42</f>
        <v>0</v>
      </c>
      <c r="L42" s="926"/>
      <c r="M42" s="927"/>
      <c r="N42" s="914"/>
      <c r="O42" s="927"/>
      <c r="P42" s="3803" t="str">
        <f>A42</f>
        <v>比较价值（元/平方米）</v>
      </c>
      <c r="Q42" s="3803"/>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690"/>
      <c r="Y42" s="690"/>
      <c r="Z42" s="690"/>
      <c r="AA42" s="690"/>
      <c r="AB42" s="690"/>
      <c r="AC42" s="690"/>
    </row>
    <row r="43" spans="1:29" ht="15.75" thickBot="1">
      <c r="A43" s="441" t="s">
        <v>1793</v>
      </c>
      <c r="B43" s="442"/>
      <c r="C43" s="1161" t="e">
        <f>R43</f>
        <v>#DIV/0!</v>
      </c>
      <c r="D43" s="1161"/>
      <c r="E43" s="1161"/>
      <c r="F43" s="1161"/>
      <c r="G43" s="1161"/>
      <c r="H43" s="1161"/>
      <c r="I43" s="1161"/>
      <c r="J43" s="1161"/>
      <c r="K43" s="715"/>
      <c r="L43" s="926"/>
      <c r="M43" s="927"/>
      <c r="N43" s="927"/>
      <c r="O43" s="927"/>
      <c r="P43" s="3800" t="str">
        <f>A43</f>
        <v>估价对象XX用房的比较价值（楼面单价，元/平方米）</v>
      </c>
      <c r="Q43" s="3801"/>
      <c r="R43" s="3802" t="e">
        <f>IF(F1="售价",ROUND(IF(D42="简单平均",AVERAGE(R42:V42),R42*F42+T42*H42+V42*J42),0),ROUND(IF(D42="简单平均",AVERAGE(R42:V42),R42*F42+T42*H42+V42*J42),1))</f>
        <v>#DIV/0!</v>
      </c>
      <c r="S43" s="3802"/>
      <c r="T43" s="3802"/>
      <c r="U43" s="3802"/>
      <c r="V43" s="3802"/>
      <c r="W43" s="3802"/>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7"/>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3340</v>
      </c>
      <c r="C1" s="1222" t="s">
        <v>1661</v>
      </c>
      <c r="D1" s="1223"/>
      <c r="E1" s="3431"/>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1462</v>
      </c>
      <c r="F2" s="1881"/>
      <c r="G2" s="908"/>
      <c r="H2" s="908"/>
      <c r="I2" s="908"/>
      <c r="J2" s="908"/>
      <c r="K2" s="910"/>
      <c r="L2" s="2729"/>
      <c r="M2" s="2730"/>
      <c r="N2" s="2730"/>
      <c r="O2" s="2730"/>
      <c r="P2" s="1163"/>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3"/>
      <c r="Q3" s="699"/>
      <c r="R3" s="699"/>
      <c r="S3" s="699"/>
      <c r="T3" s="699"/>
      <c r="U3" s="699"/>
      <c r="V3" s="699"/>
      <c r="W3" s="699"/>
      <c r="X3" s="699"/>
      <c r="Y3" s="699"/>
      <c r="Z3" s="699"/>
      <c r="AA3" s="699"/>
      <c r="AB3" s="716"/>
      <c r="AC3" s="713"/>
    </row>
    <row r="4" spans="1:29" ht="15">
      <c r="A4" s="355" t="s">
        <v>1768</v>
      </c>
      <c r="B4" s="356"/>
      <c r="C4" s="3786" t="s">
        <v>1769</v>
      </c>
      <c r="D4" s="3787"/>
      <c r="E4" s="3788" t="s">
        <v>1770</v>
      </c>
      <c r="F4" s="3789"/>
      <c r="G4" s="3786" t="s">
        <v>1771</v>
      </c>
      <c r="H4" s="3787"/>
      <c r="I4" s="3786" t="s">
        <v>1772</v>
      </c>
      <c r="J4" s="3787"/>
      <c r="K4" s="559" t="s">
        <v>1773</v>
      </c>
      <c r="L4" s="2710"/>
      <c r="M4" s="2711"/>
      <c r="N4" s="2711"/>
      <c r="O4" s="2711"/>
      <c r="P4" s="3790" t="s">
        <v>1774</v>
      </c>
      <c r="Q4" s="3791"/>
      <c r="R4" s="3773" t="s">
        <v>1770</v>
      </c>
      <c r="S4" s="3774"/>
      <c r="T4" s="3773" t="s">
        <v>1771</v>
      </c>
      <c r="U4" s="3774"/>
      <c r="V4" s="3798" t="s">
        <v>1772</v>
      </c>
      <c r="W4" s="3798"/>
      <c r="X4" s="1353"/>
      <c r="Y4" s="3773" t="s">
        <v>1774</v>
      </c>
      <c r="Z4" s="3774"/>
      <c r="AA4" s="3768" t="s">
        <v>1770</v>
      </c>
      <c r="AB4" s="3769" t="s">
        <v>1771</v>
      </c>
      <c r="AC4" s="3768" t="s">
        <v>1772</v>
      </c>
    </row>
    <row r="5" spans="1:29" ht="15">
      <c r="A5" s="358"/>
      <c r="B5" s="359"/>
      <c r="C5" s="3779" t="s">
        <v>1672</v>
      </c>
      <c r="D5" s="3780"/>
      <c r="E5" s="3777" t="s">
        <v>1673</v>
      </c>
      <c r="F5" s="3778"/>
      <c r="G5" s="3779" t="s">
        <v>1674</v>
      </c>
      <c r="H5" s="3780"/>
      <c r="I5" s="3779" t="s">
        <v>1675</v>
      </c>
      <c r="J5" s="3780"/>
      <c r="K5" s="559"/>
      <c r="L5" s="2710"/>
      <c r="M5" s="2711"/>
      <c r="N5" s="2711"/>
      <c r="O5" s="2711"/>
      <c r="P5" s="3792"/>
      <c r="Q5" s="3793"/>
      <c r="R5" s="3775"/>
      <c r="S5" s="3776"/>
      <c r="T5" s="3775"/>
      <c r="U5" s="3776"/>
      <c r="V5" s="3798"/>
      <c r="W5" s="3798"/>
      <c r="X5" s="1353"/>
      <c r="Y5" s="3775"/>
      <c r="Z5" s="3776"/>
      <c r="AA5" s="3769"/>
      <c r="AB5" s="3769"/>
      <c r="AC5" s="3769"/>
    </row>
    <row r="6" spans="1:29" ht="15.75" thickBot="1">
      <c r="A6" s="360"/>
      <c r="B6" s="361"/>
      <c r="C6" s="3781" t="s">
        <v>1676</v>
      </c>
      <c r="D6" s="3782"/>
      <c r="E6" s="3783" t="s">
        <v>1676</v>
      </c>
      <c r="F6" s="3784"/>
      <c r="G6" s="3781" t="s">
        <v>1676</v>
      </c>
      <c r="H6" s="3782"/>
      <c r="I6" s="3781" t="s">
        <v>1676</v>
      </c>
      <c r="J6" s="3782"/>
      <c r="K6" s="559" t="s">
        <v>1677</v>
      </c>
      <c r="L6" s="2710"/>
      <c r="M6" s="2711"/>
      <c r="N6" s="2711"/>
      <c r="O6" s="2711"/>
      <c r="P6" s="3794"/>
      <c r="Q6" s="3795"/>
      <c r="R6" s="3775"/>
      <c r="S6" s="3776"/>
      <c r="T6" s="3796"/>
      <c r="U6" s="3797"/>
      <c r="V6" s="3798"/>
      <c r="W6" s="3798"/>
      <c r="X6" s="1353"/>
      <c r="Y6" s="3796"/>
      <c r="Z6" s="3797"/>
      <c r="AA6" s="3770"/>
      <c r="AB6" s="3770"/>
      <c r="AC6" s="3770"/>
    </row>
    <row r="7" spans="1:29" s="108" customFormat="1" ht="15.75" thickBot="1">
      <c r="A7" s="362" t="s">
        <v>1678</v>
      </c>
      <c r="B7" s="363"/>
      <c r="C7" s="364">
        <f>'数据-取费表'!B2</f>
        <v>45001</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71" t="s">
        <v>1679</v>
      </c>
      <c r="Q7" s="3799"/>
      <c r="R7" s="701" t="s">
        <v>14</v>
      </c>
      <c r="S7" s="702">
        <f t="shared" ref="S7:S14" si="0">F7</f>
        <v>0</v>
      </c>
      <c r="T7" s="701" t="s">
        <v>14</v>
      </c>
      <c r="U7" s="702">
        <f t="shared" ref="U7:U14" si="1">H7</f>
        <v>0</v>
      </c>
      <c r="V7" s="701" t="s">
        <v>14</v>
      </c>
      <c r="W7" s="702">
        <f t="shared" ref="W7:W14"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71" t="s">
        <v>1682</v>
      </c>
      <c r="Q8" s="3772"/>
      <c r="R8" s="701" t="s">
        <v>14</v>
      </c>
      <c r="S8" s="702">
        <f t="shared" si="0"/>
        <v>100</v>
      </c>
      <c r="T8" s="701" t="s">
        <v>14</v>
      </c>
      <c r="U8" s="702">
        <f t="shared" si="1"/>
        <v>100</v>
      </c>
      <c r="V8" s="701" t="s">
        <v>14</v>
      </c>
      <c r="W8" s="702">
        <f t="shared" si="2"/>
        <v>100</v>
      </c>
      <c r="X8" s="703"/>
      <c r="Y8" s="3771" t="s">
        <v>1682</v>
      </c>
      <c r="Z8" s="377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803" t="s">
        <v>1685</v>
      </c>
      <c r="Q9" s="1341" t="str">
        <f t="shared" ref="Q9:Q14" si="6">B9</f>
        <v>用途</v>
      </c>
      <c r="R9" s="701" t="s">
        <v>14</v>
      </c>
      <c r="S9" s="702">
        <f t="shared" si="0"/>
        <v>100</v>
      </c>
      <c r="T9" s="701" t="s">
        <v>14</v>
      </c>
      <c r="U9" s="702">
        <f t="shared" si="1"/>
        <v>100</v>
      </c>
      <c r="V9" s="701" t="s">
        <v>14</v>
      </c>
      <c r="W9" s="702">
        <f t="shared" si="2"/>
        <v>100</v>
      </c>
      <c r="X9" s="703"/>
      <c r="Y9" s="3669"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4"/>
      <c r="M10" s="2715"/>
      <c r="N10" s="2715"/>
      <c r="O10" s="2715"/>
      <c r="P10" s="3803"/>
      <c r="Q10" s="1341"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803"/>
      <c r="Q11" s="1341">
        <f t="shared" si="6"/>
        <v>111</v>
      </c>
      <c r="R11" s="701" t="s">
        <v>14</v>
      </c>
      <c r="S11" s="702">
        <f t="shared" si="0"/>
        <v>100</v>
      </c>
      <c r="T11" s="701" t="s">
        <v>14</v>
      </c>
      <c r="U11" s="702">
        <f t="shared" si="1"/>
        <v>100</v>
      </c>
      <c r="V11" s="701" t="s">
        <v>14</v>
      </c>
      <c r="W11" s="702">
        <f t="shared" si="2"/>
        <v>100</v>
      </c>
      <c r="X11" s="703"/>
      <c r="Y11" s="36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803"/>
      <c r="Q12" s="1341">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803"/>
      <c r="Q13" s="1341">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85.5">
      <c r="A14" s="355" t="s">
        <v>1689</v>
      </c>
      <c r="B14" s="577"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805" t="s">
        <v>1690</v>
      </c>
      <c r="Q14" s="1350" t="str">
        <f t="shared" si="6"/>
        <v>交通便捷度</v>
      </c>
      <c r="R14" s="705" t="s">
        <v>14</v>
      </c>
      <c r="S14" s="706">
        <f t="shared" si="0"/>
        <v>100</v>
      </c>
      <c r="T14" s="705" t="s">
        <v>14</v>
      </c>
      <c r="U14" s="706">
        <f t="shared" si="1"/>
        <v>100</v>
      </c>
      <c r="V14" s="705" t="s">
        <v>14</v>
      </c>
      <c r="W14" s="706">
        <f t="shared" si="2"/>
        <v>100</v>
      </c>
      <c r="X14" s="1353"/>
      <c r="Y14" s="3805" t="s">
        <v>1690</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7"/>
      <c r="M15" s="2711"/>
      <c r="N15" s="2711"/>
      <c r="O15" s="2711"/>
      <c r="P15" s="3806"/>
      <c r="Q15" s="1350"/>
      <c r="R15" s="705"/>
      <c r="S15" s="706"/>
      <c r="T15" s="705"/>
      <c r="U15" s="706"/>
      <c r="V15" s="705"/>
      <c r="W15" s="706"/>
      <c r="X15" s="1353"/>
      <c r="Y15" s="3806"/>
      <c r="Z15" s="1354"/>
      <c r="AA15" s="1351">
        <v>1</v>
      </c>
      <c r="AB15" s="1351">
        <v>1</v>
      </c>
      <c r="AC15" s="1351">
        <v>1</v>
      </c>
    </row>
    <row r="16" spans="1:29" ht="42.75">
      <c r="A16" s="358"/>
      <c r="B16" s="579" t="s">
        <v>1811</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806"/>
      <c r="Q16" s="1350" t="str">
        <f>B16</f>
        <v>公共配套设施</v>
      </c>
      <c r="R16" s="705" t="s">
        <v>14</v>
      </c>
      <c r="S16" s="706">
        <f>F16</f>
        <v>100</v>
      </c>
      <c r="T16" s="705" t="s">
        <v>14</v>
      </c>
      <c r="U16" s="706">
        <f>H16</f>
        <v>100</v>
      </c>
      <c r="V16" s="705" t="s">
        <v>14</v>
      </c>
      <c r="W16" s="706">
        <f>J16</f>
        <v>100</v>
      </c>
      <c r="X16" s="1353"/>
      <c r="Y16" s="380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7"/>
      <c r="M17" s="2711"/>
      <c r="N17" s="2711"/>
      <c r="O17" s="2711"/>
      <c r="P17" s="3806"/>
      <c r="Q17" s="1350"/>
      <c r="R17" s="705"/>
      <c r="S17" s="706"/>
      <c r="T17" s="705"/>
      <c r="U17" s="706"/>
      <c r="V17" s="705"/>
      <c r="W17" s="706"/>
      <c r="X17" s="1353"/>
      <c r="Y17" s="3806"/>
      <c r="Z17" s="1354"/>
      <c r="AA17" s="1351">
        <v>1</v>
      </c>
      <c r="AB17" s="1351">
        <v>1</v>
      </c>
      <c r="AC17" s="1351">
        <v>1</v>
      </c>
    </row>
    <row r="18" spans="1:29" ht="28.5">
      <c r="A18" s="358"/>
      <c r="B18" s="581"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806"/>
      <c r="Q18" s="1350" t="str">
        <f>B18</f>
        <v>基础设施水平</v>
      </c>
      <c r="R18" s="705" t="s">
        <v>14</v>
      </c>
      <c r="S18" s="706">
        <f>F18</f>
        <v>100</v>
      </c>
      <c r="T18" s="705" t="s">
        <v>14</v>
      </c>
      <c r="U18" s="706">
        <f>H18</f>
        <v>100</v>
      </c>
      <c r="V18" s="705" t="s">
        <v>14</v>
      </c>
      <c r="W18" s="706">
        <f>J18</f>
        <v>100</v>
      </c>
      <c r="X18" s="1353"/>
      <c r="Y18" s="380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7"/>
      <c r="M19" s="2711"/>
      <c r="N19" s="2711"/>
      <c r="O19" s="2711"/>
      <c r="P19" s="3806"/>
      <c r="Q19" s="1350"/>
      <c r="R19" s="705"/>
      <c r="S19" s="706"/>
      <c r="T19" s="705"/>
      <c r="U19" s="706"/>
      <c r="V19" s="705"/>
      <c r="W19" s="706"/>
      <c r="X19" s="1353"/>
      <c r="Y19" s="3806"/>
      <c r="Z19" s="1354"/>
      <c r="AA19" s="1351">
        <v>1</v>
      </c>
      <c r="AB19" s="1351">
        <v>1</v>
      </c>
      <c r="AC19" s="1351">
        <v>1</v>
      </c>
    </row>
    <row r="20" spans="1:29" ht="57">
      <c r="A20" s="358"/>
      <c r="B20" s="579" t="s">
        <v>1833</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806"/>
      <c r="Q20" s="1350" t="str">
        <f>B20</f>
        <v>自然及人文环境</v>
      </c>
      <c r="R20" s="705" t="s">
        <v>14</v>
      </c>
      <c r="S20" s="706">
        <f>F20</f>
        <v>100</v>
      </c>
      <c r="T20" s="705" t="s">
        <v>14</v>
      </c>
      <c r="U20" s="706">
        <f>H20</f>
        <v>100</v>
      </c>
      <c r="V20" s="705" t="s">
        <v>14</v>
      </c>
      <c r="W20" s="706">
        <f>J20</f>
        <v>100</v>
      </c>
      <c r="X20" s="1353"/>
      <c r="Y20" s="380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7"/>
      <c r="M21" s="2711"/>
      <c r="N21" s="2711"/>
      <c r="O21" s="2711"/>
      <c r="P21" s="3806"/>
      <c r="Q21" s="1350"/>
      <c r="R21" s="705"/>
      <c r="S21" s="706"/>
      <c r="T21" s="705"/>
      <c r="U21" s="706"/>
      <c r="V21" s="705"/>
      <c r="W21" s="706"/>
      <c r="X21" s="1353"/>
      <c r="Y21" s="3806"/>
      <c r="Z21" s="1354"/>
      <c r="AA21" s="1351">
        <v>1</v>
      </c>
      <c r="AB21" s="1351">
        <v>1</v>
      </c>
      <c r="AC21" s="1351">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806"/>
      <c r="Q22" s="1350" t="str">
        <f>B22</f>
        <v>楼层</v>
      </c>
      <c r="R22" s="705" t="s">
        <v>14</v>
      </c>
      <c r="S22" s="706">
        <f>F22</f>
        <v>100</v>
      </c>
      <c r="T22" s="705" t="s">
        <v>14</v>
      </c>
      <c r="U22" s="706">
        <f>H22</f>
        <v>100</v>
      </c>
      <c r="V22" s="705" t="s">
        <v>14</v>
      </c>
      <c r="W22" s="706">
        <f>J22</f>
        <v>100</v>
      </c>
      <c r="X22" s="1353"/>
      <c r="Y22" s="380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806"/>
      <c r="Q23" s="1350">
        <f>B23</f>
        <v>111</v>
      </c>
      <c r="R23" s="705" t="s">
        <v>14</v>
      </c>
      <c r="S23" s="706">
        <f>F23</f>
        <v>100</v>
      </c>
      <c r="T23" s="705" t="s">
        <v>14</v>
      </c>
      <c r="U23" s="706">
        <f>H23</f>
        <v>100</v>
      </c>
      <c r="V23" s="705" t="s">
        <v>14</v>
      </c>
      <c r="W23" s="706">
        <f>J23</f>
        <v>100</v>
      </c>
      <c r="X23" s="1353"/>
      <c r="Y23" s="380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806"/>
      <c r="Q24" s="1350">
        <f t="shared" ref="Q24:Q36" si="11">B24</f>
        <v>111</v>
      </c>
      <c r="R24" s="705" t="s">
        <v>14</v>
      </c>
      <c r="S24" s="706">
        <f>F24</f>
        <v>100</v>
      </c>
      <c r="T24" s="705" t="s">
        <v>14</v>
      </c>
      <c r="U24" s="706">
        <f>H24</f>
        <v>100</v>
      </c>
      <c r="V24" s="705" t="s">
        <v>14</v>
      </c>
      <c r="W24" s="706">
        <f>J24</f>
        <v>100</v>
      </c>
      <c r="X24" s="1353"/>
      <c r="Y24" s="380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806"/>
      <c r="Q25" s="1341">
        <f t="shared" si="11"/>
        <v>111</v>
      </c>
      <c r="R25" s="701" t="s">
        <v>14</v>
      </c>
      <c r="S25" s="702">
        <f>F25</f>
        <v>100</v>
      </c>
      <c r="T25" s="701" t="s">
        <v>14</v>
      </c>
      <c r="U25" s="702">
        <f>H25</f>
        <v>100</v>
      </c>
      <c r="V25" s="701" t="s">
        <v>14</v>
      </c>
      <c r="W25" s="702">
        <f>J25</f>
        <v>100</v>
      </c>
      <c r="X25" s="703"/>
      <c r="Y25" s="3806"/>
      <c r="Z25" s="52">
        <f>Q25</f>
        <v>111</v>
      </c>
      <c r="AA25" s="1351">
        <f>D25/F25</f>
        <v>1</v>
      </c>
      <c r="AB25" s="1351">
        <f>D25/H25</f>
        <v>1</v>
      </c>
      <c r="AC25" s="1351">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829" t="s">
        <v>1695</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810" t="s">
        <v>1695</v>
      </c>
      <c r="Z26" s="1354" t="str">
        <f t="shared" ref="Z26:Z36" si="15">Q26</f>
        <v>配套类型</v>
      </c>
      <c r="AA26" s="1351" t="e">
        <f t="shared" si="3"/>
        <v>#DIV/0!</v>
      </c>
      <c r="AB26" s="1351" t="e">
        <f t="shared" si="4"/>
        <v>#DIV/0!</v>
      </c>
      <c r="AC26" s="1351"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810"/>
      <c r="Q27" s="707" t="str">
        <f t="shared" si="11"/>
        <v>项目停车位配比</v>
      </c>
      <c r="R27" s="708" t="s">
        <v>14</v>
      </c>
      <c r="S27" s="709">
        <f t="shared" si="12"/>
        <v>100</v>
      </c>
      <c r="T27" s="708" t="s">
        <v>14</v>
      </c>
      <c r="U27" s="709">
        <f t="shared" si="13"/>
        <v>100</v>
      </c>
      <c r="V27" s="708" t="s">
        <v>14</v>
      </c>
      <c r="W27" s="709">
        <f t="shared" si="14"/>
        <v>100</v>
      </c>
      <c r="X27" s="710"/>
      <c r="Y27" s="3810"/>
      <c r="Z27" s="711" t="str">
        <f t="shared" si="15"/>
        <v>项目停车位配比</v>
      </c>
      <c r="AA27" s="1351">
        <f t="shared" si="3"/>
        <v>1</v>
      </c>
      <c r="AB27" s="1351">
        <f t="shared" si="4"/>
        <v>1</v>
      </c>
      <c r="AC27" s="1351">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810"/>
      <c r="Q28" s="1350" t="str">
        <f t="shared" si="11"/>
        <v>公共部分装修</v>
      </c>
      <c r="R28" s="705" t="s">
        <v>14</v>
      </c>
      <c r="S28" s="706">
        <f t="shared" si="12"/>
        <v>100</v>
      </c>
      <c r="T28" s="705" t="s">
        <v>14</v>
      </c>
      <c r="U28" s="706">
        <f t="shared" si="13"/>
        <v>100</v>
      </c>
      <c r="V28" s="705" t="s">
        <v>14</v>
      </c>
      <c r="W28" s="706">
        <f t="shared" si="14"/>
        <v>100</v>
      </c>
      <c r="X28" s="1353"/>
      <c r="Y28" s="3810"/>
      <c r="Z28" s="1354" t="str">
        <f t="shared" si="15"/>
        <v>公共部分装修</v>
      </c>
      <c r="AA28" s="1351">
        <f t="shared" si="3"/>
        <v>1</v>
      </c>
      <c r="AB28" s="1351">
        <f t="shared" si="4"/>
        <v>1</v>
      </c>
      <c r="AC28" s="1351">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810"/>
      <c r="Q29" s="1350" t="str">
        <f t="shared" si="11"/>
        <v>成新率</v>
      </c>
      <c r="R29" s="705" t="s">
        <v>14</v>
      </c>
      <c r="S29" s="706" t="e">
        <f t="shared" si="12"/>
        <v>#N/A</v>
      </c>
      <c r="T29" s="705" t="s">
        <v>14</v>
      </c>
      <c r="U29" s="706" t="e">
        <f t="shared" si="13"/>
        <v>#N/A</v>
      </c>
      <c r="V29" s="705" t="s">
        <v>14</v>
      </c>
      <c r="W29" s="706" t="e">
        <f t="shared" si="14"/>
        <v>#N/A</v>
      </c>
      <c r="X29" s="1353"/>
      <c r="Y29" s="3810"/>
      <c r="Z29" s="1354" t="str">
        <f t="shared" si="15"/>
        <v>成新率</v>
      </c>
      <c r="AA29" s="1351" t="e">
        <f t="shared" si="3"/>
        <v>#N/A</v>
      </c>
      <c r="AB29" s="1351" t="e">
        <f t="shared" si="4"/>
        <v>#N/A</v>
      </c>
      <c r="AC29" s="1351"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810"/>
      <c r="Q30" s="1350" t="str">
        <f t="shared" si="11"/>
        <v>物业等级</v>
      </c>
      <c r="R30" s="705" t="s">
        <v>14</v>
      </c>
      <c r="S30" s="706">
        <f t="shared" si="12"/>
        <v>100</v>
      </c>
      <c r="T30" s="705" t="s">
        <v>14</v>
      </c>
      <c r="U30" s="706">
        <f t="shared" si="13"/>
        <v>100</v>
      </c>
      <c r="V30" s="705" t="s">
        <v>14</v>
      </c>
      <c r="W30" s="706">
        <f t="shared" si="14"/>
        <v>100</v>
      </c>
      <c r="X30" s="1353"/>
      <c r="Y30" s="3810"/>
      <c r="Z30" s="1354" t="str">
        <f t="shared" si="15"/>
        <v>物业等级</v>
      </c>
      <c r="AA30" s="1351">
        <f t="shared" si="3"/>
        <v>1</v>
      </c>
      <c r="AB30" s="1351">
        <f t="shared" si="4"/>
        <v>1</v>
      </c>
      <c r="AC30" s="1351">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810"/>
      <c r="Q31" s="1341" t="str">
        <f t="shared" si="11"/>
        <v>停车位面积</v>
      </c>
      <c r="R31" s="701" t="s">
        <v>14</v>
      </c>
      <c r="S31" s="702" t="e">
        <f t="shared" si="12"/>
        <v>#N/A</v>
      </c>
      <c r="T31" s="701" t="s">
        <v>14</v>
      </c>
      <c r="U31" s="702" t="e">
        <f t="shared" si="13"/>
        <v>#N/A</v>
      </c>
      <c r="V31" s="701" t="s">
        <v>14</v>
      </c>
      <c r="W31" s="702" t="e">
        <f t="shared" si="14"/>
        <v>#N/A</v>
      </c>
      <c r="X31" s="703"/>
      <c r="Y31" s="381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810" t="s">
        <v>1695</v>
      </c>
      <c r="Q32" s="1350" t="str">
        <f t="shared" si="11"/>
        <v>车位类型</v>
      </c>
      <c r="R32" s="705" t="s">
        <v>14</v>
      </c>
      <c r="S32" s="706">
        <f t="shared" si="12"/>
        <v>100</v>
      </c>
      <c r="T32" s="705" t="s">
        <v>14</v>
      </c>
      <c r="U32" s="706">
        <f t="shared" si="13"/>
        <v>100</v>
      </c>
      <c r="V32" s="705" t="s">
        <v>14</v>
      </c>
      <c r="W32" s="706">
        <f t="shared" si="14"/>
        <v>100</v>
      </c>
      <c r="X32" s="1353"/>
      <c r="Y32" s="3810" t="s">
        <v>1695</v>
      </c>
      <c r="Z32" s="1354" t="str">
        <f t="shared" si="15"/>
        <v>车位类型</v>
      </c>
      <c r="AA32" s="1351">
        <f t="shared" si="3"/>
        <v>1</v>
      </c>
      <c r="AB32" s="1351">
        <f t="shared" si="4"/>
        <v>1</v>
      </c>
      <c r="AC32" s="1351">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810"/>
      <c r="Q33" s="1350" t="str">
        <f t="shared" si="11"/>
        <v>是否直接入户</v>
      </c>
      <c r="R33" s="705" t="s">
        <v>14</v>
      </c>
      <c r="S33" s="706">
        <f t="shared" si="12"/>
        <v>100</v>
      </c>
      <c r="T33" s="705" t="s">
        <v>14</v>
      </c>
      <c r="U33" s="706">
        <f t="shared" si="13"/>
        <v>100</v>
      </c>
      <c r="V33" s="705" t="s">
        <v>14</v>
      </c>
      <c r="W33" s="706">
        <f t="shared" si="14"/>
        <v>100</v>
      </c>
      <c r="X33" s="1353"/>
      <c r="Y33" s="381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810"/>
      <c r="Q34" s="1350">
        <f t="shared" si="11"/>
        <v>111</v>
      </c>
      <c r="R34" s="705" t="s">
        <v>14</v>
      </c>
      <c r="S34" s="706">
        <f t="shared" si="12"/>
        <v>100</v>
      </c>
      <c r="T34" s="705" t="s">
        <v>14</v>
      </c>
      <c r="U34" s="706">
        <f t="shared" si="13"/>
        <v>100</v>
      </c>
      <c r="V34" s="705" t="s">
        <v>14</v>
      </c>
      <c r="W34" s="706">
        <f t="shared" si="14"/>
        <v>100</v>
      </c>
      <c r="X34" s="1353"/>
      <c r="Y34" s="381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810"/>
      <c r="Q35" s="707">
        <f t="shared" si="11"/>
        <v>111</v>
      </c>
      <c r="R35" s="708" t="s">
        <v>14</v>
      </c>
      <c r="S35" s="709">
        <f t="shared" si="12"/>
        <v>100</v>
      </c>
      <c r="T35" s="708" t="s">
        <v>14</v>
      </c>
      <c r="U35" s="709">
        <f t="shared" si="13"/>
        <v>100</v>
      </c>
      <c r="V35" s="708" t="s">
        <v>14</v>
      </c>
      <c r="W35" s="709">
        <f t="shared" si="14"/>
        <v>100</v>
      </c>
      <c r="X35" s="710"/>
      <c r="Y35" s="3810"/>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810"/>
      <c r="Q36" s="1350">
        <f t="shared" si="11"/>
        <v>111</v>
      </c>
      <c r="R36" s="705" t="s">
        <v>14</v>
      </c>
      <c r="S36" s="706">
        <f t="shared" si="12"/>
        <v>100</v>
      </c>
      <c r="T36" s="705" t="s">
        <v>14</v>
      </c>
      <c r="U36" s="706">
        <f t="shared" si="13"/>
        <v>100</v>
      </c>
      <c r="V36" s="705" t="s">
        <v>14</v>
      </c>
      <c r="W36" s="706">
        <f t="shared" si="14"/>
        <v>100</v>
      </c>
      <c r="X36" s="1353"/>
      <c r="Y36" s="3810"/>
      <c r="Z36" s="1354">
        <f t="shared" si="15"/>
        <v>111</v>
      </c>
      <c r="AA36" s="1351">
        <f t="shared" si="3"/>
        <v>1</v>
      </c>
      <c r="AB36" s="1351">
        <f t="shared" si="4"/>
        <v>1</v>
      </c>
      <c r="AC36" s="1351">
        <f t="shared" si="5"/>
        <v>1</v>
      </c>
    </row>
    <row r="37" spans="1:29" ht="15">
      <c r="A37" s="430" t="s">
        <v>1843</v>
      </c>
      <c r="B37" s="1971" t="s">
        <v>3361</v>
      </c>
      <c r="C37" s="1152" t="s">
        <v>0</v>
      </c>
      <c r="D37" s="1153"/>
      <c r="E37" s="1154"/>
      <c r="F37" s="1155"/>
      <c r="G37" s="1156"/>
      <c r="H37" s="1157"/>
      <c r="I37" s="1154"/>
      <c r="J37" s="1157"/>
      <c r="K37" s="568"/>
      <c r="L37" s="2719"/>
      <c r="M37" s="2720"/>
      <c r="N37" s="2711"/>
      <c r="O37" s="2720"/>
      <c r="P37" s="3803" t="str">
        <f>A37</f>
        <v>成交单价</v>
      </c>
      <c r="Q37" s="3803"/>
      <c r="R37" s="3804">
        <f>E37</f>
        <v>0</v>
      </c>
      <c r="S37" s="3804"/>
      <c r="T37" s="3804">
        <f>G37</f>
        <v>0</v>
      </c>
      <c r="U37" s="3804"/>
      <c r="V37" s="3804">
        <f>I37</f>
        <v>0</v>
      </c>
      <c r="W37" s="3804"/>
      <c r="X37" s="690"/>
      <c r="Y37" s="712"/>
      <c r="Z37" s="690"/>
      <c r="AA37" s="690"/>
      <c r="AB37" s="690"/>
      <c r="AC37" s="690"/>
    </row>
    <row r="38" spans="1:29" ht="15.75" thickBot="1">
      <c r="A38" s="437" t="s">
        <v>1844</v>
      </c>
      <c r="B38" s="438" t="str">
        <f>B37</f>
        <v>元/平方米</v>
      </c>
      <c r="C38" s="1158" t="e">
        <f>R39</f>
        <v>#DIV/0!</v>
      </c>
      <c r="D38" s="2315" t="s">
        <v>2137</v>
      </c>
      <c r="E38" s="1159" t="e">
        <f>R38</f>
        <v>#DIV/0!</v>
      </c>
      <c r="F38" s="2316"/>
      <c r="G38" s="1158" t="e">
        <f>T38</f>
        <v>#DIV/0!</v>
      </c>
      <c r="H38" s="2316"/>
      <c r="I38" s="1159" t="e">
        <f>V38</f>
        <v>#DIV/0!</v>
      </c>
      <c r="J38" s="2316"/>
      <c r="K38" s="2318">
        <f>F38+H38+J38</f>
        <v>0</v>
      </c>
      <c r="L38" s="2719"/>
      <c r="M38" s="2720"/>
      <c r="N38" s="2720"/>
      <c r="O38" s="2720"/>
      <c r="P38" s="3803" t="str">
        <f>A38</f>
        <v>比较价值（元/平方米）</v>
      </c>
      <c r="Q38" s="3803"/>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690"/>
      <c r="Y38" s="690"/>
      <c r="Z38" s="690"/>
      <c r="AA38" s="690"/>
      <c r="AB38" s="690"/>
      <c r="AC38" s="690"/>
    </row>
    <row r="39" spans="1:29" ht="15.75" thickBot="1">
      <c r="A39" s="441" t="s">
        <v>1845</v>
      </c>
      <c r="B39" s="442"/>
      <c r="C39" s="1161" t="e">
        <f>R39</f>
        <v>#DIV/0!</v>
      </c>
      <c r="D39" s="1161"/>
      <c r="E39" s="1161"/>
      <c r="F39" s="1161"/>
      <c r="G39" s="1161"/>
      <c r="H39" s="1161"/>
      <c r="I39" s="1161"/>
      <c r="J39" s="1161"/>
      <c r="K39" s="569"/>
      <c r="L39" s="2719"/>
      <c r="M39" s="2720"/>
      <c r="N39" s="2720"/>
      <c r="O39" s="2720"/>
      <c r="P39" s="3800" t="str">
        <f>A39</f>
        <v>估价对象XX用房的比较价值（楼面单价，元/平方米）</v>
      </c>
      <c r="Q39" s="3801"/>
      <c r="R39" s="3830" t="e">
        <f>IF(F1="售价",ROUND(IF(D38="简单平均",AVERAGE(R38:W38),R38*F38+T38*H38+V38*J38),0),ROUND(IF(D38="简单平均",AVERAGE(R38:V38),R38*F38+T38*H38+V38*J38),1))</f>
        <v>#DIV/0!</v>
      </c>
      <c r="S39" s="3830"/>
      <c r="T39" s="3830"/>
      <c r="U39" s="3830"/>
      <c r="V39" s="3830"/>
      <c r="W39" s="383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1849</v>
      </c>
      <c r="B47" s="927"/>
      <c r="C47" s="940"/>
      <c r="D47" s="940"/>
      <c r="E47" s="940"/>
      <c r="F47" s="1165"/>
      <c r="G47" s="1165"/>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3341</v>
      </c>
      <c r="C1" s="1222" t="s">
        <v>1661</v>
      </c>
      <c r="D1" s="1223"/>
      <c r="E1" s="3430"/>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1462</v>
      </c>
      <c r="F2" s="1881"/>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786" t="s">
        <v>1769</v>
      </c>
      <c r="D4" s="3787"/>
      <c r="E4" s="3788" t="s">
        <v>1770</v>
      </c>
      <c r="F4" s="3789"/>
      <c r="G4" s="3786" t="s">
        <v>1771</v>
      </c>
      <c r="H4" s="3787"/>
      <c r="I4" s="3786" t="s">
        <v>1772</v>
      </c>
      <c r="J4" s="3787"/>
      <c r="K4" s="559" t="s">
        <v>1773</v>
      </c>
      <c r="L4" s="2710"/>
      <c r="M4" s="2711"/>
      <c r="N4" s="2711"/>
      <c r="O4" s="2711"/>
      <c r="P4" s="3790" t="s">
        <v>1774</v>
      </c>
      <c r="Q4" s="3791"/>
      <c r="R4" s="3773" t="s">
        <v>1770</v>
      </c>
      <c r="S4" s="3774"/>
      <c r="T4" s="3773" t="s">
        <v>1771</v>
      </c>
      <c r="U4" s="3774"/>
      <c r="V4" s="3798" t="s">
        <v>1772</v>
      </c>
      <c r="W4" s="3798"/>
      <c r="X4" s="1353"/>
      <c r="Y4" s="3773" t="s">
        <v>1774</v>
      </c>
      <c r="Z4" s="3774"/>
      <c r="AA4" s="3768" t="s">
        <v>1770</v>
      </c>
      <c r="AB4" s="3769" t="s">
        <v>1771</v>
      </c>
      <c r="AC4" s="3768" t="s">
        <v>1772</v>
      </c>
    </row>
    <row r="5" spans="1:29" ht="15">
      <c r="A5" s="358"/>
      <c r="B5" s="359"/>
      <c r="C5" s="3779" t="s">
        <v>1672</v>
      </c>
      <c r="D5" s="3780"/>
      <c r="E5" s="3777" t="s">
        <v>1673</v>
      </c>
      <c r="F5" s="3778"/>
      <c r="G5" s="3779" t="s">
        <v>1674</v>
      </c>
      <c r="H5" s="3780"/>
      <c r="I5" s="3779" t="s">
        <v>1675</v>
      </c>
      <c r="J5" s="3780"/>
      <c r="K5" s="559"/>
      <c r="L5" s="2710"/>
      <c r="M5" s="2711"/>
      <c r="N5" s="2711"/>
      <c r="O5" s="2711"/>
      <c r="P5" s="3792"/>
      <c r="Q5" s="3793"/>
      <c r="R5" s="3775"/>
      <c r="S5" s="3776"/>
      <c r="T5" s="3775"/>
      <c r="U5" s="3776"/>
      <c r="V5" s="3798"/>
      <c r="W5" s="3798"/>
      <c r="X5" s="1353"/>
      <c r="Y5" s="3775"/>
      <c r="Z5" s="3776"/>
      <c r="AA5" s="3769"/>
      <c r="AB5" s="3769"/>
      <c r="AC5" s="3769"/>
    </row>
    <row r="6" spans="1:29" ht="15.75" thickBot="1">
      <c r="A6" s="360"/>
      <c r="B6" s="361"/>
      <c r="C6" s="3781" t="s">
        <v>1676</v>
      </c>
      <c r="D6" s="3782"/>
      <c r="E6" s="3783" t="s">
        <v>1676</v>
      </c>
      <c r="F6" s="3784"/>
      <c r="G6" s="3781" t="s">
        <v>1676</v>
      </c>
      <c r="H6" s="3782"/>
      <c r="I6" s="3781" t="s">
        <v>1676</v>
      </c>
      <c r="J6" s="3782"/>
      <c r="K6" s="559" t="s">
        <v>1677</v>
      </c>
      <c r="L6" s="2710"/>
      <c r="M6" s="2711"/>
      <c r="N6" s="2711"/>
      <c r="O6" s="2711"/>
      <c r="P6" s="3794"/>
      <c r="Q6" s="3795"/>
      <c r="R6" s="3775"/>
      <c r="S6" s="3776"/>
      <c r="T6" s="3796"/>
      <c r="U6" s="3797"/>
      <c r="V6" s="3798"/>
      <c r="W6" s="3798"/>
      <c r="X6" s="1353"/>
      <c r="Y6" s="3796"/>
      <c r="Z6" s="3797"/>
      <c r="AA6" s="3770"/>
      <c r="AB6" s="3770"/>
      <c r="AC6" s="3770"/>
    </row>
    <row r="7" spans="1:29" s="108" customFormat="1" ht="15.75" thickBot="1">
      <c r="A7" s="362" t="s">
        <v>1678</v>
      </c>
      <c r="B7" s="363"/>
      <c r="C7" s="364">
        <f>'数据-取费表'!B2</f>
        <v>45001</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771" t="s">
        <v>1679</v>
      </c>
      <c r="Q7" s="3799"/>
      <c r="R7" s="701" t="s">
        <v>14</v>
      </c>
      <c r="S7" s="702">
        <f t="shared" ref="S7:S14" si="0">F7</f>
        <v>0</v>
      </c>
      <c r="T7" s="701" t="s">
        <v>14</v>
      </c>
      <c r="U7" s="702">
        <f t="shared" ref="U7:U14" si="1">H7</f>
        <v>0</v>
      </c>
      <c r="V7" s="701" t="s">
        <v>14</v>
      </c>
      <c r="W7" s="702">
        <f t="shared" ref="W7:W14"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71" t="s">
        <v>1682</v>
      </c>
      <c r="Q8" s="3772"/>
      <c r="R8" s="701" t="s">
        <v>14</v>
      </c>
      <c r="S8" s="702">
        <f t="shared" si="0"/>
        <v>100</v>
      </c>
      <c r="T8" s="701" t="s">
        <v>14</v>
      </c>
      <c r="U8" s="702">
        <f t="shared" si="1"/>
        <v>100</v>
      </c>
      <c r="V8" s="701" t="s">
        <v>14</v>
      </c>
      <c r="W8" s="702">
        <f t="shared" si="2"/>
        <v>100</v>
      </c>
      <c r="X8" s="703"/>
      <c r="Y8" s="3771" t="s">
        <v>1682</v>
      </c>
      <c r="Z8" s="377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803" t="s">
        <v>1685</v>
      </c>
      <c r="Q9" s="1341" t="str">
        <f t="shared" ref="Q9:Q14" si="6">B9</f>
        <v>用途</v>
      </c>
      <c r="R9" s="701" t="s">
        <v>14</v>
      </c>
      <c r="S9" s="702">
        <f t="shared" si="0"/>
        <v>100</v>
      </c>
      <c r="T9" s="701" t="s">
        <v>14</v>
      </c>
      <c r="U9" s="702">
        <f t="shared" si="1"/>
        <v>100</v>
      </c>
      <c r="V9" s="701" t="s">
        <v>14</v>
      </c>
      <c r="W9" s="702">
        <f t="shared" si="2"/>
        <v>100</v>
      </c>
      <c r="X9" s="703"/>
      <c r="Y9" s="3669"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4"/>
      <c r="M10" s="2715"/>
      <c r="N10" s="2715"/>
      <c r="O10" s="2768"/>
      <c r="P10" s="3803"/>
      <c r="Q10" s="1341"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803"/>
      <c r="Q11" s="1341">
        <f t="shared" si="6"/>
        <v>111</v>
      </c>
      <c r="R11" s="701" t="s">
        <v>14</v>
      </c>
      <c r="S11" s="702">
        <f t="shared" si="0"/>
        <v>100</v>
      </c>
      <c r="T11" s="701" t="s">
        <v>14</v>
      </c>
      <c r="U11" s="702">
        <f t="shared" si="1"/>
        <v>100</v>
      </c>
      <c r="V11" s="701" t="s">
        <v>14</v>
      </c>
      <c r="W11" s="702">
        <f t="shared" si="2"/>
        <v>100</v>
      </c>
      <c r="X11" s="703"/>
      <c r="Y11" s="3669"/>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803"/>
      <c r="Q12" s="1341">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803"/>
      <c r="Q13" s="1341">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805" t="s">
        <v>1690</v>
      </c>
      <c r="Q14" s="1350" t="str">
        <f t="shared" si="6"/>
        <v>交通便捷度</v>
      </c>
      <c r="R14" s="705" t="s">
        <v>14</v>
      </c>
      <c r="S14" s="706">
        <f t="shared" si="0"/>
        <v>100</v>
      </c>
      <c r="T14" s="705" t="s">
        <v>14</v>
      </c>
      <c r="U14" s="706">
        <f t="shared" si="1"/>
        <v>100</v>
      </c>
      <c r="V14" s="705" t="s">
        <v>14</v>
      </c>
      <c r="W14" s="706">
        <f t="shared" si="2"/>
        <v>100</v>
      </c>
      <c r="X14" s="1353"/>
      <c r="Y14" s="3805"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7"/>
      <c r="M15" s="2711"/>
      <c r="N15" s="2711"/>
      <c r="O15" s="2769"/>
      <c r="P15" s="3806"/>
      <c r="Q15" s="1350"/>
      <c r="R15" s="705"/>
      <c r="S15" s="706"/>
      <c r="T15" s="705"/>
      <c r="U15" s="706"/>
      <c r="V15" s="705"/>
      <c r="W15" s="706"/>
      <c r="X15" s="1353"/>
      <c r="Y15" s="3806"/>
      <c r="Z15" s="1354"/>
      <c r="AA15" s="1351">
        <v>1</v>
      </c>
      <c r="AB15" s="1351">
        <v>1</v>
      </c>
      <c r="AC15" s="1351">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806"/>
      <c r="Q16" s="1350" t="str">
        <f>B16</f>
        <v>公共配套设施</v>
      </c>
      <c r="R16" s="705" t="s">
        <v>14</v>
      </c>
      <c r="S16" s="706">
        <f>F16</f>
        <v>100</v>
      </c>
      <c r="T16" s="705" t="s">
        <v>14</v>
      </c>
      <c r="U16" s="706">
        <f>H16</f>
        <v>100</v>
      </c>
      <c r="V16" s="705" t="s">
        <v>14</v>
      </c>
      <c r="W16" s="706">
        <f>J16</f>
        <v>100</v>
      </c>
      <c r="X16" s="1353"/>
      <c r="Y16" s="380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7"/>
      <c r="M17" s="2711"/>
      <c r="N17" s="2711"/>
      <c r="O17" s="2769"/>
      <c r="P17" s="3806"/>
      <c r="Q17" s="1350"/>
      <c r="R17" s="705"/>
      <c r="S17" s="706"/>
      <c r="T17" s="705"/>
      <c r="U17" s="706"/>
      <c r="V17" s="705"/>
      <c r="W17" s="706"/>
      <c r="X17" s="1353"/>
      <c r="Y17" s="3806"/>
      <c r="Z17" s="1354"/>
      <c r="AA17" s="1351">
        <v>1</v>
      </c>
      <c r="AB17" s="1351">
        <v>1</v>
      </c>
      <c r="AC17" s="1351">
        <v>1</v>
      </c>
    </row>
    <row r="18" spans="1:29" ht="28.5">
      <c r="A18" s="379"/>
      <c r="B18" s="1129" t="s">
        <v>1812</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806"/>
      <c r="Q18" s="1350" t="str">
        <f>B18</f>
        <v>基础设施水平</v>
      </c>
      <c r="R18" s="705" t="s">
        <v>14</v>
      </c>
      <c r="S18" s="706">
        <f>F18</f>
        <v>100</v>
      </c>
      <c r="T18" s="705" t="s">
        <v>14</v>
      </c>
      <c r="U18" s="706">
        <f>H18</f>
        <v>100</v>
      </c>
      <c r="V18" s="705" t="s">
        <v>14</v>
      </c>
      <c r="W18" s="706">
        <f>J18</f>
        <v>100</v>
      </c>
      <c r="X18" s="1353"/>
      <c r="Y18" s="380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7"/>
      <c r="M19" s="2711"/>
      <c r="N19" s="2711"/>
      <c r="O19" s="2769"/>
      <c r="P19" s="3806"/>
      <c r="Q19" s="1350"/>
      <c r="R19" s="705"/>
      <c r="S19" s="706"/>
      <c r="T19" s="705"/>
      <c r="U19" s="706"/>
      <c r="V19" s="705"/>
      <c r="W19" s="706"/>
      <c r="X19" s="1353"/>
      <c r="Y19" s="3806"/>
      <c r="Z19" s="1354"/>
      <c r="AA19" s="1351">
        <v>1</v>
      </c>
      <c r="AB19" s="1351">
        <v>1</v>
      </c>
      <c r="AC19" s="1351">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806"/>
      <c r="Q20" s="1350" t="str">
        <f>B20</f>
        <v>自然及人文环境</v>
      </c>
      <c r="R20" s="705" t="s">
        <v>14</v>
      </c>
      <c r="S20" s="706">
        <f>F20</f>
        <v>100</v>
      </c>
      <c r="T20" s="705" t="s">
        <v>14</v>
      </c>
      <c r="U20" s="706">
        <f>H20</f>
        <v>100</v>
      </c>
      <c r="V20" s="705" t="s">
        <v>14</v>
      </c>
      <c r="W20" s="706">
        <f>J20</f>
        <v>100</v>
      </c>
      <c r="X20" s="1353"/>
      <c r="Y20" s="380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7"/>
      <c r="M21" s="2711"/>
      <c r="N21" s="2711"/>
      <c r="O21" s="2769"/>
      <c r="P21" s="3806"/>
      <c r="Q21" s="1350"/>
      <c r="R21" s="705"/>
      <c r="S21" s="706"/>
      <c r="T21" s="705"/>
      <c r="U21" s="706"/>
      <c r="V21" s="705"/>
      <c r="W21" s="706"/>
      <c r="X21" s="1353"/>
      <c r="Y21" s="3806"/>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806"/>
      <c r="Q22" s="1350" t="str">
        <f>B22</f>
        <v>楼层</v>
      </c>
      <c r="R22" s="705" t="s">
        <v>14</v>
      </c>
      <c r="S22" s="706">
        <f>F22</f>
        <v>100</v>
      </c>
      <c r="T22" s="705" t="s">
        <v>14</v>
      </c>
      <c r="U22" s="706">
        <f>H22</f>
        <v>100</v>
      </c>
      <c r="V22" s="705" t="s">
        <v>14</v>
      </c>
      <c r="W22" s="706">
        <f>J22</f>
        <v>100</v>
      </c>
      <c r="X22" s="1353"/>
      <c r="Y22" s="380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806"/>
      <c r="Q23" s="1350">
        <f>B23</f>
        <v>111</v>
      </c>
      <c r="R23" s="705" t="s">
        <v>14</v>
      </c>
      <c r="S23" s="706">
        <f>F23</f>
        <v>100</v>
      </c>
      <c r="T23" s="705" t="s">
        <v>14</v>
      </c>
      <c r="U23" s="706">
        <f>H23</f>
        <v>100</v>
      </c>
      <c r="V23" s="705" t="s">
        <v>14</v>
      </c>
      <c r="W23" s="706">
        <f>J23</f>
        <v>100</v>
      </c>
      <c r="X23" s="1353"/>
      <c r="Y23" s="380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806"/>
      <c r="Q24" s="1350">
        <f t="shared" ref="Q24:Q34" si="11">B24</f>
        <v>111</v>
      </c>
      <c r="R24" s="705" t="s">
        <v>14</v>
      </c>
      <c r="S24" s="706">
        <f>F24</f>
        <v>100</v>
      </c>
      <c r="T24" s="705" t="s">
        <v>14</v>
      </c>
      <c r="U24" s="706">
        <f>H24</f>
        <v>100</v>
      </c>
      <c r="V24" s="705" t="s">
        <v>14</v>
      </c>
      <c r="W24" s="706">
        <f>J24</f>
        <v>100</v>
      </c>
      <c r="X24" s="1353"/>
      <c r="Y24" s="380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2"/>
      <c r="M25" s="2713"/>
      <c r="N25" s="2713"/>
      <c r="O25" s="2767"/>
      <c r="P25" s="3806"/>
      <c r="Q25" s="1341">
        <f t="shared" si="11"/>
        <v>111</v>
      </c>
      <c r="R25" s="701" t="s">
        <v>14</v>
      </c>
      <c r="S25" s="702">
        <f>F25</f>
        <v>100</v>
      </c>
      <c r="T25" s="701" t="s">
        <v>14</v>
      </c>
      <c r="U25" s="702">
        <f>H25</f>
        <v>100</v>
      </c>
      <c r="V25" s="701" t="s">
        <v>14</v>
      </c>
      <c r="W25" s="702">
        <f>J25</f>
        <v>100</v>
      </c>
      <c r="X25" s="703"/>
      <c r="Y25" s="3806"/>
      <c r="Z25" s="52">
        <f>Q25</f>
        <v>111</v>
      </c>
      <c r="AA25" s="1351">
        <f>D25/F25</f>
        <v>1</v>
      </c>
      <c r="AB25" s="1351">
        <f>D25/H25</f>
        <v>1</v>
      </c>
      <c r="AC25" s="1351">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7"/>
      <c r="M26" s="2711"/>
      <c r="N26" s="2711"/>
      <c r="O26" s="2769"/>
      <c r="P26" s="3829" t="s">
        <v>1695</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810"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810"/>
      <c r="Q27" s="707" t="str">
        <f t="shared" si="11"/>
        <v>成新率</v>
      </c>
      <c r="R27" s="708" t="s">
        <v>14</v>
      </c>
      <c r="S27" s="709" t="e">
        <f t="shared" si="12"/>
        <v>#N/A</v>
      </c>
      <c r="T27" s="708" t="s">
        <v>14</v>
      </c>
      <c r="U27" s="709" t="e">
        <f t="shared" si="13"/>
        <v>#N/A</v>
      </c>
      <c r="V27" s="708" t="s">
        <v>14</v>
      </c>
      <c r="W27" s="709" t="e">
        <f t="shared" si="14"/>
        <v>#N/A</v>
      </c>
      <c r="X27" s="710"/>
      <c r="Y27" s="3810"/>
      <c r="Z27" s="711"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810"/>
      <c r="Q28" s="1350" t="str">
        <f t="shared" si="11"/>
        <v>物业等级</v>
      </c>
      <c r="R28" s="705" t="s">
        <v>14</v>
      </c>
      <c r="S28" s="706">
        <f t="shared" si="12"/>
        <v>100</v>
      </c>
      <c r="T28" s="705" t="s">
        <v>14</v>
      </c>
      <c r="U28" s="706">
        <f t="shared" si="13"/>
        <v>100</v>
      </c>
      <c r="V28" s="705" t="s">
        <v>14</v>
      </c>
      <c r="W28" s="706">
        <f t="shared" si="14"/>
        <v>100</v>
      </c>
      <c r="X28" s="1353"/>
      <c r="Y28" s="3810"/>
      <c r="Z28" s="1354" t="str">
        <f t="shared" si="15"/>
        <v>物业等级</v>
      </c>
      <c r="AA28" s="1351">
        <f t="shared" si="3"/>
        <v>1</v>
      </c>
      <c r="AB28" s="1351">
        <f t="shared" si="4"/>
        <v>1</v>
      </c>
      <c r="AC28" s="1351">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810"/>
      <c r="Q29" s="1350" t="str">
        <f t="shared" si="11"/>
        <v>有无电梯</v>
      </c>
      <c r="R29" s="705" t="s">
        <v>14</v>
      </c>
      <c r="S29" s="706">
        <f t="shared" si="12"/>
        <v>100</v>
      </c>
      <c r="T29" s="705" t="s">
        <v>14</v>
      </c>
      <c r="U29" s="706">
        <f t="shared" si="13"/>
        <v>100</v>
      </c>
      <c r="V29" s="705" t="s">
        <v>14</v>
      </c>
      <c r="W29" s="706">
        <f t="shared" si="14"/>
        <v>100</v>
      </c>
      <c r="X29" s="1353"/>
      <c r="Y29" s="3810"/>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810"/>
      <c r="Q30" s="1350" t="str">
        <f t="shared" si="11"/>
        <v>建筑面积</v>
      </c>
      <c r="R30" s="705" t="s">
        <v>14</v>
      </c>
      <c r="S30" s="706" t="e">
        <f t="shared" si="12"/>
        <v>#N/A</v>
      </c>
      <c r="T30" s="705" t="s">
        <v>14</v>
      </c>
      <c r="U30" s="706" t="e">
        <f t="shared" si="13"/>
        <v>#N/A</v>
      </c>
      <c r="V30" s="705" t="s">
        <v>14</v>
      </c>
      <c r="W30" s="706" t="e">
        <f t="shared" si="14"/>
        <v>#N/A</v>
      </c>
      <c r="X30" s="1353"/>
      <c r="Y30" s="3810"/>
      <c r="Z30" s="1354" t="str">
        <f t="shared" si="15"/>
        <v>建筑面积</v>
      </c>
      <c r="AA30" s="1351" t="e">
        <f t="shared" si="3"/>
        <v>#N/A</v>
      </c>
      <c r="AB30" s="1351" t="e">
        <f t="shared" si="4"/>
        <v>#N/A</v>
      </c>
      <c r="AC30" s="1351"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810"/>
      <c r="Q31" s="1341" t="str">
        <f t="shared" si="11"/>
        <v>是否封闭</v>
      </c>
      <c r="R31" s="701" t="s">
        <v>14</v>
      </c>
      <c r="S31" s="702">
        <f t="shared" si="12"/>
        <v>100</v>
      </c>
      <c r="T31" s="701" t="s">
        <v>14</v>
      </c>
      <c r="U31" s="702">
        <f t="shared" si="13"/>
        <v>100</v>
      </c>
      <c r="V31" s="701" t="s">
        <v>14</v>
      </c>
      <c r="W31" s="702">
        <f t="shared" si="14"/>
        <v>100</v>
      </c>
      <c r="X31" s="703"/>
      <c r="Y31" s="3810"/>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810" t="s">
        <v>1695</v>
      </c>
      <c r="Q32" s="1350">
        <f t="shared" si="11"/>
        <v>111</v>
      </c>
      <c r="R32" s="705" t="s">
        <v>14</v>
      </c>
      <c r="S32" s="706">
        <f t="shared" si="12"/>
        <v>100</v>
      </c>
      <c r="T32" s="705" t="s">
        <v>14</v>
      </c>
      <c r="U32" s="706">
        <f t="shared" si="13"/>
        <v>100</v>
      </c>
      <c r="V32" s="705" t="s">
        <v>14</v>
      </c>
      <c r="W32" s="706">
        <f t="shared" si="14"/>
        <v>100</v>
      </c>
      <c r="X32" s="1353"/>
      <c r="Y32" s="3810"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810"/>
      <c r="Q33" s="1350">
        <f t="shared" si="11"/>
        <v>111</v>
      </c>
      <c r="R33" s="705" t="s">
        <v>14</v>
      </c>
      <c r="S33" s="706">
        <f t="shared" si="12"/>
        <v>100</v>
      </c>
      <c r="T33" s="705" t="s">
        <v>14</v>
      </c>
      <c r="U33" s="706">
        <f t="shared" si="13"/>
        <v>100</v>
      </c>
      <c r="V33" s="705" t="s">
        <v>14</v>
      </c>
      <c r="W33" s="706">
        <f t="shared" si="14"/>
        <v>100</v>
      </c>
      <c r="X33" s="1353"/>
      <c r="Y33" s="381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810"/>
      <c r="Q34" s="1350">
        <f t="shared" si="11"/>
        <v>111</v>
      </c>
      <c r="R34" s="705" t="s">
        <v>14</v>
      </c>
      <c r="S34" s="706">
        <f t="shared" si="12"/>
        <v>100</v>
      </c>
      <c r="T34" s="705" t="s">
        <v>14</v>
      </c>
      <c r="U34" s="706">
        <f t="shared" si="13"/>
        <v>100</v>
      </c>
      <c r="V34" s="705" t="s">
        <v>14</v>
      </c>
      <c r="W34" s="706">
        <f t="shared" si="14"/>
        <v>100</v>
      </c>
      <c r="X34" s="1353"/>
      <c r="Y34" s="3810"/>
      <c r="Z34" s="1354">
        <f t="shared" si="15"/>
        <v>111</v>
      </c>
      <c r="AA34" s="1351">
        <f t="shared" si="3"/>
        <v>1</v>
      </c>
      <c r="AB34" s="1351">
        <f t="shared" si="4"/>
        <v>1</v>
      </c>
      <c r="AC34" s="1351">
        <f t="shared" si="5"/>
        <v>1</v>
      </c>
    </row>
    <row r="35" spans="1:30" ht="15">
      <c r="A35" s="430" t="s">
        <v>1707</v>
      </c>
      <c r="B35" s="431"/>
      <c r="C35" s="1152" t="s">
        <v>0</v>
      </c>
      <c r="D35" s="1153"/>
      <c r="E35" s="1154"/>
      <c r="F35" s="1155"/>
      <c r="G35" s="1156"/>
      <c r="H35" s="1157"/>
      <c r="I35" s="1154"/>
      <c r="J35" s="1157"/>
      <c r="K35" s="714"/>
      <c r="L35" s="2719"/>
      <c r="M35" s="2720"/>
      <c r="N35" s="2711"/>
      <c r="O35" s="2720"/>
      <c r="P35" s="3803" t="str">
        <f>A35</f>
        <v>成交单价（元/平方米）</v>
      </c>
      <c r="Q35" s="3803"/>
      <c r="R35" s="3804">
        <f>E35</f>
        <v>0</v>
      </c>
      <c r="S35" s="3804"/>
      <c r="T35" s="3804">
        <f>G35</f>
        <v>0</v>
      </c>
      <c r="U35" s="3804"/>
      <c r="V35" s="3804">
        <f>I35</f>
        <v>0</v>
      </c>
      <c r="W35" s="3804"/>
      <c r="X35" s="690"/>
      <c r="Y35" s="712"/>
      <c r="Z35" s="690"/>
      <c r="AA35" s="690"/>
      <c r="AB35" s="690"/>
      <c r="AC35" s="690"/>
    </row>
    <row r="36" spans="1:30" ht="15.75" thickBot="1">
      <c r="A36" s="437" t="s">
        <v>1792</v>
      </c>
      <c r="B36" s="438"/>
      <c r="C36" s="1158" t="e">
        <f>R37</f>
        <v>#DIV/0!</v>
      </c>
      <c r="D36" s="2315" t="s">
        <v>2137</v>
      </c>
      <c r="E36" s="1159" t="e">
        <f>R36</f>
        <v>#DIV/0!</v>
      </c>
      <c r="F36" s="2316"/>
      <c r="G36" s="1158" t="e">
        <f>T36</f>
        <v>#DIV/0!</v>
      </c>
      <c r="H36" s="2316"/>
      <c r="I36" s="1159" t="e">
        <f>V36</f>
        <v>#DIV/0!</v>
      </c>
      <c r="J36" s="2316"/>
      <c r="K36" s="2318">
        <f>F36+H36+J36</f>
        <v>0</v>
      </c>
      <c r="L36" s="2719"/>
      <c r="M36" s="2720"/>
      <c r="N36" s="2711"/>
      <c r="O36" s="2720"/>
      <c r="P36" s="3803" t="str">
        <f>A36</f>
        <v>比较价值（元/平方米）</v>
      </c>
      <c r="Q36" s="3803"/>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690"/>
      <c r="Y36" s="690"/>
      <c r="Z36" s="690"/>
      <c r="AA36" s="690"/>
      <c r="AB36" s="690"/>
      <c r="AC36" s="690"/>
    </row>
    <row r="37" spans="1:30" ht="15.75" thickBot="1">
      <c r="A37" s="441" t="s">
        <v>1793</v>
      </c>
      <c r="B37" s="442"/>
      <c r="C37" s="1161" t="e">
        <f>R37</f>
        <v>#DIV/0!</v>
      </c>
      <c r="D37" s="1161"/>
      <c r="E37" s="1161"/>
      <c r="F37" s="1161"/>
      <c r="G37" s="1161"/>
      <c r="H37" s="1161"/>
      <c r="I37" s="1161"/>
      <c r="J37" s="1161"/>
      <c r="K37" s="715"/>
      <c r="L37" s="2719"/>
      <c r="M37" s="2720"/>
      <c r="N37" s="2720"/>
      <c r="O37" s="2720"/>
      <c r="P37" s="3800" t="str">
        <f>A37</f>
        <v>估价对象XX用房的比较价值（楼面单价，元/平方米）</v>
      </c>
      <c r="Q37" s="3801"/>
      <c r="R37" s="3830" t="e">
        <f>IF(F1="售价",ROUND(IF(D36="简单平均",AVERAGE(R36:W36),R36*F36+T36*H36+V36*J36),0),ROUND(IF(D36="简单平均",AVERAGE(R36:V36),R36*F36+T36*H36+V36*J36),1))</f>
        <v>#DIV/0!</v>
      </c>
      <c r="S37" s="3830"/>
      <c r="T37" s="3830"/>
      <c r="U37" s="3830"/>
      <c r="V37" s="3830"/>
      <c r="W37" s="383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1">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1"/>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786" t="s">
        <v>1769</v>
      </c>
      <c r="D4" s="3787"/>
      <c r="E4" s="3788" t="s">
        <v>1770</v>
      </c>
      <c r="F4" s="3789"/>
      <c r="G4" s="3786" t="s">
        <v>1771</v>
      </c>
      <c r="H4" s="3787"/>
      <c r="I4" s="3786" t="s">
        <v>1772</v>
      </c>
      <c r="J4" s="3787"/>
      <c r="K4" s="559" t="s">
        <v>1773</v>
      </c>
      <c r="L4" s="2710"/>
      <c r="M4" s="2711"/>
      <c r="N4" s="2711"/>
      <c r="O4" s="2711"/>
      <c r="P4" s="3790" t="s">
        <v>1774</v>
      </c>
      <c r="Q4" s="3791"/>
      <c r="R4" s="3773" t="s">
        <v>1770</v>
      </c>
      <c r="S4" s="3774"/>
      <c r="T4" s="3773" t="s">
        <v>1771</v>
      </c>
      <c r="U4" s="3774"/>
      <c r="V4" s="3798" t="s">
        <v>1772</v>
      </c>
      <c r="W4" s="3798"/>
      <c r="X4" s="1353"/>
      <c r="Y4" s="3773" t="s">
        <v>1774</v>
      </c>
      <c r="Z4" s="3774"/>
      <c r="AA4" s="3768" t="s">
        <v>1770</v>
      </c>
      <c r="AB4" s="3769" t="s">
        <v>1771</v>
      </c>
      <c r="AC4" s="3768" t="s">
        <v>1772</v>
      </c>
    </row>
    <row r="5" spans="1:30" ht="15">
      <c r="A5" s="358"/>
      <c r="B5" s="359"/>
      <c r="C5" s="3779" t="s">
        <v>1672</v>
      </c>
      <c r="D5" s="3780"/>
      <c r="E5" s="3777" t="s">
        <v>1673</v>
      </c>
      <c r="F5" s="3778"/>
      <c r="G5" s="3779" t="s">
        <v>1674</v>
      </c>
      <c r="H5" s="3780"/>
      <c r="I5" s="3779" t="s">
        <v>1675</v>
      </c>
      <c r="J5" s="3780"/>
      <c r="K5" s="559"/>
      <c r="L5" s="2710"/>
      <c r="M5" s="2711"/>
      <c r="N5" s="2711"/>
      <c r="O5" s="2711"/>
      <c r="P5" s="3792"/>
      <c r="Q5" s="3793"/>
      <c r="R5" s="3775"/>
      <c r="S5" s="3776"/>
      <c r="T5" s="3775"/>
      <c r="U5" s="3776"/>
      <c r="V5" s="3798"/>
      <c r="W5" s="3798"/>
      <c r="X5" s="1353"/>
      <c r="Y5" s="3775"/>
      <c r="Z5" s="3776"/>
      <c r="AA5" s="3769"/>
      <c r="AB5" s="3769"/>
      <c r="AC5" s="3769"/>
    </row>
    <row r="6" spans="1:30" ht="15.75" thickBot="1">
      <c r="A6" s="360"/>
      <c r="B6" s="361"/>
      <c r="C6" s="3781" t="s">
        <v>1676</v>
      </c>
      <c r="D6" s="3782"/>
      <c r="E6" s="3783" t="s">
        <v>1676</v>
      </c>
      <c r="F6" s="3784"/>
      <c r="G6" s="3781" t="s">
        <v>1676</v>
      </c>
      <c r="H6" s="3782"/>
      <c r="I6" s="3781" t="s">
        <v>1676</v>
      </c>
      <c r="J6" s="3782"/>
      <c r="K6" s="559" t="s">
        <v>1677</v>
      </c>
      <c r="L6" s="2710"/>
      <c r="M6" s="2711"/>
      <c r="N6" s="2711"/>
      <c r="O6" s="2711"/>
      <c r="P6" s="3794"/>
      <c r="Q6" s="3795"/>
      <c r="R6" s="3775"/>
      <c r="S6" s="3776"/>
      <c r="T6" s="3796"/>
      <c r="U6" s="3797"/>
      <c r="V6" s="3798"/>
      <c r="W6" s="3798"/>
      <c r="X6" s="1353"/>
      <c r="Y6" s="3796"/>
      <c r="Z6" s="3797"/>
      <c r="AA6" s="3770"/>
      <c r="AB6" s="3770"/>
      <c r="AC6" s="3770"/>
    </row>
    <row r="7" spans="1:30" s="108" customFormat="1" ht="15.75" thickBot="1">
      <c r="A7" s="362" t="s">
        <v>1678</v>
      </c>
      <c r="B7" s="363"/>
      <c r="C7" s="364">
        <f>'数据-取费表'!B2</f>
        <v>45001</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771"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71" t="s">
        <v>1682</v>
      </c>
      <c r="Q8" s="3772"/>
      <c r="R8" s="701" t="s">
        <v>14</v>
      </c>
      <c r="S8" s="702">
        <f t="shared" si="0"/>
        <v>0</v>
      </c>
      <c r="T8" s="701" t="s">
        <v>14</v>
      </c>
      <c r="U8" s="702">
        <f t="shared" si="1"/>
        <v>0</v>
      </c>
      <c r="V8" s="701" t="s">
        <v>14</v>
      </c>
      <c r="W8" s="702">
        <f t="shared" si="2"/>
        <v>0</v>
      </c>
      <c r="X8" s="703"/>
      <c r="Y8" s="3771" t="s">
        <v>1682</v>
      </c>
      <c r="Z8" s="3772"/>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803" t="s">
        <v>1685</v>
      </c>
      <c r="Q9" s="1341" t="str">
        <f t="shared" ref="Q9:Q15" si="6">B9</f>
        <v>用途</v>
      </c>
      <c r="R9" s="701" t="s">
        <v>14</v>
      </c>
      <c r="S9" s="702">
        <f t="shared" si="0"/>
        <v>100</v>
      </c>
      <c r="T9" s="701" t="s">
        <v>14</v>
      </c>
      <c r="U9" s="702">
        <f t="shared" si="1"/>
        <v>100</v>
      </c>
      <c r="V9" s="701" t="s">
        <v>14</v>
      </c>
      <c r="W9" s="702">
        <f t="shared" si="2"/>
        <v>100</v>
      </c>
      <c r="X9" s="703"/>
      <c r="Y9" s="366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4"/>
      <c r="M10" s="2715"/>
      <c r="N10" s="2715"/>
      <c r="O10" s="2768"/>
      <c r="P10" s="3803"/>
      <c r="Q10" s="1341" t="str">
        <f t="shared" si="6"/>
        <v>土地使用年限（年）</v>
      </c>
      <c r="R10" s="701" t="s">
        <v>14</v>
      </c>
      <c r="S10" s="702">
        <f t="shared" si="0"/>
        <v>107</v>
      </c>
      <c r="T10" s="701" t="s">
        <v>14</v>
      </c>
      <c r="U10" s="702">
        <f t="shared" si="1"/>
        <v>107</v>
      </c>
      <c r="V10" s="701" t="s">
        <v>14</v>
      </c>
      <c r="W10" s="702">
        <f t="shared" si="2"/>
        <v>107</v>
      </c>
      <c r="X10" s="703"/>
      <c r="Y10" s="3669"/>
      <c r="Z10" s="52" t="str">
        <f t="shared" si="7"/>
        <v>土地使用年限（年）</v>
      </c>
      <c r="AA10" s="704">
        <f t="shared" si="3"/>
        <v>0.93457943925233644</v>
      </c>
      <c r="AB10" s="704">
        <f t="shared" si="4"/>
        <v>0.93457943925233644</v>
      </c>
      <c r="AC10" s="704">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803"/>
      <c r="Q11" s="1341"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803"/>
      <c r="Q12" s="1341" t="str">
        <f t="shared" si="6"/>
        <v>配建</v>
      </c>
      <c r="R12" s="701" t="s">
        <v>14</v>
      </c>
      <c r="S12" s="702">
        <f t="shared" si="0"/>
        <v>100</v>
      </c>
      <c r="T12" s="701" t="s">
        <v>14</v>
      </c>
      <c r="U12" s="702">
        <f t="shared" si="1"/>
        <v>100</v>
      </c>
      <c r="V12" s="701" t="s">
        <v>14</v>
      </c>
      <c r="W12" s="702">
        <f t="shared" si="2"/>
        <v>100</v>
      </c>
      <c r="X12" s="703"/>
      <c r="Y12" s="3669"/>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803"/>
      <c r="Q13" s="1341">
        <f t="shared" si="6"/>
        <v>111</v>
      </c>
      <c r="R13" s="701" t="s">
        <v>14</v>
      </c>
      <c r="S13" s="702">
        <f t="shared" si="0"/>
        <v>100</v>
      </c>
      <c r="T13" s="701" t="s">
        <v>14</v>
      </c>
      <c r="U13" s="702">
        <f t="shared" si="1"/>
        <v>100</v>
      </c>
      <c r="V13" s="701" t="s">
        <v>14</v>
      </c>
      <c r="W13" s="702">
        <f t="shared" si="2"/>
        <v>100</v>
      </c>
      <c r="X13" s="703"/>
      <c r="Y13" s="3669"/>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803"/>
      <c r="Q14" s="1341">
        <f t="shared" si="6"/>
        <v>111</v>
      </c>
      <c r="R14" s="701" t="s">
        <v>14</v>
      </c>
      <c r="S14" s="702">
        <f t="shared" si="0"/>
        <v>100</v>
      </c>
      <c r="T14" s="701" t="s">
        <v>14</v>
      </c>
      <c r="U14" s="702">
        <f t="shared" si="1"/>
        <v>100</v>
      </c>
      <c r="V14" s="701" t="s">
        <v>14</v>
      </c>
      <c r="W14" s="702">
        <f t="shared" si="2"/>
        <v>100</v>
      </c>
      <c r="X14" s="703"/>
      <c r="Y14" s="3669"/>
      <c r="Z14" s="52">
        <f t="shared" si="7"/>
        <v>111</v>
      </c>
      <c r="AA14" s="704">
        <f>D14/F14</f>
        <v>1</v>
      </c>
      <c r="AB14" s="704">
        <f>D14/H14</f>
        <v>1</v>
      </c>
      <c r="AC14" s="704">
        <f>D14/J14</f>
        <v>1</v>
      </c>
    </row>
    <row r="15" spans="1:30" ht="99.75">
      <c r="A15" s="391" t="s">
        <v>1689</v>
      </c>
      <c r="B15" s="61" t="s">
        <v>1256</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805" t="s">
        <v>1690</v>
      </c>
      <c r="Q15" s="1350" t="str">
        <f t="shared" si="6"/>
        <v>居住社区成熟度</v>
      </c>
      <c r="R15" s="705" t="s">
        <v>14</v>
      </c>
      <c r="S15" s="706">
        <f t="shared" si="0"/>
        <v>100</v>
      </c>
      <c r="T15" s="705" t="s">
        <v>14</v>
      </c>
      <c r="U15" s="706">
        <f t="shared" si="1"/>
        <v>100</v>
      </c>
      <c r="V15" s="705" t="s">
        <v>14</v>
      </c>
      <c r="W15" s="706">
        <f t="shared" si="2"/>
        <v>100</v>
      </c>
      <c r="X15" s="1353"/>
      <c r="Y15" s="3805"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7"/>
      <c r="M16" s="2711"/>
      <c r="N16" s="2711"/>
      <c r="O16" s="2769"/>
      <c r="P16" s="3806"/>
      <c r="Q16" s="1350"/>
      <c r="R16" s="705"/>
      <c r="S16" s="706"/>
      <c r="T16" s="705"/>
      <c r="U16" s="706"/>
      <c r="V16" s="705"/>
      <c r="W16" s="706"/>
      <c r="X16" s="1353"/>
      <c r="Y16" s="3806"/>
      <c r="Z16" s="1354"/>
      <c r="AA16" s="1351">
        <v>1</v>
      </c>
      <c r="AB16" s="1351">
        <v>1</v>
      </c>
      <c r="AC16" s="1351">
        <v>1</v>
      </c>
    </row>
    <row r="17" spans="1:29" ht="71.25">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806"/>
      <c r="Q17" s="1350" t="str">
        <f>B17</f>
        <v>商业繁华度</v>
      </c>
      <c r="R17" s="705" t="s">
        <v>14</v>
      </c>
      <c r="S17" s="706">
        <f>F17</f>
        <v>100</v>
      </c>
      <c r="T17" s="705" t="s">
        <v>14</v>
      </c>
      <c r="U17" s="706">
        <f>H17</f>
        <v>100</v>
      </c>
      <c r="V17" s="705" t="s">
        <v>14</v>
      </c>
      <c r="W17" s="706">
        <f>J17</f>
        <v>100</v>
      </c>
      <c r="X17" s="1353"/>
      <c r="Y17" s="380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7"/>
      <c r="M18" s="2711"/>
      <c r="N18" s="2711"/>
      <c r="O18" s="2769"/>
      <c r="P18" s="3806"/>
      <c r="Q18" s="1350"/>
      <c r="R18" s="705"/>
      <c r="S18" s="706"/>
      <c r="T18" s="705"/>
      <c r="U18" s="706"/>
      <c r="V18" s="705"/>
      <c r="W18" s="706"/>
      <c r="X18" s="1353"/>
      <c r="Y18" s="3806"/>
      <c r="Z18" s="1354"/>
      <c r="AA18" s="1351">
        <v>1</v>
      </c>
      <c r="AB18" s="1351">
        <v>1</v>
      </c>
      <c r="AC18" s="1351">
        <v>1</v>
      </c>
    </row>
    <row r="19" spans="1:29" ht="71.25">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806"/>
      <c r="Q19" s="1350" t="str">
        <f>B19</f>
        <v>办公集聚程度</v>
      </c>
      <c r="R19" s="705" t="s">
        <v>14</v>
      </c>
      <c r="S19" s="706">
        <f>F19</f>
        <v>100</v>
      </c>
      <c r="T19" s="705" t="s">
        <v>14</v>
      </c>
      <c r="U19" s="706">
        <f>H19</f>
        <v>100</v>
      </c>
      <c r="V19" s="705" t="s">
        <v>14</v>
      </c>
      <c r="W19" s="706">
        <f>J19</f>
        <v>100</v>
      </c>
      <c r="X19" s="1353"/>
      <c r="Y19" s="380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7"/>
      <c r="M20" s="2711"/>
      <c r="N20" s="2711"/>
      <c r="O20" s="2769"/>
      <c r="P20" s="3806"/>
      <c r="Q20" s="1350"/>
      <c r="R20" s="705"/>
      <c r="S20" s="706"/>
      <c r="T20" s="705"/>
      <c r="U20" s="706"/>
      <c r="V20" s="705"/>
      <c r="W20" s="706"/>
      <c r="X20" s="1353"/>
      <c r="Y20" s="3806"/>
      <c r="Z20" s="1354"/>
      <c r="AA20" s="1351">
        <v>1</v>
      </c>
      <c r="AB20" s="1351">
        <v>1</v>
      </c>
      <c r="AC20" s="1351">
        <v>1</v>
      </c>
    </row>
    <row r="21" spans="1:29" ht="85.5">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806"/>
      <c r="Q21" s="1350" t="str">
        <f>B21</f>
        <v>交通便捷度</v>
      </c>
      <c r="R21" s="705" t="s">
        <v>14</v>
      </c>
      <c r="S21" s="706">
        <f>F21</f>
        <v>100</v>
      </c>
      <c r="T21" s="705" t="s">
        <v>14</v>
      </c>
      <c r="U21" s="706">
        <f>H21</f>
        <v>100</v>
      </c>
      <c r="V21" s="705" t="s">
        <v>14</v>
      </c>
      <c r="W21" s="706">
        <f>J21</f>
        <v>100</v>
      </c>
      <c r="X21" s="1353"/>
      <c r="Y21" s="380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7"/>
      <c r="M22" s="2711"/>
      <c r="N22" s="2711"/>
      <c r="O22" s="2769"/>
      <c r="P22" s="3806"/>
      <c r="Q22" s="1350"/>
      <c r="R22" s="705"/>
      <c r="S22" s="706"/>
      <c r="T22" s="705"/>
      <c r="U22" s="706"/>
      <c r="V22" s="705"/>
      <c r="W22" s="706"/>
      <c r="X22" s="1353"/>
      <c r="Y22" s="3806"/>
      <c r="Z22" s="1354"/>
      <c r="AA22" s="1351">
        <v>1</v>
      </c>
      <c r="AB22" s="1351">
        <v>1</v>
      </c>
      <c r="AC22" s="1351">
        <v>1</v>
      </c>
    </row>
    <row r="23" spans="1:29" ht="15">
      <c r="A23" s="358"/>
      <c r="B23" s="402" t="s">
        <v>1870</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806"/>
      <c r="Q23" s="1350" t="str">
        <f t="shared" ref="Q23:Q37" si="8">B23</f>
        <v>区域土地利用方向</v>
      </c>
      <c r="R23" s="705" t="s">
        <v>14</v>
      </c>
      <c r="S23" s="706">
        <f>F23</f>
        <v>100</v>
      </c>
      <c r="T23" s="705" t="s">
        <v>14</v>
      </c>
      <c r="U23" s="706">
        <f>H23</f>
        <v>100</v>
      </c>
      <c r="V23" s="705" t="s">
        <v>14</v>
      </c>
      <c r="W23" s="706">
        <f>J23</f>
        <v>100</v>
      </c>
      <c r="X23" s="1353"/>
      <c r="Y23" s="380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17"/>
      <c r="M24" s="2711"/>
      <c r="N24" s="2711"/>
      <c r="O24" s="2769"/>
      <c r="P24" s="3806"/>
      <c r="Q24" s="1350"/>
      <c r="R24" s="705"/>
      <c r="S24" s="706"/>
      <c r="T24" s="705"/>
      <c r="U24" s="706"/>
      <c r="V24" s="705"/>
      <c r="W24" s="706"/>
      <c r="X24" s="1353"/>
      <c r="Y24" s="3806"/>
      <c r="Z24" s="1354"/>
      <c r="AA24" s="1351"/>
      <c r="AB24" s="1351"/>
      <c r="AC24" s="1351"/>
    </row>
    <row r="25" spans="1:29" ht="57">
      <c r="A25" s="358"/>
      <c r="B25" s="1129" t="s">
        <v>1871</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806"/>
      <c r="Q25" s="1350" t="str">
        <f t="shared" si="8"/>
        <v>自然及人文环境状况</v>
      </c>
      <c r="R25" s="705" t="s">
        <v>14</v>
      </c>
      <c r="S25" s="706">
        <f>F25</f>
        <v>100</v>
      </c>
      <c r="T25" s="705" t="s">
        <v>14</v>
      </c>
      <c r="U25" s="706">
        <f>H25</f>
        <v>100</v>
      </c>
      <c r="V25" s="705" t="s">
        <v>14</v>
      </c>
      <c r="W25" s="706">
        <f>J25</f>
        <v>100</v>
      </c>
      <c r="X25" s="1353"/>
      <c r="Y25" s="380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7"/>
      <c r="M26" s="2711"/>
      <c r="N26" s="2711"/>
      <c r="O26" s="2769"/>
      <c r="P26" s="3806"/>
      <c r="Q26" s="1350"/>
      <c r="R26" s="705"/>
      <c r="S26" s="706"/>
      <c r="T26" s="705"/>
      <c r="U26" s="706"/>
      <c r="V26" s="705"/>
      <c r="W26" s="706"/>
      <c r="X26" s="1353"/>
      <c r="Y26" s="3806"/>
      <c r="Z26" s="1354"/>
      <c r="AA26" s="1351">
        <v>1</v>
      </c>
      <c r="AB26" s="1351">
        <v>1</v>
      </c>
      <c r="AC26" s="1351">
        <v>1</v>
      </c>
    </row>
    <row r="27" spans="1:29" s="108" customFormat="1" ht="42.75">
      <c r="A27" s="597"/>
      <c r="B27" s="1129" t="s">
        <v>1777</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806"/>
      <c r="Q27" s="1341" t="str">
        <f t="shared" si="8"/>
        <v>公共配套设施</v>
      </c>
      <c r="R27" s="701" t="s">
        <v>14</v>
      </c>
      <c r="S27" s="702">
        <f>F27</f>
        <v>100</v>
      </c>
      <c r="T27" s="701" t="s">
        <v>14</v>
      </c>
      <c r="U27" s="702">
        <f>H27</f>
        <v>100</v>
      </c>
      <c r="V27" s="701" t="s">
        <v>14</v>
      </c>
      <c r="W27" s="702">
        <f>J27</f>
        <v>100</v>
      </c>
      <c r="X27" s="703"/>
      <c r="Y27" s="380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2"/>
      <c r="M28" s="2713"/>
      <c r="N28" s="2713"/>
      <c r="O28" s="2767"/>
      <c r="P28" s="3806"/>
      <c r="Q28" s="1341"/>
      <c r="R28" s="701"/>
      <c r="S28" s="702"/>
      <c r="T28" s="701"/>
      <c r="U28" s="702"/>
      <c r="V28" s="701"/>
      <c r="W28" s="702"/>
      <c r="X28" s="703"/>
      <c r="Y28" s="3806"/>
      <c r="Z28" s="52"/>
      <c r="AA28" s="1351">
        <v>1</v>
      </c>
      <c r="AB28" s="1351">
        <v>1</v>
      </c>
      <c r="AC28" s="1351">
        <v>1</v>
      </c>
    </row>
    <row r="29" spans="1:29" s="108" customFormat="1" ht="28.5">
      <c r="A29" s="597"/>
      <c r="B29" s="1129"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806"/>
      <c r="Q29" s="1341" t="str">
        <f t="shared" ref="Q29" si="9">B29</f>
        <v>基础设施水平</v>
      </c>
      <c r="R29" s="701" t="s">
        <v>14</v>
      </c>
      <c r="S29" s="702">
        <f>F29</f>
        <v>100</v>
      </c>
      <c r="T29" s="701" t="s">
        <v>14</v>
      </c>
      <c r="U29" s="702">
        <f>H29</f>
        <v>100</v>
      </c>
      <c r="V29" s="701" t="s">
        <v>14</v>
      </c>
      <c r="W29" s="702">
        <f>J29</f>
        <v>100</v>
      </c>
      <c r="X29" s="703"/>
      <c r="Y29" s="380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2"/>
      <c r="M30" s="2713"/>
      <c r="N30" s="2713"/>
      <c r="O30" s="2767"/>
      <c r="P30" s="3806"/>
      <c r="Q30" s="1341"/>
      <c r="R30" s="701"/>
      <c r="S30" s="702"/>
      <c r="T30" s="701"/>
      <c r="U30" s="702"/>
      <c r="V30" s="701"/>
      <c r="W30" s="702"/>
      <c r="X30" s="703"/>
      <c r="Y30" s="3806"/>
      <c r="Z30" s="52"/>
      <c r="AA30" s="1351">
        <v>1</v>
      </c>
      <c r="AB30" s="1351">
        <v>1</v>
      </c>
      <c r="AC30" s="1351">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806"/>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806"/>
      <c r="Z31" s="1354" t="str">
        <f t="shared" ref="Z31:Z45" si="13">Q31</f>
        <v>临街状况</v>
      </c>
      <c r="AA31" s="1351">
        <f t="shared" si="3"/>
        <v>1</v>
      </c>
      <c r="AB31" s="1351">
        <f t="shared" si="4"/>
        <v>1</v>
      </c>
      <c r="AC31" s="1351">
        <f t="shared" si="5"/>
        <v>1</v>
      </c>
    </row>
    <row r="32" spans="1:29" ht="27">
      <c r="A32" s="379"/>
      <c r="B32" s="1129"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806"/>
      <c r="Q32" s="1350" t="str">
        <f t="shared" si="8"/>
        <v>毗邻道路的类型与等级</v>
      </c>
      <c r="R32" s="705" t="s">
        <v>14</v>
      </c>
      <c r="S32" s="706">
        <f t="shared" si="10"/>
        <v>100</v>
      </c>
      <c r="T32" s="705" t="s">
        <v>14</v>
      </c>
      <c r="U32" s="706">
        <f t="shared" si="11"/>
        <v>100</v>
      </c>
      <c r="V32" s="705" t="s">
        <v>14</v>
      </c>
      <c r="W32" s="706">
        <f t="shared" si="12"/>
        <v>100</v>
      </c>
      <c r="X32" s="1353"/>
      <c r="Y32" s="380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7"/>
      <c r="M33" s="2711"/>
      <c r="N33" s="2711"/>
      <c r="O33" s="2769"/>
      <c r="P33" s="3806"/>
      <c r="Q33" s="1350"/>
      <c r="R33" s="705"/>
      <c r="S33" s="706"/>
      <c r="T33" s="705"/>
      <c r="U33" s="706"/>
      <c r="V33" s="705"/>
      <c r="W33" s="706"/>
      <c r="X33" s="1353"/>
      <c r="Y33" s="3806"/>
      <c r="Z33" s="1354"/>
      <c r="AA33" s="1351">
        <v>1</v>
      </c>
      <c r="AB33" s="1351">
        <v>1</v>
      </c>
      <c r="AC33" s="1351">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806"/>
      <c r="Q34" s="1350" t="str">
        <f t="shared" si="8"/>
        <v>土地级别</v>
      </c>
      <c r="R34" s="705" t="s">
        <v>14</v>
      </c>
      <c r="S34" s="706">
        <f t="shared" si="10"/>
        <v>100</v>
      </c>
      <c r="T34" s="705" t="s">
        <v>14</v>
      </c>
      <c r="U34" s="706">
        <f t="shared" si="11"/>
        <v>100</v>
      </c>
      <c r="V34" s="705" t="s">
        <v>14</v>
      </c>
      <c r="W34" s="706">
        <f t="shared" si="12"/>
        <v>100</v>
      </c>
      <c r="X34" s="1353"/>
      <c r="Y34" s="380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806"/>
      <c r="Q35" s="1350">
        <f t="shared" si="8"/>
        <v>111</v>
      </c>
      <c r="R35" s="705" t="s">
        <v>14</v>
      </c>
      <c r="S35" s="706">
        <f t="shared" si="10"/>
        <v>100</v>
      </c>
      <c r="T35" s="705" t="s">
        <v>14</v>
      </c>
      <c r="U35" s="706">
        <f t="shared" si="11"/>
        <v>100</v>
      </c>
      <c r="V35" s="705" t="s">
        <v>14</v>
      </c>
      <c r="W35" s="706">
        <f t="shared" si="12"/>
        <v>100</v>
      </c>
      <c r="X35" s="1353"/>
      <c r="Y35" s="380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29" t="s">
        <v>1695</v>
      </c>
      <c r="Q36" s="1350">
        <f t="shared" si="8"/>
        <v>111</v>
      </c>
      <c r="R36" s="705" t="s">
        <v>14</v>
      </c>
      <c r="S36" s="706">
        <f t="shared" si="10"/>
        <v>100</v>
      </c>
      <c r="T36" s="705" t="s">
        <v>14</v>
      </c>
      <c r="U36" s="706">
        <f t="shared" si="11"/>
        <v>100</v>
      </c>
      <c r="V36" s="705" t="s">
        <v>14</v>
      </c>
      <c r="W36" s="706">
        <f t="shared" si="12"/>
        <v>100</v>
      </c>
      <c r="X36" s="1353"/>
      <c r="Y36" s="3810" t="s">
        <v>1695</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810"/>
      <c r="Q37" s="1350">
        <f t="shared" si="8"/>
        <v>111</v>
      </c>
      <c r="R37" s="708" t="s">
        <v>14</v>
      </c>
      <c r="S37" s="709">
        <f t="shared" si="10"/>
        <v>100</v>
      </c>
      <c r="T37" s="708" t="s">
        <v>14</v>
      </c>
      <c r="U37" s="709">
        <f t="shared" si="11"/>
        <v>100</v>
      </c>
      <c r="V37" s="708" t="s">
        <v>14</v>
      </c>
      <c r="W37" s="709">
        <f t="shared" si="12"/>
        <v>100</v>
      </c>
      <c r="X37" s="710"/>
      <c r="Y37" s="3810"/>
      <c r="Z37" s="711">
        <f t="shared" si="13"/>
        <v>111</v>
      </c>
      <c r="AA37" s="1351">
        <f t="shared" si="3"/>
        <v>1</v>
      </c>
      <c r="AB37" s="1351">
        <f t="shared" si="4"/>
        <v>1</v>
      </c>
      <c r="AC37" s="1351">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810"/>
      <c r="Q38" s="1350" t="str">
        <f>B38</f>
        <v>宗地面积</v>
      </c>
      <c r="R38" s="705" t="s">
        <v>14</v>
      </c>
      <c r="S38" s="706" t="e">
        <f t="shared" si="10"/>
        <v>#N/A</v>
      </c>
      <c r="T38" s="705" t="s">
        <v>14</v>
      </c>
      <c r="U38" s="706" t="e">
        <f t="shared" si="11"/>
        <v>#N/A</v>
      </c>
      <c r="V38" s="705" t="s">
        <v>14</v>
      </c>
      <c r="W38" s="706" t="e">
        <f t="shared" si="12"/>
        <v>#N/A</v>
      </c>
      <c r="X38" s="1353"/>
      <c r="Y38" s="3810"/>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810"/>
      <c r="Q39" s="1350" t="str">
        <f t="shared" ref="Q39:Q45" si="14">B39</f>
        <v>宗地形状</v>
      </c>
      <c r="R39" s="705" t="s">
        <v>14</v>
      </c>
      <c r="S39" s="706">
        <f t="shared" si="10"/>
        <v>100</v>
      </c>
      <c r="T39" s="705" t="s">
        <v>14</v>
      </c>
      <c r="U39" s="706">
        <f t="shared" si="11"/>
        <v>100</v>
      </c>
      <c r="V39" s="705" t="s">
        <v>14</v>
      </c>
      <c r="W39" s="706">
        <f t="shared" si="12"/>
        <v>100</v>
      </c>
      <c r="X39" s="1353"/>
      <c r="Y39" s="3810"/>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810"/>
      <c r="Q40" s="1350" t="str">
        <f t="shared" si="14"/>
        <v>临街宽度及深度</v>
      </c>
      <c r="R40" s="705" t="s">
        <v>14</v>
      </c>
      <c r="S40" s="706">
        <f t="shared" si="10"/>
        <v>100</v>
      </c>
      <c r="T40" s="705" t="s">
        <v>14</v>
      </c>
      <c r="U40" s="706">
        <f t="shared" si="11"/>
        <v>100</v>
      </c>
      <c r="V40" s="705" t="s">
        <v>14</v>
      </c>
      <c r="W40" s="706">
        <f t="shared" si="12"/>
        <v>100</v>
      </c>
      <c r="X40" s="1353"/>
      <c r="Y40" s="3810"/>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810"/>
      <c r="Q41" s="1350" t="str">
        <f t="shared" si="14"/>
        <v>宗地开发程度</v>
      </c>
      <c r="R41" s="701" t="s">
        <v>14</v>
      </c>
      <c r="S41" s="702">
        <f t="shared" si="10"/>
        <v>100</v>
      </c>
      <c r="T41" s="701" t="s">
        <v>14</v>
      </c>
      <c r="U41" s="702">
        <f t="shared" si="11"/>
        <v>100</v>
      </c>
      <c r="V41" s="701" t="s">
        <v>14</v>
      </c>
      <c r="W41" s="702">
        <f t="shared" si="12"/>
        <v>100</v>
      </c>
      <c r="X41" s="703"/>
      <c r="Y41" s="3810"/>
      <c r="Z41" s="52" t="str">
        <f t="shared" si="13"/>
        <v>宗地开发程度</v>
      </c>
      <c r="AA41" s="704">
        <f t="shared" si="3"/>
        <v>1</v>
      </c>
      <c r="AB41" s="704">
        <f t="shared" si="4"/>
        <v>1</v>
      </c>
      <c r="AC41" s="704">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810" t="s">
        <v>1695</v>
      </c>
      <c r="Q42" s="1350" t="str">
        <f t="shared" si="14"/>
        <v>工程地质条件</v>
      </c>
      <c r="R42" s="705" t="s">
        <v>14</v>
      </c>
      <c r="S42" s="706">
        <f t="shared" si="10"/>
        <v>100</v>
      </c>
      <c r="T42" s="705" t="s">
        <v>14</v>
      </c>
      <c r="U42" s="706">
        <f t="shared" si="11"/>
        <v>100</v>
      </c>
      <c r="V42" s="705" t="s">
        <v>14</v>
      </c>
      <c r="W42" s="706">
        <f t="shared" si="12"/>
        <v>100</v>
      </c>
      <c r="X42" s="1353"/>
      <c r="Y42" s="3810" t="s">
        <v>1695</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810"/>
      <c r="Q43" s="1350">
        <f t="shared" si="14"/>
        <v>111</v>
      </c>
      <c r="R43" s="705" t="s">
        <v>14</v>
      </c>
      <c r="S43" s="706">
        <f t="shared" si="10"/>
        <v>100</v>
      </c>
      <c r="T43" s="705" t="s">
        <v>14</v>
      </c>
      <c r="U43" s="706">
        <f t="shared" si="11"/>
        <v>100</v>
      </c>
      <c r="V43" s="705" t="s">
        <v>14</v>
      </c>
      <c r="W43" s="706">
        <f t="shared" si="12"/>
        <v>100</v>
      </c>
      <c r="X43" s="1353"/>
      <c r="Y43" s="381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810"/>
      <c r="Q44" s="1350">
        <f t="shared" si="14"/>
        <v>111</v>
      </c>
      <c r="R44" s="705" t="s">
        <v>14</v>
      </c>
      <c r="S44" s="706">
        <f t="shared" si="10"/>
        <v>100</v>
      </c>
      <c r="T44" s="705" t="s">
        <v>14</v>
      </c>
      <c r="U44" s="706">
        <f t="shared" si="11"/>
        <v>100</v>
      </c>
      <c r="V44" s="705" t="s">
        <v>14</v>
      </c>
      <c r="W44" s="706">
        <f t="shared" si="12"/>
        <v>100</v>
      </c>
      <c r="X44" s="1353"/>
      <c r="Y44" s="381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810"/>
      <c r="Q45" s="1350">
        <f t="shared" si="14"/>
        <v>111</v>
      </c>
      <c r="R45" s="708" t="s">
        <v>14</v>
      </c>
      <c r="S45" s="709">
        <f t="shared" si="10"/>
        <v>100</v>
      </c>
      <c r="T45" s="708" t="s">
        <v>14</v>
      </c>
      <c r="U45" s="709">
        <f t="shared" si="11"/>
        <v>100</v>
      </c>
      <c r="V45" s="708" t="s">
        <v>14</v>
      </c>
      <c r="W45" s="709">
        <f t="shared" si="12"/>
        <v>100</v>
      </c>
      <c r="X45" s="710"/>
      <c r="Y45" s="3810"/>
      <c r="Z45" s="711">
        <f t="shared" si="13"/>
        <v>111</v>
      </c>
      <c r="AA45" s="1351">
        <f t="shared" si="3"/>
        <v>1</v>
      </c>
      <c r="AB45" s="1351">
        <f t="shared" si="4"/>
        <v>1</v>
      </c>
      <c r="AC45" s="1351">
        <f t="shared" si="5"/>
        <v>1</v>
      </c>
    </row>
    <row r="46" spans="1:29" ht="15">
      <c r="A46" s="430" t="s">
        <v>1843</v>
      </c>
      <c r="B46" s="1980" t="s">
        <v>1878</v>
      </c>
      <c r="C46" s="630" t="s">
        <v>0</v>
      </c>
      <c r="D46" s="432"/>
      <c r="E46" s="433"/>
      <c r="F46" s="434"/>
      <c r="G46" s="435"/>
      <c r="H46" s="436"/>
      <c r="I46" s="433"/>
      <c r="J46" s="436"/>
      <c r="K46" s="714"/>
      <c r="L46" s="2719"/>
      <c r="M46" s="2720"/>
      <c r="N46" s="2711"/>
      <c r="O46" s="2720"/>
      <c r="P46" s="3803" t="str">
        <f>A46</f>
        <v>成交单价</v>
      </c>
      <c r="Q46" s="3803"/>
      <c r="R46" s="3798">
        <f>E46</f>
        <v>0</v>
      </c>
      <c r="S46" s="3798"/>
      <c r="T46" s="3798">
        <f>G46</f>
        <v>0</v>
      </c>
      <c r="U46" s="3798"/>
      <c r="V46" s="3798">
        <f>I46</f>
        <v>0</v>
      </c>
      <c r="W46" s="3798"/>
      <c r="X46" s="690"/>
      <c r="Y46" s="712"/>
      <c r="Z46" s="690"/>
      <c r="AA46" s="690"/>
      <c r="AB46" s="690"/>
      <c r="AC46" s="690"/>
    </row>
    <row r="47" spans="1:29" ht="15.75" thickBot="1">
      <c r="A47" s="437" t="s">
        <v>1792</v>
      </c>
      <c r="B47" s="631"/>
      <c r="C47" s="440" t="e">
        <f>R48</f>
        <v>#DIV/0!</v>
      </c>
      <c r="D47" s="2315" t="s">
        <v>2137</v>
      </c>
      <c r="E47" s="440" t="e">
        <f>R47</f>
        <v>#DIV/0!</v>
      </c>
      <c r="F47" s="2316"/>
      <c r="G47" s="439" t="e">
        <f>T47</f>
        <v>#DIV/0!</v>
      </c>
      <c r="H47" s="2316"/>
      <c r="I47" s="440" t="e">
        <f>V47</f>
        <v>#DIV/0!</v>
      </c>
      <c r="J47" s="2316"/>
      <c r="K47" s="2318">
        <f>F47+H47+J47</f>
        <v>0</v>
      </c>
      <c r="L47" s="2719"/>
      <c r="M47" s="2720"/>
      <c r="N47" s="2720"/>
      <c r="O47" s="2720"/>
      <c r="P47" s="3803" t="str">
        <f>A47</f>
        <v>比较价值（元/平方米）</v>
      </c>
      <c r="Q47" s="3803"/>
      <c r="R47" s="3831" t="e">
        <f>ROUND(PRODUCT(R46,AA7:AA45),0)</f>
        <v>#DIV/0!</v>
      </c>
      <c r="S47" s="3831"/>
      <c r="T47" s="3831" t="e">
        <f>ROUND(PRODUCT(T46,AB7:AB45),0)</f>
        <v>#DIV/0!</v>
      </c>
      <c r="U47" s="3831"/>
      <c r="V47" s="3831" t="e">
        <f>ROUND(PRODUCT(V46,AC7:AC45),0)</f>
        <v>#DIV/0!</v>
      </c>
      <c r="W47" s="383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800" t="str">
        <f>A48</f>
        <v>估价对象XX用房的比较价值（楼面单价，元/平方米）</v>
      </c>
      <c r="Q48" s="3801"/>
      <c r="R48" s="3832" t="e">
        <f>ROUND(IF(D47="简单平均",AVERAGE(R47:W47),R47*F47+T47*H47+V47*J47),0)</f>
        <v>#DIV/0!</v>
      </c>
      <c r="S48" s="3832"/>
      <c r="T48" s="3832"/>
      <c r="U48" s="3832"/>
      <c r="V48" s="3832"/>
      <c r="W48" s="383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1" t="s">
        <v>1882</v>
      </c>
      <c r="D55" s="1982" t="s">
        <v>1883</v>
      </c>
      <c r="E55" s="634" t="s">
        <v>1884</v>
      </c>
      <c r="F55" s="890" t="s">
        <v>1885</v>
      </c>
      <c r="G55" s="3786" t="s">
        <v>1886</v>
      </c>
      <c r="H55" s="3833"/>
      <c r="I55" s="135" t="s">
        <v>1887</v>
      </c>
      <c r="J55" s="1983">
        <f>项目基本情况!F35</f>
        <v>0</v>
      </c>
      <c r="K55" s="1984"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52974.33</v>
      </c>
      <c r="F56" s="886" t="e">
        <f t="shared" ref="F56:F64" si="15">ROUND(B56*E56/10000,0)</f>
        <v>#DIV/0!</v>
      </c>
      <c r="G56" s="3785"/>
      <c r="H56" s="380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v>
      </c>
      <c r="D57" s="945">
        <v>0.25</v>
      </c>
      <c r="E57" s="642"/>
      <c r="F57" s="886" t="e">
        <f t="shared" si="15"/>
        <v>#DIV/0!</v>
      </c>
      <c r="G57" s="3001" t="s">
        <v>1891</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0.25</v>
      </c>
      <c r="D60" s="945">
        <v>0.25</v>
      </c>
      <c r="E60" s="217">
        <f>'数据-汇总表'!E11</f>
        <v>5502.54</v>
      </c>
      <c r="F60" s="886" t="e">
        <f t="shared" si="15"/>
        <v>#DIV/0!</v>
      </c>
      <c r="G60" s="1985" t="s">
        <v>1895</v>
      </c>
      <c r="H60" s="887" t="str">
        <f>项目基本情况!C37</f>
        <v>七级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七级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v>
      </c>
      <c r="D63" s="945">
        <v>0.25</v>
      </c>
      <c r="E63" s="217">
        <f>'数据-汇总表'!E14</f>
        <v>0</v>
      </c>
      <c r="F63" s="886" t="e">
        <f t="shared" si="15"/>
        <v>#DIV/0!</v>
      </c>
      <c r="G63" s="1985" t="s">
        <v>1891</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0.15</v>
      </c>
      <c r="D64" s="945">
        <v>0.25</v>
      </c>
      <c r="E64" s="217">
        <f>'数据-汇总表'!E15</f>
        <v>0</v>
      </c>
      <c r="F64" s="886" t="e">
        <f t="shared" si="15"/>
        <v>#DIV/0!</v>
      </c>
      <c r="G64" s="1986" t="s">
        <v>1895</v>
      </c>
      <c r="H64" s="897" t="str">
        <f>项目基本情况!C37</f>
        <v>七级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58476.87</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7" t="s">
        <v>1903</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4"/>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1"/>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786" t="s">
        <v>1769</v>
      </c>
      <c r="D4" s="3787"/>
      <c r="E4" s="3788" t="s">
        <v>1770</v>
      </c>
      <c r="F4" s="3789"/>
      <c r="G4" s="3786" t="s">
        <v>1771</v>
      </c>
      <c r="H4" s="3787"/>
      <c r="I4" s="3786" t="s">
        <v>1772</v>
      </c>
      <c r="J4" s="3787"/>
      <c r="K4" s="559" t="s">
        <v>1773</v>
      </c>
      <c r="L4" s="2710"/>
      <c r="M4" s="2711"/>
      <c r="N4" s="2711"/>
      <c r="O4" s="2711"/>
      <c r="P4" s="3790" t="s">
        <v>1774</v>
      </c>
      <c r="Q4" s="3791"/>
      <c r="R4" s="3773" t="s">
        <v>1770</v>
      </c>
      <c r="S4" s="3774"/>
      <c r="T4" s="3773" t="s">
        <v>1771</v>
      </c>
      <c r="U4" s="3774"/>
      <c r="V4" s="3798" t="s">
        <v>1772</v>
      </c>
      <c r="W4" s="3798"/>
      <c r="X4" s="1353"/>
      <c r="Y4" s="3773" t="s">
        <v>1774</v>
      </c>
      <c r="Z4" s="3774"/>
      <c r="AA4" s="3768" t="s">
        <v>1770</v>
      </c>
      <c r="AB4" s="3769" t="s">
        <v>1771</v>
      </c>
      <c r="AC4" s="3768" t="s">
        <v>1772</v>
      </c>
    </row>
    <row r="5" spans="1:29" ht="15">
      <c r="A5" s="358"/>
      <c r="B5" s="359"/>
      <c r="C5" s="3779" t="s">
        <v>1672</v>
      </c>
      <c r="D5" s="3780"/>
      <c r="E5" s="3777" t="s">
        <v>1673</v>
      </c>
      <c r="F5" s="3778"/>
      <c r="G5" s="3779" t="s">
        <v>1674</v>
      </c>
      <c r="H5" s="3780"/>
      <c r="I5" s="3779" t="s">
        <v>1675</v>
      </c>
      <c r="J5" s="3780"/>
      <c r="K5" s="559"/>
      <c r="L5" s="2710"/>
      <c r="M5" s="2711"/>
      <c r="N5" s="2711"/>
      <c r="O5" s="2711"/>
      <c r="P5" s="3792"/>
      <c r="Q5" s="3793"/>
      <c r="R5" s="3775"/>
      <c r="S5" s="3776"/>
      <c r="T5" s="3775"/>
      <c r="U5" s="3776"/>
      <c r="V5" s="3798"/>
      <c r="W5" s="3798"/>
      <c r="X5" s="1353"/>
      <c r="Y5" s="3775"/>
      <c r="Z5" s="3776"/>
      <c r="AA5" s="3769"/>
      <c r="AB5" s="3769"/>
      <c r="AC5" s="3769"/>
    </row>
    <row r="6" spans="1:29" ht="15.75" thickBot="1">
      <c r="A6" s="360"/>
      <c r="B6" s="361"/>
      <c r="C6" s="3834" t="s">
        <v>1918</v>
      </c>
      <c r="D6" s="3835"/>
      <c r="E6" s="3836" t="s">
        <v>1918</v>
      </c>
      <c r="F6" s="3837"/>
      <c r="G6" s="3834" t="s">
        <v>1918</v>
      </c>
      <c r="H6" s="3835"/>
      <c r="I6" s="3834" t="s">
        <v>1918</v>
      </c>
      <c r="J6" s="3835"/>
      <c r="K6" s="559" t="s">
        <v>1677</v>
      </c>
      <c r="L6" s="2710"/>
      <c r="M6" s="2711"/>
      <c r="N6" s="2711"/>
      <c r="O6" s="2711"/>
      <c r="P6" s="3794"/>
      <c r="Q6" s="3795"/>
      <c r="R6" s="3775"/>
      <c r="S6" s="3776"/>
      <c r="T6" s="3796"/>
      <c r="U6" s="3797"/>
      <c r="V6" s="3798"/>
      <c r="W6" s="3798"/>
      <c r="X6" s="1353"/>
      <c r="Y6" s="3796"/>
      <c r="Z6" s="3797"/>
      <c r="AA6" s="3770"/>
      <c r="AB6" s="3770"/>
      <c r="AC6" s="3770"/>
    </row>
    <row r="7" spans="1:29" s="108" customFormat="1" ht="15.75" thickBot="1">
      <c r="A7" s="362" t="s">
        <v>1678</v>
      </c>
      <c r="B7" s="363"/>
      <c r="C7" s="364">
        <f>'数据-取费表'!B2</f>
        <v>45001</v>
      </c>
      <c r="D7" s="365">
        <v>100</v>
      </c>
      <c r="E7" s="366"/>
      <c r="F7" s="367">
        <f>SUMIF(65:65,YEAR(E7)&amp;"-"&amp;INT((MONTH(E7)+2)/3),66:66)</f>
        <v>0</v>
      </c>
      <c r="G7" s="1972"/>
      <c r="H7" s="365">
        <f>SUMIF(65:65,YEAR(G7)&amp;"-"&amp;INT((MONTH(G7)+2)/3),66:66)</f>
        <v>0</v>
      </c>
      <c r="I7" s="1972"/>
      <c r="J7" s="365">
        <f>SUMIF(65:65,YEAR(I7)&amp;"-"&amp;INT((MONTH(I7)+2)/3),66:66)</f>
        <v>0</v>
      </c>
      <c r="K7" s="560"/>
      <c r="L7" s="2712"/>
      <c r="M7" s="2713"/>
      <c r="N7" s="2713"/>
      <c r="O7" s="2713"/>
      <c r="P7" s="3771"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71" t="s">
        <v>1682</v>
      </c>
      <c r="Q8" s="3772"/>
      <c r="R8" s="701" t="s">
        <v>14</v>
      </c>
      <c r="S8" s="702">
        <f t="shared" si="0"/>
        <v>0</v>
      </c>
      <c r="T8" s="701" t="s">
        <v>14</v>
      </c>
      <c r="U8" s="702">
        <f t="shared" si="1"/>
        <v>0</v>
      </c>
      <c r="V8" s="701" t="s">
        <v>14</v>
      </c>
      <c r="W8" s="702">
        <f t="shared" si="2"/>
        <v>0</v>
      </c>
      <c r="X8" s="703"/>
      <c r="Y8" s="3771" t="s">
        <v>1682</v>
      </c>
      <c r="Z8" s="3772"/>
      <c r="AA8" s="704" t="e">
        <f t="shared" ref="AA8:AA40" si="3">D8/F8</f>
        <v>#DIV/0!</v>
      </c>
      <c r="AB8" s="704" t="e">
        <f t="shared" ref="AB8:AB40" si="4">D8/H8</f>
        <v>#DIV/0!</v>
      </c>
      <c r="AC8" s="704"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2"/>
      <c r="M9" s="2713"/>
      <c r="N9" s="2713"/>
      <c r="O9" s="2767"/>
      <c r="P9" s="3803" t="s">
        <v>1685</v>
      </c>
      <c r="Q9" s="1341" t="str">
        <f t="shared" ref="Q9:Q15" si="6">B9</f>
        <v>用途</v>
      </c>
      <c r="R9" s="701" t="s">
        <v>14</v>
      </c>
      <c r="S9" s="702">
        <f t="shared" si="0"/>
        <v>100</v>
      </c>
      <c r="T9" s="701" t="s">
        <v>14</v>
      </c>
      <c r="U9" s="702">
        <f t="shared" si="1"/>
        <v>100</v>
      </c>
      <c r="V9" s="701" t="s">
        <v>14</v>
      </c>
      <c r="W9" s="702">
        <f t="shared" si="2"/>
        <v>100</v>
      </c>
      <c r="X9" s="703"/>
      <c r="Y9" s="366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20"/>
      <c r="L10" s="2714"/>
      <c r="M10" s="2715"/>
      <c r="N10" s="2715"/>
      <c r="O10" s="2768"/>
      <c r="P10" s="3803"/>
      <c r="Q10" s="1341" t="str">
        <f t="shared" si="6"/>
        <v>土地使用年限（年）</v>
      </c>
      <c r="R10" s="701" t="s">
        <v>14</v>
      </c>
      <c r="S10" s="702">
        <f t="shared" si="0"/>
        <v>107</v>
      </c>
      <c r="T10" s="701" t="s">
        <v>14</v>
      </c>
      <c r="U10" s="702">
        <f t="shared" si="1"/>
        <v>107</v>
      </c>
      <c r="V10" s="701" t="s">
        <v>14</v>
      </c>
      <c r="W10" s="702">
        <f t="shared" si="2"/>
        <v>107</v>
      </c>
      <c r="X10" s="703"/>
      <c r="Y10" s="3669"/>
      <c r="Z10" s="52" t="str">
        <f t="shared" si="7"/>
        <v>土地使用年限（年）</v>
      </c>
      <c r="AA10" s="704">
        <f t="shared" si="3"/>
        <v>0.93457943925233644</v>
      </c>
      <c r="AB10" s="704">
        <f t="shared" si="4"/>
        <v>0.93457943925233644</v>
      </c>
      <c r="AC10" s="704">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803"/>
      <c r="Q11" s="1341"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803"/>
      <c r="Q12" s="1341">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803"/>
      <c r="Q13" s="1341">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803"/>
      <c r="Q14" s="1341">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57">
      <c r="A15" s="391" t="s">
        <v>1689</v>
      </c>
      <c r="B15" s="577"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805" t="s">
        <v>1690</v>
      </c>
      <c r="Q15" s="1350" t="str">
        <f t="shared" si="6"/>
        <v>产业集聚程度</v>
      </c>
      <c r="R15" s="705" t="s">
        <v>14</v>
      </c>
      <c r="S15" s="706">
        <f t="shared" si="0"/>
        <v>100</v>
      </c>
      <c r="T15" s="705" t="s">
        <v>14</v>
      </c>
      <c r="U15" s="706">
        <f t="shared" si="1"/>
        <v>100</v>
      </c>
      <c r="V15" s="705" t="s">
        <v>14</v>
      </c>
      <c r="W15" s="706">
        <f t="shared" si="2"/>
        <v>100</v>
      </c>
      <c r="X15" s="1353"/>
      <c r="Y15" s="3805" t="s">
        <v>1690</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7"/>
      <c r="M16" s="2711"/>
      <c r="N16" s="2711"/>
      <c r="O16" s="2769"/>
      <c r="P16" s="3806"/>
      <c r="Q16" s="1350"/>
      <c r="R16" s="705"/>
      <c r="S16" s="706"/>
      <c r="T16" s="705"/>
      <c r="U16" s="706"/>
      <c r="V16" s="705"/>
      <c r="W16" s="706"/>
      <c r="X16" s="1353"/>
      <c r="Y16" s="3806"/>
      <c r="Z16" s="1354"/>
      <c r="AA16" s="1351">
        <v>1</v>
      </c>
      <c r="AB16" s="1351">
        <v>1</v>
      </c>
      <c r="AC16" s="1351">
        <v>1</v>
      </c>
    </row>
    <row r="17" spans="1:29" ht="85.5">
      <c r="A17" s="379"/>
      <c r="B17" s="579"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806"/>
      <c r="Q17" s="1350" t="str">
        <f>B17</f>
        <v>交通便捷度</v>
      </c>
      <c r="R17" s="705" t="s">
        <v>14</v>
      </c>
      <c r="S17" s="706">
        <f>F17</f>
        <v>100</v>
      </c>
      <c r="T17" s="705" t="s">
        <v>14</v>
      </c>
      <c r="U17" s="706">
        <f>H17</f>
        <v>100</v>
      </c>
      <c r="V17" s="705" t="s">
        <v>14</v>
      </c>
      <c r="W17" s="706">
        <f>J17</f>
        <v>100</v>
      </c>
      <c r="X17" s="1353"/>
      <c r="Y17" s="380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7"/>
      <c r="M18" s="2711"/>
      <c r="N18" s="2711"/>
      <c r="O18" s="2769"/>
      <c r="P18" s="3806"/>
      <c r="Q18" s="1350"/>
      <c r="R18" s="705"/>
      <c r="S18" s="706"/>
      <c r="T18" s="705"/>
      <c r="U18" s="706"/>
      <c r="V18" s="705"/>
      <c r="W18" s="706"/>
      <c r="X18" s="1353"/>
      <c r="Y18" s="3806"/>
      <c r="Z18" s="1354"/>
      <c r="AA18" s="1351">
        <v>1</v>
      </c>
      <c r="AB18" s="1351">
        <v>1</v>
      </c>
      <c r="AC18" s="1351">
        <v>1</v>
      </c>
    </row>
    <row r="19" spans="1:29" ht="15">
      <c r="A19" s="379"/>
      <c r="B19" s="579"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806"/>
      <c r="Q19" s="1350" t="str">
        <f t="shared" ref="Q19:Q33" si="8">B19</f>
        <v>区域土地利用方向</v>
      </c>
      <c r="R19" s="705" t="s">
        <v>14</v>
      </c>
      <c r="S19" s="706">
        <f>F19</f>
        <v>100</v>
      </c>
      <c r="T19" s="705" t="s">
        <v>14</v>
      </c>
      <c r="U19" s="706">
        <f>H19</f>
        <v>100</v>
      </c>
      <c r="V19" s="705" t="s">
        <v>14</v>
      </c>
      <c r="W19" s="706">
        <f>J19</f>
        <v>100</v>
      </c>
      <c r="X19" s="1353"/>
      <c r="Y19" s="380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17"/>
      <c r="M20" s="2711"/>
      <c r="N20" s="2711"/>
      <c r="O20" s="2769"/>
      <c r="P20" s="3806"/>
      <c r="Q20" s="1350"/>
      <c r="R20" s="705"/>
      <c r="S20" s="706"/>
      <c r="T20" s="705"/>
      <c r="U20" s="706"/>
      <c r="V20" s="705"/>
      <c r="W20" s="706"/>
      <c r="X20" s="1353"/>
      <c r="Y20" s="3806"/>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806"/>
      <c r="Q21" s="1350" t="str">
        <f t="shared" si="8"/>
        <v>环境状况</v>
      </c>
      <c r="R21" s="705" t="s">
        <v>14</v>
      </c>
      <c r="S21" s="706">
        <f>F21</f>
        <v>100</v>
      </c>
      <c r="T21" s="705" t="s">
        <v>14</v>
      </c>
      <c r="U21" s="706">
        <f>H21</f>
        <v>100</v>
      </c>
      <c r="V21" s="705" t="s">
        <v>14</v>
      </c>
      <c r="W21" s="706">
        <f>J21</f>
        <v>100</v>
      </c>
      <c r="X21" s="1353"/>
      <c r="Y21" s="380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7"/>
      <c r="M22" s="2711"/>
      <c r="N22" s="2711"/>
      <c r="O22" s="2769"/>
      <c r="P22" s="3806"/>
      <c r="Q22" s="1350"/>
      <c r="R22" s="705"/>
      <c r="S22" s="706"/>
      <c r="T22" s="705"/>
      <c r="U22" s="706"/>
      <c r="V22" s="705"/>
      <c r="W22" s="706"/>
      <c r="X22" s="1353"/>
      <c r="Y22" s="3806"/>
      <c r="Z22" s="1354"/>
      <c r="AA22" s="1351">
        <v>1</v>
      </c>
      <c r="AB22" s="1351">
        <v>1</v>
      </c>
      <c r="AC22" s="1351">
        <v>1</v>
      </c>
    </row>
    <row r="23" spans="1:29" s="108" customFormat="1" ht="42.75">
      <c r="A23" s="597"/>
      <c r="B23" s="581"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806"/>
      <c r="Q23" s="1341" t="str">
        <f t="shared" si="8"/>
        <v>公共配套设施</v>
      </c>
      <c r="R23" s="701" t="s">
        <v>14</v>
      </c>
      <c r="S23" s="702">
        <f>F23</f>
        <v>100</v>
      </c>
      <c r="T23" s="701" t="s">
        <v>14</v>
      </c>
      <c r="U23" s="702">
        <f>H23</f>
        <v>100</v>
      </c>
      <c r="V23" s="701" t="s">
        <v>14</v>
      </c>
      <c r="W23" s="702">
        <f>J23</f>
        <v>100</v>
      </c>
      <c r="X23" s="703"/>
      <c r="Y23" s="380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2"/>
      <c r="M24" s="2713"/>
      <c r="N24" s="2713"/>
      <c r="O24" s="2767"/>
      <c r="P24" s="3806"/>
      <c r="Q24" s="1341"/>
      <c r="R24" s="701"/>
      <c r="S24" s="702"/>
      <c r="T24" s="701"/>
      <c r="U24" s="702"/>
      <c r="V24" s="701"/>
      <c r="W24" s="702"/>
      <c r="X24" s="703"/>
      <c r="Y24" s="3806"/>
      <c r="Z24" s="52"/>
      <c r="AA24" s="704">
        <v>1</v>
      </c>
      <c r="AB24" s="704">
        <v>1</v>
      </c>
      <c r="AC24" s="704">
        <v>1</v>
      </c>
    </row>
    <row r="25" spans="1:29" s="108" customFormat="1" ht="28.5">
      <c r="A25" s="597"/>
      <c r="B25" s="581"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806"/>
      <c r="Q25" s="1341" t="str">
        <f t="shared" ref="Q25" si="9">B25</f>
        <v>基础设施水平</v>
      </c>
      <c r="R25" s="701" t="s">
        <v>14</v>
      </c>
      <c r="S25" s="702">
        <f>F25</f>
        <v>100</v>
      </c>
      <c r="T25" s="701" t="s">
        <v>14</v>
      </c>
      <c r="U25" s="702">
        <f>H25</f>
        <v>100</v>
      </c>
      <c r="V25" s="701" t="s">
        <v>14</v>
      </c>
      <c r="W25" s="702">
        <f>J25</f>
        <v>100</v>
      </c>
      <c r="X25" s="703"/>
      <c r="Y25" s="380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2"/>
      <c r="M26" s="2713"/>
      <c r="N26" s="2713"/>
      <c r="O26" s="2767"/>
      <c r="P26" s="3806"/>
      <c r="Q26" s="1341"/>
      <c r="R26" s="701"/>
      <c r="S26" s="702"/>
      <c r="T26" s="701"/>
      <c r="U26" s="702"/>
      <c r="V26" s="701"/>
      <c r="W26" s="702"/>
      <c r="X26" s="703"/>
      <c r="Y26" s="380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806"/>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806"/>
      <c r="Z27" s="1354" t="str">
        <f t="shared" ref="Z27:Z40" si="13">Q27</f>
        <v>临街状况</v>
      </c>
      <c r="AA27" s="1351">
        <f t="shared" si="3"/>
        <v>1</v>
      </c>
      <c r="AB27" s="1351">
        <f t="shared" si="4"/>
        <v>1</v>
      </c>
      <c r="AC27" s="1351">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806"/>
      <c r="Q28" s="1350" t="str">
        <f t="shared" si="8"/>
        <v>毗邻道路的类型与等级</v>
      </c>
      <c r="R28" s="705" t="s">
        <v>14</v>
      </c>
      <c r="S28" s="706">
        <f t="shared" si="10"/>
        <v>100</v>
      </c>
      <c r="T28" s="705" t="s">
        <v>14</v>
      </c>
      <c r="U28" s="706">
        <f t="shared" si="11"/>
        <v>100</v>
      </c>
      <c r="V28" s="705" t="s">
        <v>14</v>
      </c>
      <c r="W28" s="706">
        <f t="shared" si="12"/>
        <v>100</v>
      </c>
      <c r="X28" s="1353"/>
      <c r="Y28" s="380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7"/>
      <c r="M29" s="2711"/>
      <c r="N29" s="2711"/>
      <c r="O29" s="2769"/>
      <c r="P29" s="3806"/>
      <c r="Q29" s="1350"/>
      <c r="R29" s="705"/>
      <c r="S29" s="706"/>
      <c r="T29" s="705"/>
      <c r="U29" s="706"/>
      <c r="V29" s="705"/>
      <c r="W29" s="706"/>
      <c r="X29" s="1353"/>
      <c r="Y29" s="3806"/>
      <c r="Z29" s="1354"/>
      <c r="AA29" s="1351">
        <v>1</v>
      </c>
      <c r="AB29" s="1351">
        <v>1</v>
      </c>
      <c r="AC29" s="1351">
        <v>1</v>
      </c>
    </row>
    <row r="30" spans="1:29" ht="15">
      <c r="A30" s="379"/>
      <c r="B30" s="602" t="s">
        <v>1872</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806"/>
      <c r="Q30" s="1350" t="str">
        <f t="shared" si="8"/>
        <v>土地级别</v>
      </c>
      <c r="R30" s="705" t="s">
        <v>14</v>
      </c>
      <c r="S30" s="706">
        <f t="shared" si="10"/>
        <v>100</v>
      </c>
      <c r="T30" s="705" t="s">
        <v>14</v>
      </c>
      <c r="U30" s="706">
        <f t="shared" si="11"/>
        <v>100</v>
      </c>
      <c r="V30" s="705" t="s">
        <v>14</v>
      </c>
      <c r="W30" s="706">
        <f t="shared" si="12"/>
        <v>100</v>
      </c>
      <c r="X30" s="1353"/>
      <c r="Y30" s="380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806"/>
      <c r="Q31" s="1350">
        <f t="shared" si="8"/>
        <v>111</v>
      </c>
      <c r="R31" s="705" t="s">
        <v>14</v>
      </c>
      <c r="S31" s="706">
        <f t="shared" si="10"/>
        <v>100</v>
      </c>
      <c r="T31" s="705" t="s">
        <v>14</v>
      </c>
      <c r="U31" s="706">
        <f t="shared" si="11"/>
        <v>100</v>
      </c>
      <c r="V31" s="705" t="s">
        <v>14</v>
      </c>
      <c r="W31" s="706">
        <f t="shared" si="12"/>
        <v>100</v>
      </c>
      <c r="X31" s="1353"/>
      <c r="Y31" s="380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29" t="s">
        <v>1695</v>
      </c>
      <c r="Q32" s="1350">
        <f t="shared" si="8"/>
        <v>111</v>
      </c>
      <c r="R32" s="705" t="s">
        <v>14</v>
      </c>
      <c r="S32" s="706">
        <f t="shared" si="10"/>
        <v>100</v>
      </c>
      <c r="T32" s="705" t="s">
        <v>14</v>
      </c>
      <c r="U32" s="706">
        <f t="shared" si="11"/>
        <v>100</v>
      </c>
      <c r="V32" s="705" t="s">
        <v>14</v>
      </c>
      <c r="W32" s="706">
        <f t="shared" si="12"/>
        <v>100</v>
      </c>
      <c r="X32" s="1353"/>
      <c r="Y32" s="3810" t="s">
        <v>1695</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810"/>
      <c r="Q33" s="1350">
        <f t="shared" si="8"/>
        <v>111</v>
      </c>
      <c r="R33" s="708" t="s">
        <v>14</v>
      </c>
      <c r="S33" s="709">
        <f t="shared" si="10"/>
        <v>100</v>
      </c>
      <c r="T33" s="708" t="s">
        <v>14</v>
      </c>
      <c r="U33" s="709">
        <f t="shared" si="11"/>
        <v>100</v>
      </c>
      <c r="V33" s="708" t="s">
        <v>14</v>
      </c>
      <c r="W33" s="709">
        <f t="shared" si="12"/>
        <v>100</v>
      </c>
      <c r="X33" s="710"/>
      <c r="Y33" s="3810"/>
      <c r="Z33" s="711">
        <f t="shared" si="13"/>
        <v>111</v>
      </c>
      <c r="AA33" s="1351">
        <f t="shared" si="3"/>
        <v>1</v>
      </c>
      <c r="AB33" s="1351">
        <f t="shared" si="4"/>
        <v>1</v>
      </c>
      <c r="AC33" s="1351">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810"/>
      <c r="Q34" s="1350" t="str">
        <f>B34</f>
        <v>宗地面积</v>
      </c>
      <c r="R34" s="705" t="s">
        <v>14</v>
      </c>
      <c r="S34" s="706" t="e">
        <f t="shared" si="10"/>
        <v>#N/A</v>
      </c>
      <c r="T34" s="705" t="s">
        <v>14</v>
      </c>
      <c r="U34" s="706" t="e">
        <f t="shared" si="11"/>
        <v>#N/A</v>
      </c>
      <c r="V34" s="705" t="s">
        <v>14</v>
      </c>
      <c r="W34" s="706" t="e">
        <f t="shared" si="12"/>
        <v>#N/A</v>
      </c>
      <c r="X34" s="1353"/>
      <c r="Y34" s="3810"/>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810"/>
      <c r="Q35" s="1350" t="str">
        <f t="shared" ref="Q35:Q40" si="14">B35</f>
        <v>宗地形状</v>
      </c>
      <c r="R35" s="705" t="s">
        <v>14</v>
      </c>
      <c r="S35" s="706">
        <f t="shared" si="10"/>
        <v>100</v>
      </c>
      <c r="T35" s="705" t="s">
        <v>14</v>
      </c>
      <c r="U35" s="706">
        <f t="shared" si="11"/>
        <v>100</v>
      </c>
      <c r="V35" s="705" t="s">
        <v>14</v>
      </c>
      <c r="W35" s="706">
        <f t="shared" si="12"/>
        <v>100</v>
      </c>
      <c r="X35" s="1353"/>
      <c r="Y35" s="3810"/>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810"/>
      <c r="Q36" s="1350" t="str">
        <f t="shared" si="14"/>
        <v>宗地开发程度</v>
      </c>
      <c r="R36" s="701" t="s">
        <v>14</v>
      </c>
      <c r="S36" s="702">
        <f t="shared" si="10"/>
        <v>100</v>
      </c>
      <c r="T36" s="701" t="s">
        <v>14</v>
      </c>
      <c r="U36" s="702">
        <f t="shared" si="11"/>
        <v>100</v>
      </c>
      <c r="V36" s="701" t="s">
        <v>14</v>
      </c>
      <c r="W36" s="702">
        <f t="shared" si="12"/>
        <v>100</v>
      </c>
      <c r="X36" s="703"/>
      <c r="Y36" s="3810"/>
      <c r="Z36" s="52" t="str">
        <f t="shared" si="13"/>
        <v>宗地开发程度</v>
      </c>
      <c r="AA36" s="704">
        <f t="shared" si="3"/>
        <v>1</v>
      </c>
      <c r="AB36" s="704">
        <f t="shared" si="4"/>
        <v>1</v>
      </c>
      <c r="AC36" s="704">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810" t="s">
        <v>1695</v>
      </c>
      <c r="Q37" s="1350" t="str">
        <f t="shared" si="14"/>
        <v>工程地质条件</v>
      </c>
      <c r="R37" s="705" t="s">
        <v>14</v>
      </c>
      <c r="S37" s="706">
        <f t="shared" si="10"/>
        <v>100</v>
      </c>
      <c r="T37" s="705" t="s">
        <v>14</v>
      </c>
      <c r="U37" s="706">
        <f t="shared" si="11"/>
        <v>100</v>
      </c>
      <c r="V37" s="705" t="s">
        <v>14</v>
      </c>
      <c r="W37" s="706">
        <f t="shared" si="12"/>
        <v>100</v>
      </c>
      <c r="X37" s="1353"/>
      <c r="Y37" s="3810" t="s">
        <v>1695</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810"/>
      <c r="Q38" s="1350">
        <f t="shared" si="14"/>
        <v>111</v>
      </c>
      <c r="R38" s="705" t="s">
        <v>14</v>
      </c>
      <c r="S38" s="706">
        <f t="shared" si="10"/>
        <v>100</v>
      </c>
      <c r="T38" s="705" t="s">
        <v>14</v>
      </c>
      <c r="U38" s="706">
        <f t="shared" si="11"/>
        <v>100</v>
      </c>
      <c r="V38" s="705" t="s">
        <v>14</v>
      </c>
      <c r="W38" s="706">
        <f t="shared" si="12"/>
        <v>100</v>
      </c>
      <c r="X38" s="1353"/>
      <c r="Y38" s="381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810"/>
      <c r="Q39" s="1350">
        <f t="shared" si="14"/>
        <v>111</v>
      </c>
      <c r="R39" s="705" t="s">
        <v>14</v>
      </c>
      <c r="S39" s="706">
        <f t="shared" si="10"/>
        <v>100</v>
      </c>
      <c r="T39" s="705" t="s">
        <v>14</v>
      </c>
      <c r="U39" s="706">
        <f t="shared" si="11"/>
        <v>100</v>
      </c>
      <c r="V39" s="705" t="s">
        <v>14</v>
      </c>
      <c r="W39" s="706">
        <f t="shared" si="12"/>
        <v>100</v>
      </c>
      <c r="X39" s="1353"/>
      <c r="Y39" s="381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810"/>
      <c r="Q40" s="1350">
        <f t="shared" si="14"/>
        <v>111</v>
      </c>
      <c r="R40" s="708" t="s">
        <v>14</v>
      </c>
      <c r="S40" s="709">
        <f t="shared" si="10"/>
        <v>100</v>
      </c>
      <c r="T40" s="708" t="s">
        <v>14</v>
      </c>
      <c r="U40" s="709">
        <f t="shared" si="11"/>
        <v>100</v>
      </c>
      <c r="V40" s="708" t="s">
        <v>14</v>
      </c>
      <c r="W40" s="709">
        <f t="shared" si="12"/>
        <v>100</v>
      </c>
      <c r="X40" s="710"/>
      <c r="Y40" s="3810"/>
      <c r="Z40" s="711">
        <f t="shared" si="13"/>
        <v>111</v>
      </c>
      <c r="AA40" s="1351">
        <f t="shared" si="3"/>
        <v>1</v>
      </c>
      <c r="AB40" s="1351">
        <f t="shared" si="4"/>
        <v>1</v>
      </c>
      <c r="AC40" s="1351">
        <f t="shared" si="5"/>
        <v>1</v>
      </c>
    </row>
    <row r="41" spans="1:31" ht="15">
      <c r="A41" s="430" t="s">
        <v>1843</v>
      </c>
      <c r="B41" s="1980" t="s">
        <v>1921</v>
      </c>
      <c r="C41" s="630" t="s">
        <v>0</v>
      </c>
      <c r="D41" s="432"/>
      <c r="E41" s="433"/>
      <c r="F41" s="434"/>
      <c r="G41" s="435"/>
      <c r="H41" s="436"/>
      <c r="I41" s="433"/>
      <c r="J41" s="436"/>
      <c r="K41" s="714"/>
      <c r="L41" s="2719"/>
      <c r="M41" s="2711"/>
      <c r="N41" s="2711"/>
      <c r="O41" s="2720"/>
      <c r="P41" s="3803" t="str">
        <f>A41</f>
        <v>成交单价</v>
      </c>
      <c r="Q41" s="3803"/>
      <c r="R41" s="3798">
        <f>E41</f>
        <v>0</v>
      </c>
      <c r="S41" s="3798"/>
      <c r="T41" s="3798">
        <f>G41</f>
        <v>0</v>
      </c>
      <c r="U41" s="3798"/>
      <c r="V41" s="3798">
        <f>I41</f>
        <v>0</v>
      </c>
      <c r="W41" s="3798"/>
      <c r="X41" s="690"/>
      <c r="Y41" s="712"/>
      <c r="Z41" s="690"/>
      <c r="AA41" s="690"/>
      <c r="AB41" s="690"/>
      <c r="AC41" s="690"/>
    </row>
    <row r="42" spans="1:31" ht="15.75" thickBot="1">
      <c r="A42" s="437" t="s">
        <v>1792</v>
      </c>
      <c r="B42" s="631"/>
      <c r="C42" s="440" t="e">
        <f>R43</f>
        <v>#DIV/0!</v>
      </c>
      <c r="D42" s="2315" t="s">
        <v>2137</v>
      </c>
      <c r="E42" s="440" t="e">
        <f>R42</f>
        <v>#DIV/0!</v>
      </c>
      <c r="F42" s="2316"/>
      <c r="G42" s="439" t="e">
        <f>T42</f>
        <v>#DIV/0!</v>
      </c>
      <c r="H42" s="2316"/>
      <c r="I42" s="440" t="e">
        <f>V42</f>
        <v>#DIV/0!</v>
      </c>
      <c r="J42" s="2316"/>
      <c r="K42" s="2318">
        <f>F42+H42+J42</f>
        <v>0</v>
      </c>
      <c r="L42" s="2719"/>
      <c r="M42" s="2711"/>
      <c r="N42" s="2711"/>
      <c r="O42" s="2720"/>
      <c r="P42" s="3803" t="str">
        <f>A42</f>
        <v>比较价值（元/平方米）</v>
      </c>
      <c r="Q42" s="3803"/>
      <c r="R42" s="3831" t="e">
        <f>ROUND(PRODUCT(R41,AA7:AA40),0)</f>
        <v>#DIV/0!</v>
      </c>
      <c r="S42" s="3831"/>
      <c r="T42" s="3831" t="e">
        <f>ROUND(PRODUCT(T41,AB7:AB40),0)</f>
        <v>#DIV/0!</v>
      </c>
      <c r="U42" s="3831"/>
      <c r="V42" s="3831" t="e">
        <f>ROUND(PRODUCT(V41,AC7:AC40),0)</f>
        <v>#DIV/0!</v>
      </c>
      <c r="W42" s="383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800" t="str">
        <f>A43</f>
        <v>估价对象XX用房的比较价值（楼面单价，元/平方米）</v>
      </c>
      <c r="Q43" s="3801"/>
      <c r="R43" s="3832" t="e">
        <f>ROUND(IF(D42="简单平均",AVERAGE(R42:W42),R42*F42+T42*H42+V42*J42),0)</f>
        <v>#DIV/0!</v>
      </c>
      <c r="S43" s="3832"/>
      <c r="T43" s="3832"/>
      <c r="U43" s="3832"/>
      <c r="V43" s="3832"/>
      <c r="W43" s="383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1" t="s">
        <v>1882</v>
      </c>
      <c r="D50" s="1982" t="s">
        <v>1883</v>
      </c>
      <c r="E50" s="634" t="s">
        <v>1884</v>
      </c>
      <c r="F50" s="635" t="s">
        <v>1885</v>
      </c>
      <c r="G50" s="3786" t="s">
        <v>1886</v>
      </c>
      <c r="H50" s="3833"/>
      <c r="I50" s="1354" t="s">
        <v>1922</v>
      </c>
      <c r="J50" s="1354">
        <f>项目基本情况!F35</f>
        <v>0</v>
      </c>
      <c r="K50" s="1984"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52974.33</v>
      </c>
      <c r="F51" s="639" t="e">
        <f t="shared" ref="F51:F60" si="15">ROUND(B51*E51/10000,0)</f>
        <v>#DIV/0!</v>
      </c>
      <c r="G51" s="3785"/>
      <c r="H51" s="380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v>
      </c>
      <c r="D52" s="945">
        <v>0.25</v>
      </c>
      <c r="E52" s="642"/>
      <c r="F52" s="639" t="e">
        <f t="shared" si="15"/>
        <v>#DIV/0!</v>
      </c>
      <c r="G52" s="3001" t="s">
        <v>1891</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0.25</v>
      </c>
      <c r="D56" s="945">
        <v>0.25</v>
      </c>
      <c r="E56" s="217">
        <f>'数据-汇总表'!E11</f>
        <v>5502.54</v>
      </c>
      <c r="F56" s="639" t="e">
        <f t="shared" si="15"/>
        <v>#DIV/0!</v>
      </c>
      <c r="G56" s="1985" t="s">
        <v>1895</v>
      </c>
      <c r="H56" s="887" t="str">
        <f>项目基本情况!C37</f>
        <v>七级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v>
      </c>
      <c r="D59" s="945">
        <v>0.25</v>
      </c>
      <c r="E59" s="217">
        <f>'数据-汇总表'!E14</f>
        <v>0</v>
      </c>
      <c r="F59" s="639" t="e">
        <f t="shared" si="15"/>
        <v>#DIV/0!</v>
      </c>
      <c r="G59" s="1985" t="s">
        <v>1891</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0.15</v>
      </c>
      <c r="D60" s="945">
        <v>0.25</v>
      </c>
      <c r="E60" s="217">
        <f>'数据-汇总表'!E15</f>
        <v>0</v>
      </c>
      <c r="F60" s="639" t="e">
        <f t="shared" si="15"/>
        <v>#DIV/0!</v>
      </c>
      <c r="G60" s="1986" t="s">
        <v>1895</v>
      </c>
      <c r="H60" s="897" t="str">
        <f>项目基本情况!C37</f>
        <v>七级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20455.650000000001</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7" t="s">
        <v>1903</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4"/>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41" t="s">
        <v>2083</v>
      </c>
      <c r="D1" s="3842"/>
      <c r="E1" s="3842"/>
      <c r="F1" s="3842"/>
      <c r="G1" s="3842"/>
      <c r="H1" s="3842"/>
      <c r="I1" s="3842"/>
      <c r="J1" s="3842"/>
      <c r="K1" s="3842"/>
      <c r="L1" s="3842"/>
      <c r="M1" s="3842"/>
      <c r="N1" s="3842"/>
      <c r="O1" s="3842"/>
      <c r="P1" s="3842"/>
      <c r="Q1" s="3842"/>
      <c r="R1" s="3842"/>
      <c r="S1" s="384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7"/>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2086</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2088</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38"/>
      <c r="F19" s="1338"/>
      <c r="G19" s="1338"/>
      <c r="H19" s="1059"/>
      <c r="I19" s="159"/>
      <c r="J19" s="159"/>
      <c r="K19" s="159"/>
      <c r="L19" s="159"/>
      <c r="M19" s="159"/>
      <c r="N19" s="159"/>
      <c r="O19" s="159"/>
      <c r="P19" s="159"/>
      <c r="Q19" s="159"/>
      <c r="R19" s="718"/>
      <c r="S19" s="129"/>
    </row>
    <row r="20" spans="1:45" ht="16.5" thickBot="1">
      <c r="A20" s="662" t="s">
        <v>2095</v>
      </c>
      <c r="B20" s="294" t="e">
        <f ca="1">IF(D20="——",S22,S22-F20)</f>
        <v>#REF!</v>
      </c>
      <c r="C20" s="159"/>
      <c r="D20" s="2149"/>
      <c r="E20" s="1339"/>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38" t="s">
        <v>27</v>
      </c>
      <c r="D22" s="3839"/>
      <c r="E22" s="3839"/>
      <c r="F22" s="3839"/>
      <c r="G22" s="3839"/>
      <c r="H22" s="3839"/>
      <c r="I22" s="3839"/>
      <c r="J22" s="3839"/>
      <c r="K22" s="3839"/>
      <c r="L22" s="3839"/>
      <c r="M22" s="3839"/>
      <c r="N22" s="3839"/>
      <c r="O22" s="3839"/>
      <c r="P22" s="3839"/>
      <c r="Q22" s="384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88"/>
      <c r="G1" s="2788"/>
      <c r="H1" s="2788"/>
      <c r="I1" s="2788"/>
      <c r="J1" s="2788"/>
      <c r="K1" s="2788"/>
      <c r="L1" s="2788"/>
      <c r="M1" s="2788"/>
      <c r="N1" s="2788"/>
      <c r="O1" s="2788"/>
      <c r="P1" s="2788"/>
    </row>
    <row r="2" spans="1:16" ht="15.75">
      <c r="A2" s="2143" t="s">
        <v>2072</v>
      </c>
      <c r="B2" s="2598">
        <f ca="1">SUMIF(B6:B13,"&lt;&gt;#ref!",B6:B13)</f>
        <v>32470</v>
      </c>
      <c r="C2" s="2143" t="s">
        <v>2073</v>
      </c>
      <c r="D2" s="2143" t="s">
        <v>2074</v>
      </c>
      <c r="E2" s="2608">
        <f ca="1">SUMIF(E6:E13,"&lt;&gt;#ref!",E6:E13)</f>
        <v>58476.87</v>
      </c>
      <c r="F2" s="2788"/>
      <c r="G2" s="2788"/>
      <c r="H2" s="2788"/>
      <c r="I2" s="2788"/>
      <c r="J2" s="2788"/>
      <c r="K2" s="2788"/>
      <c r="L2" s="2788"/>
      <c r="M2" s="2788"/>
      <c r="N2" s="2788"/>
      <c r="O2" s="2788"/>
      <c r="P2" s="2788"/>
    </row>
    <row r="3" spans="1:16" ht="15.75">
      <c r="A3" s="2143" t="s">
        <v>2075</v>
      </c>
      <c r="B3" s="2598">
        <f ca="1">ROUND(B2*10000/E2,0)</f>
        <v>5553</v>
      </c>
      <c r="C3" s="2143"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2076</v>
      </c>
      <c r="B5" s="2606" t="s">
        <v>2077</v>
      </c>
      <c r="C5" s="2144"/>
      <c r="D5" s="2788"/>
      <c r="E5" s="2607" t="s">
        <v>2078</v>
      </c>
      <c r="F5" s="2788"/>
      <c r="G5" s="2788"/>
      <c r="H5" s="2788"/>
      <c r="I5" s="2788"/>
      <c r="J5" s="2788"/>
      <c r="K5" s="2788"/>
      <c r="L5" s="2788"/>
      <c r="M5" s="2788"/>
      <c r="N5" s="2788"/>
      <c r="O5" s="2788"/>
      <c r="P5" s="2788"/>
    </row>
    <row r="6" spans="1:16" ht="15.75">
      <c r="A6" s="2605" t="s">
        <v>2079</v>
      </c>
      <c r="B6" s="2598">
        <f ca="1">SUMIF(INDIRECT("'"&amp;A6&amp;"'"&amp;"!A:A"),"总价",INDIRECT("'"&amp;A6&amp;"'"&amp;"!B:B"))</f>
        <v>32470</v>
      </c>
      <c r="C6" s="2143" t="s">
        <v>2073</v>
      </c>
      <c r="D6" s="2788"/>
      <c r="E6" s="2608">
        <f ca="1">SUMIF(INDIRECT("'"&amp;A6&amp;"'"&amp;"!C:C"),"建筑面积",INDIRECT("'"&amp;A6&amp;"'"&amp;"!D:D"))</f>
        <v>58476.87</v>
      </c>
      <c r="F6" s="2788"/>
      <c r="G6" s="2788"/>
      <c r="H6" s="2788"/>
      <c r="I6" s="2788"/>
      <c r="J6" s="2788"/>
      <c r="K6" s="2788"/>
      <c r="L6" s="2788"/>
      <c r="M6" s="2788"/>
      <c r="N6" s="2788"/>
      <c r="O6" s="2788"/>
      <c r="P6" s="2788"/>
    </row>
    <row r="7" spans="1:16" ht="15.75">
      <c r="A7" s="2605"/>
      <c r="B7" s="2598" t="e">
        <f ca="1">SUMIF(INDIRECT("'"&amp;A7&amp;"'"&amp;"!A:A"),"总价",INDIRECT("'"&amp;A7&amp;"'"&amp;"!B:B"))</f>
        <v>#REF!</v>
      </c>
      <c r="C7" s="2143" t="s">
        <v>2073</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3" t="s">
        <v>2073</v>
      </c>
      <c r="D8" s="2788"/>
      <c r="E8" s="2608" t="e">
        <f t="shared" ca="1" si="0"/>
        <v>#REF!</v>
      </c>
      <c r="F8" s="2788"/>
      <c r="G8" s="2788"/>
      <c r="H8" s="2788"/>
      <c r="I8" s="2788"/>
      <c r="J8" s="2788"/>
      <c r="K8" s="2788"/>
      <c r="L8" s="2788"/>
      <c r="M8" s="2788"/>
      <c r="N8" s="2788"/>
      <c r="O8" s="2788"/>
      <c r="P8" s="2788"/>
    </row>
    <row r="9" spans="1:16" ht="15.75">
      <c r="A9" s="2605"/>
      <c r="B9" s="2598" t="e">
        <f t="shared" ca="1" si="1"/>
        <v>#REF!</v>
      </c>
      <c r="C9" s="2143" t="s">
        <v>2073</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3" t="s">
        <v>2073</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3" t="s">
        <v>2073</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3" t="s">
        <v>2073</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3" t="s">
        <v>2073</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8">
      <c r="A3" s="3516" t="str">
        <f>IF(项目基本情况!B9="房地产市场价值","估价结果一览表（市场价值不需“结果表-1”）","估价结果一览表")</f>
        <v>估价结果一览表</v>
      </c>
      <c r="B3" s="3516"/>
      <c r="C3" s="3516"/>
      <c r="D3" s="3516"/>
      <c r="E3" s="3516"/>
    </row>
    <row r="4" spans="1:5" ht="19.5" thickBot="1">
      <c r="A4" s="1491"/>
      <c r="B4" s="3514" t="s">
        <v>917</v>
      </c>
      <c r="C4" s="3514"/>
      <c r="D4" s="3514"/>
      <c r="E4" s="1491"/>
    </row>
    <row r="5" spans="1:5" ht="16.5" thickTop="1">
      <c r="A5" s="1489"/>
      <c r="B5" s="3512" t="s">
        <v>909</v>
      </c>
      <c r="C5" s="1492" t="s">
        <v>910</v>
      </c>
      <c r="D5" s="850">
        <f ca="1">结果表!H101</f>
        <v>127686</v>
      </c>
      <c r="E5" s="1489"/>
    </row>
    <row r="6" spans="1:5" ht="15.75">
      <c r="A6" s="1489"/>
      <c r="B6" s="3512"/>
      <c r="C6" s="1492" t="s">
        <v>911</v>
      </c>
      <c r="D6" s="850" t="str">
        <f ca="1">NUMBERSTRING(INT(D5*10000),2)&amp;"元整"</f>
        <v>壹拾贰亿柒仟陆佰捌拾陆万元整</v>
      </c>
      <c r="E6" s="1489"/>
    </row>
    <row r="7" spans="1:5" ht="15.75">
      <c r="A7" s="1489"/>
      <c r="B7" s="3517"/>
      <c r="C7" s="1493" t="s">
        <v>912</v>
      </c>
      <c r="D7" s="851">
        <f ca="1">结果表!H102</f>
        <v>21486</v>
      </c>
      <c r="E7" s="1489"/>
    </row>
    <row r="8" spans="1:5" ht="15.75">
      <c r="A8" s="1489"/>
      <c r="B8" s="3518" t="str">
        <f>结果表!E103</f>
        <v>2.估价师知悉的法定优先受偿款</v>
      </c>
      <c r="C8" s="1494" t="s">
        <v>913</v>
      </c>
      <c r="D8" s="851">
        <f>结果表!H103</f>
        <v>0</v>
      </c>
      <c r="E8" s="1489"/>
    </row>
    <row r="9" spans="1:5" ht="15.75">
      <c r="A9" s="1489"/>
      <c r="B9" s="3520"/>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511" t="str">
        <f>结果表!E107</f>
        <v>3.房地产抵押价值</v>
      </c>
      <c r="C13" s="1497" t="s">
        <v>910</v>
      </c>
      <c r="D13" s="853">
        <f ca="1">结果表!H107</f>
        <v>127686</v>
      </c>
      <c r="E13" s="1489"/>
    </row>
    <row r="14" spans="1:5" ht="15.75">
      <c r="A14" s="1489"/>
      <c r="B14" s="3512"/>
      <c r="C14" s="1492" t="s">
        <v>911</v>
      </c>
      <c r="D14" s="850" t="str">
        <f ca="1">NUMBERSTRING(INT(D13*10000),2)&amp;"元整"</f>
        <v>壹拾贰亿柒仟陆佰捌拾陆万元整</v>
      </c>
      <c r="E14" s="1489"/>
    </row>
    <row r="15" spans="1:5" ht="15">
      <c r="A15" s="1489"/>
      <c r="B15" s="3517"/>
      <c r="C15" s="1493" t="s">
        <v>921</v>
      </c>
      <c r="D15" s="859">
        <f ca="1">结果表!H108</f>
        <v>21486</v>
      </c>
      <c r="E15" s="1489"/>
    </row>
    <row r="16" spans="1:5" ht="15">
      <c r="A16" s="1489"/>
      <c r="B16" s="3518" t="str">
        <f>结果表!E109</f>
        <v>——</v>
      </c>
      <c r="C16" s="1497" t="s">
        <v>922</v>
      </c>
      <c r="D16" s="1498" t="str">
        <f>结果表!H109</f>
        <v>——</v>
      </c>
      <c r="E16" s="1489"/>
    </row>
    <row r="17" spans="1:5" ht="15.75">
      <c r="A17" s="1489"/>
      <c r="B17" s="3519"/>
      <c r="C17" s="1492" t="s">
        <v>923</v>
      </c>
      <c r="D17" s="850" t="e">
        <f>NUMBERSTRING(INT(D16*10000),2)&amp;"元整"</f>
        <v>#VALUE!</v>
      </c>
      <c r="E17" s="1489"/>
    </row>
    <row r="18" spans="1:5" ht="15">
      <c r="A18" s="1489"/>
      <c r="B18" s="3520"/>
      <c r="C18" s="1493" t="s">
        <v>912</v>
      </c>
      <c r="D18" s="859" t="str">
        <f>结果表!H110</f>
        <v>——</v>
      </c>
      <c r="E18" s="1489"/>
    </row>
    <row r="19" spans="1:5" ht="15.75">
      <c r="A19" s="1489"/>
      <c r="B19" s="3511" t="str">
        <f>结果表!E111</f>
        <v>——</v>
      </c>
      <c r="C19" s="1497" t="s">
        <v>910</v>
      </c>
      <c r="D19" s="851" t="str">
        <f>结果表!H111</f>
        <v>——</v>
      </c>
      <c r="E19" s="1489"/>
    </row>
    <row r="20" spans="1:5" ht="15.75">
      <c r="A20" s="1489"/>
      <c r="B20" s="3512"/>
      <c r="C20" s="1492" t="s">
        <v>923</v>
      </c>
      <c r="D20" s="850" t="e">
        <f>NUMBERSTRING(INT(D19*10000),2)&amp;"元整"</f>
        <v>#VALUE!</v>
      </c>
      <c r="E20" s="1489"/>
    </row>
    <row r="21" spans="1:5" ht="15.75" thickBot="1">
      <c r="A21" s="1489"/>
      <c r="B21" s="3513"/>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851" t="s">
        <v>2609</v>
      </c>
      <c r="B20" s="3844" t="s">
        <v>2630</v>
      </c>
      <c r="C20" s="3098" t="s">
        <v>2441</v>
      </c>
      <c r="D20" s="3099"/>
      <c r="E20" s="3100">
        <v>1</v>
      </c>
      <c r="F20" s="3101" t="s">
        <v>2442</v>
      </c>
      <c r="G20" s="3101"/>
    </row>
    <row r="21" spans="1:13" ht="19.5" customHeight="1">
      <c r="A21" s="3852"/>
      <c r="B21" s="3845"/>
      <c r="C21" s="3102" t="s">
        <v>2443</v>
      </c>
      <c r="D21" s="3103"/>
      <c r="E21" s="3104">
        <v>1</v>
      </c>
      <c r="F21" s="3101" t="s">
        <v>2444</v>
      </c>
      <c r="G21" s="3101"/>
    </row>
    <row r="22" spans="1:13" ht="19.5" customHeight="1">
      <c r="A22" s="3852"/>
      <c r="B22" s="3845"/>
      <c r="C22" s="3102" t="s">
        <v>2445</v>
      </c>
      <c r="D22" s="3103"/>
      <c r="E22" s="3104">
        <v>0.9</v>
      </c>
      <c r="F22" s="3101" t="s">
        <v>2446</v>
      </c>
      <c r="G22" s="3101"/>
    </row>
    <row r="23" spans="1:13" ht="19.5" customHeight="1">
      <c r="A23" s="3852"/>
      <c r="B23" s="3845"/>
      <c r="C23" s="3102" t="s">
        <v>2447</v>
      </c>
      <c r="D23" s="3103"/>
      <c r="E23" s="3104">
        <v>0.9</v>
      </c>
      <c r="F23" s="3101" t="s">
        <v>2448</v>
      </c>
      <c r="G23" s="3101"/>
    </row>
    <row r="24" spans="1:13" ht="19.5" customHeight="1">
      <c r="A24" s="3852"/>
      <c r="B24" s="3845"/>
      <c r="C24" s="3102" t="s">
        <v>2449</v>
      </c>
      <c r="D24" s="3103"/>
      <c r="E24" s="3104">
        <v>0.8</v>
      </c>
      <c r="F24" s="3101" t="s">
        <v>2450</v>
      </c>
      <c r="G24" s="3101"/>
    </row>
    <row r="25" spans="1:13" ht="19.5" customHeight="1" thickBot="1">
      <c r="A25" s="3853"/>
      <c r="B25" s="3846"/>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847" t="s">
        <v>2633</v>
      </c>
      <c r="B27" s="3844" t="s">
        <v>2614</v>
      </c>
      <c r="C27" s="3098" t="s">
        <v>2454</v>
      </c>
      <c r="D27" s="3099"/>
      <c r="E27" s="3100">
        <v>1</v>
      </c>
      <c r="F27" s="3101" t="s">
        <v>2455</v>
      </c>
      <c r="G27" s="3101"/>
    </row>
    <row r="28" spans="1:13" ht="19.5" customHeight="1">
      <c r="A28" s="3848"/>
      <c r="B28" s="3845"/>
      <c r="C28" s="3102" t="s">
        <v>2456</v>
      </c>
      <c r="D28" s="3103"/>
      <c r="E28" s="3104">
        <v>1</v>
      </c>
      <c r="F28" s="3101" t="s">
        <v>2457</v>
      </c>
      <c r="G28" s="3101"/>
    </row>
    <row r="29" spans="1:13" ht="19.5" customHeight="1">
      <c r="A29" s="3848"/>
      <c r="B29" s="3845"/>
      <c r="C29" s="3102" t="s">
        <v>2458</v>
      </c>
      <c r="D29" s="3103"/>
      <c r="E29" s="3104">
        <v>0.8</v>
      </c>
      <c r="F29" s="3101" t="s">
        <v>2459</v>
      </c>
      <c r="G29" s="3101"/>
    </row>
    <row r="30" spans="1:13" ht="19.5" customHeight="1">
      <c r="A30" s="3848"/>
      <c r="B30" s="3845"/>
      <c r="C30" s="3102" t="s">
        <v>2460</v>
      </c>
      <c r="D30" s="3103"/>
      <c r="E30" s="3104">
        <v>0.8</v>
      </c>
      <c r="F30" s="3101" t="s">
        <v>2461</v>
      </c>
      <c r="G30" s="3101"/>
    </row>
    <row r="31" spans="1:13" ht="19.5" customHeight="1">
      <c r="A31" s="3848"/>
      <c r="B31" s="3845"/>
      <c r="C31" s="3102" t="s">
        <v>2462</v>
      </c>
      <c r="D31" s="3103"/>
      <c r="E31" s="3104">
        <v>0.8</v>
      </c>
      <c r="F31" s="3101" t="s">
        <v>2463</v>
      </c>
      <c r="G31" s="3101"/>
    </row>
    <row r="32" spans="1:13" ht="19.5" customHeight="1">
      <c r="A32" s="3848"/>
      <c r="B32" s="3845"/>
      <c r="C32" s="3102" t="s">
        <v>2464</v>
      </c>
      <c r="D32" s="3103"/>
      <c r="E32" s="3104">
        <v>0.7</v>
      </c>
      <c r="F32" s="3101" t="s">
        <v>2465</v>
      </c>
      <c r="G32" s="3101"/>
    </row>
    <row r="33" spans="1:7" ht="19.5" customHeight="1">
      <c r="A33" s="3848"/>
      <c r="B33" s="3845"/>
      <c r="C33" s="3102" t="s">
        <v>2466</v>
      </c>
      <c r="D33" s="3103"/>
      <c r="E33" s="3104">
        <v>0.8</v>
      </c>
      <c r="F33" s="3101" t="s">
        <v>2467</v>
      </c>
      <c r="G33" s="3101"/>
    </row>
    <row r="34" spans="1:7" ht="19.5" customHeight="1">
      <c r="A34" s="3848"/>
      <c r="B34" s="3845"/>
      <c r="C34" s="3102" t="s">
        <v>2468</v>
      </c>
      <c r="D34" s="3103"/>
      <c r="E34" s="3104">
        <v>0.6</v>
      </c>
      <c r="F34" s="3101" t="s">
        <v>2469</v>
      </c>
      <c r="G34" s="3101"/>
    </row>
    <row r="35" spans="1:7" ht="19.5" customHeight="1">
      <c r="A35" s="3848"/>
      <c r="B35" s="3845"/>
      <c r="C35" s="3102" t="s">
        <v>2470</v>
      </c>
      <c r="D35" s="3103"/>
      <c r="E35" s="3104">
        <v>0.2</v>
      </c>
      <c r="F35" s="3101" t="s">
        <v>2471</v>
      </c>
      <c r="G35" s="3101"/>
    </row>
    <row r="36" spans="1:7" ht="19.5" customHeight="1">
      <c r="A36" s="3848"/>
      <c r="B36" s="3845"/>
      <c r="C36" s="3102" t="s">
        <v>2472</v>
      </c>
      <c r="D36" s="3103"/>
      <c r="E36" s="3104">
        <v>0.2</v>
      </c>
      <c r="F36" s="3101" t="s">
        <v>2473</v>
      </c>
      <c r="G36" s="3101"/>
    </row>
    <row r="37" spans="1:7" ht="19.5" customHeight="1">
      <c r="A37" s="3848"/>
      <c r="B37" s="3850" t="s">
        <v>2634</v>
      </c>
      <c r="C37" s="3102" t="s">
        <v>2474</v>
      </c>
      <c r="D37" s="3103"/>
      <c r="E37" s="3104">
        <v>0.6</v>
      </c>
      <c r="F37" s="3101" t="s">
        <v>2475</v>
      </c>
      <c r="G37" s="3101"/>
    </row>
    <row r="38" spans="1:7" ht="19.5" customHeight="1">
      <c r="A38" s="3848"/>
      <c r="B38" s="3845"/>
      <c r="C38" s="3102" t="s">
        <v>2476</v>
      </c>
      <c r="D38" s="3103"/>
      <c r="E38" s="3104">
        <v>0.6</v>
      </c>
      <c r="F38" s="3101" t="s">
        <v>2477</v>
      </c>
      <c r="G38" s="3101"/>
    </row>
    <row r="39" spans="1:7" ht="19.5" customHeight="1" thickBot="1">
      <c r="A39" s="3849"/>
      <c r="B39" s="3846"/>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851" t="s">
        <v>2612</v>
      </c>
      <c r="B41" s="3844" t="s">
        <v>2636</v>
      </c>
      <c r="C41" s="3098" t="s">
        <v>2481</v>
      </c>
      <c r="D41" s="3099"/>
      <c r="E41" s="3100">
        <v>1</v>
      </c>
      <c r="F41" s="3101" t="s">
        <v>2482</v>
      </c>
      <c r="G41" s="3101"/>
    </row>
    <row r="42" spans="1:7" ht="19.5" customHeight="1">
      <c r="A42" s="3852"/>
      <c r="B42" s="3845"/>
      <c r="C42" s="3102" t="s">
        <v>2483</v>
      </c>
      <c r="D42" s="3103"/>
      <c r="E42" s="3104">
        <v>1</v>
      </c>
      <c r="F42" s="3101" t="s">
        <v>2484</v>
      </c>
      <c r="G42" s="3101"/>
    </row>
    <row r="43" spans="1:7" ht="19.5" customHeight="1">
      <c r="A43" s="3852"/>
      <c r="B43" s="3854"/>
      <c r="C43" s="3102" t="s">
        <v>2485</v>
      </c>
      <c r="D43" s="3103"/>
      <c r="E43" s="3104">
        <v>1.5</v>
      </c>
      <c r="F43" s="3101" t="s">
        <v>2486</v>
      </c>
      <c r="G43" s="3101"/>
    </row>
    <row r="44" spans="1:7" ht="19.5" customHeight="1">
      <c r="A44" s="3852"/>
      <c r="B44" s="3113" t="s">
        <v>2637</v>
      </c>
      <c r="C44" s="3102" t="s">
        <v>2638</v>
      </c>
      <c r="D44" s="3103"/>
      <c r="E44" s="3104">
        <v>2</v>
      </c>
      <c r="F44" s="3101" t="s">
        <v>2487</v>
      </c>
      <c r="G44" s="3101"/>
    </row>
    <row r="45" spans="1:7" ht="19.5" customHeight="1">
      <c r="A45" s="3852"/>
      <c r="B45" s="3850" t="s">
        <v>2639</v>
      </c>
      <c r="C45" s="3102" t="s">
        <v>2488</v>
      </c>
      <c r="D45" s="3103"/>
      <c r="E45" s="3104">
        <v>1</v>
      </c>
      <c r="F45" s="3101" t="s">
        <v>2489</v>
      </c>
      <c r="G45" s="3101"/>
    </row>
    <row r="46" spans="1:7" ht="19.5" customHeight="1">
      <c r="A46" s="3852"/>
      <c r="B46" s="3845"/>
      <c r="C46" s="3102" t="s">
        <v>2490</v>
      </c>
      <c r="D46" s="3103"/>
      <c r="E46" s="3104">
        <v>1</v>
      </c>
      <c r="F46" s="3101" t="s">
        <v>2491</v>
      </c>
      <c r="G46" s="3101"/>
    </row>
    <row r="47" spans="1:7" ht="19.5" customHeight="1">
      <c r="A47" s="3852"/>
      <c r="B47" s="3845"/>
      <c r="C47" s="3102" t="s">
        <v>2492</v>
      </c>
      <c r="D47" s="3103"/>
      <c r="E47" s="3104">
        <v>1</v>
      </c>
      <c r="F47" s="3101" t="s">
        <v>2493</v>
      </c>
      <c r="G47" s="3101"/>
    </row>
    <row r="48" spans="1:7" ht="19.5" customHeight="1">
      <c r="A48" s="3852"/>
      <c r="B48" s="3845"/>
      <c r="C48" s="3102" t="s">
        <v>2494</v>
      </c>
      <c r="D48" s="3103"/>
      <c r="E48" s="3104">
        <v>1</v>
      </c>
      <c r="F48" s="3101" t="s">
        <v>2495</v>
      </c>
      <c r="G48" s="3101"/>
    </row>
    <row r="49" spans="1:7" ht="19.5" customHeight="1">
      <c r="A49" s="3852"/>
      <c r="B49" s="3845"/>
      <c r="C49" s="3102" t="s">
        <v>2496</v>
      </c>
      <c r="D49" s="3103"/>
      <c r="E49" s="3104">
        <v>1</v>
      </c>
      <c r="F49" s="3101" t="s">
        <v>2497</v>
      </c>
      <c r="G49" s="3101"/>
    </row>
    <row r="50" spans="1:7" ht="19.5" customHeight="1">
      <c r="A50" s="3852"/>
      <c r="B50" s="3845"/>
      <c r="C50" s="3102" t="s">
        <v>2498</v>
      </c>
      <c r="D50" s="3103"/>
      <c r="E50" s="3104">
        <v>1</v>
      </c>
      <c r="F50" s="3101" t="s">
        <v>2499</v>
      </c>
      <c r="G50" s="3101"/>
    </row>
    <row r="51" spans="1:7" ht="19.5" customHeight="1" thickBot="1">
      <c r="A51" s="3853"/>
      <c r="B51" s="3846"/>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850" t="s">
        <v>2653</v>
      </c>
      <c r="C73" s="3087" t="s">
        <v>2654</v>
      </c>
      <c r="D73" s="3087" t="s">
        <v>2655</v>
      </c>
      <c r="E73" s="3113">
        <v>0.2</v>
      </c>
      <c r="F73" s="3113">
        <v>25</v>
      </c>
    </row>
    <row r="74" spans="1:7" ht="24">
      <c r="A74" s="3113">
        <v>2</v>
      </c>
      <c r="B74" s="3845"/>
      <c r="C74" s="3087" t="s">
        <v>2656</v>
      </c>
      <c r="D74" s="3087" t="s">
        <v>2657</v>
      </c>
      <c r="E74" s="3113">
        <v>0.2</v>
      </c>
      <c r="F74" s="3113">
        <v>25</v>
      </c>
    </row>
    <row r="75" spans="1:7" ht="24">
      <c r="A75" s="3113">
        <v>3</v>
      </c>
      <c r="B75" s="3845"/>
      <c r="C75" s="3087" t="s">
        <v>2658</v>
      </c>
      <c r="D75" s="3087" t="s">
        <v>2659</v>
      </c>
      <c r="E75" s="3113">
        <v>0.2</v>
      </c>
      <c r="F75" s="3113">
        <v>25</v>
      </c>
    </row>
    <row r="76" spans="1:7" ht="13.5">
      <c r="A76" s="3113">
        <v>4</v>
      </c>
      <c r="B76" s="3845"/>
      <c r="C76" s="3087" t="s">
        <v>2660</v>
      </c>
      <c r="D76" s="3087" t="s">
        <v>2661</v>
      </c>
      <c r="E76" s="3113">
        <v>0.15</v>
      </c>
      <c r="F76" s="3113">
        <v>20</v>
      </c>
    </row>
    <row r="77" spans="1:7" ht="24">
      <c r="A77" s="3113">
        <v>5</v>
      </c>
      <c r="B77" s="3845"/>
      <c r="C77" s="3087" t="s">
        <v>2662</v>
      </c>
      <c r="D77" s="3087" t="s">
        <v>2663</v>
      </c>
      <c r="E77" s="3113">
        <v>0.15</v>
      </c>
      <c r="F77" s="3113">
        <v>20</v>
      </c>
    </row>
    <row r="78" spans="1:7" ht="24">
      <c r="A78" s="3113">
        <v>6</v>
      </c>
      <c r="B78" s="3845"/>
      <c r="C78" s="3087" t="s">
        <v>2664</v>
      </c>
      <c r="D78" s="3087" t="s">
        <v>2665</v>
      </c>
      <c r="E78" s="3113">
        <v>0.15</v>
      </c>
      <c r="F78" s="3113">
        <v>20</v>
      </c>
    </row>
    <row r="79" spans="1:7" ht="24">
      <c r="A79" s="3113">
        <v>7</v>
      </c>
      <c r="B79" s="3845"/>
      <c r="C79" s="3087" t="s">
        <v>2666</v>
      </c>
      <c r="D79" s="3087" t="s">
        <v>2667</v>
      </c>
      <c r="E79" s="3113">
        <v>0.15</v>
      </c>
      <c r="F79" s="3113">
        <v>20</v>
      </c>
    </row>
    <row r="80" spans="1:7" ht="24">
      <c r="A80" s="3113">
        <v>8</v>
      </c>
      <c r="B80" s="3845"/>
      <c r="C80" s="3087" t="s">
        <v>2668</v>
      </c>
      <c r="D80" s="3087" t="s">
        <v>2669</v>
      </c>
      <c r="E80" s="3113">
        <v>0.1</v>
      </c>
      <c r="F80" s="3113">
        <v>15</v>
      </c>
    </row>
    <row r="81" spans="1:6" ht="24">
      <c r="A81" s="3113">
        <v>9</v>
      </c>
      <c r="B81" s="3845"/>
      <c r="C81" s="3087" t="s">
        <v>2670</v>
      </c>
      <c r="D81" s="3087" t="s">
        <v>2671</v>
      </c>
      <c r="E81" s="3113">
        <v>0.1</v>
      </c>
      <c r="F81" s="3113">
        <v>15</v>
      </c>
    </row>
    <row r="82" spans="1:6" ht="24">
      <c r="A82" s="3113">
        <v>10</v>
      </c>
      <c r="B82" s="3845"/>
      <c r="C82" s="3087" t="s">
        <v>2672</v>
      </c>
      <c r="D82" s="3087" t="s">
        <v>2673</v>
      </c>
      <c r="E82" s="3113">
        <v>0.1</v>
      </c>
      <c r="F82" s="3113">
        <v>15</v>
      </c>
    </row>
    <row r="83" spans="1:6" ht="24">
      <c r="A83" s="3113">
        <v>11</v>
      </c>
      <c r="B83" s="3845"/>
      <c r="C83" s="3087" t="s">
        <v>2674</v>
      </c>
      <c r="D83" s="3087" t="s">
        <v>2675</v>
      </c>
      <c r="E83" s="3113">
        <v>0.1</v>
      </c>
      <c r="F83" s="3113">
        <v>15</v>
      </c>
    </row>
    <row r="84" spans="1:6" ht="24">
      <c r="A84" s="3113">
        <v>12</v>
      </c>
      <c r="B84" s="3845"/>
      <c r="C84" s="3087" t="s">
        <v>2676</v>
      </c>
      <c r="D84" s="3087" t="s">
        <v>2677</v>
      </c>
      <c r="E84" s="3113">
        <v>0.1</v>
      </c>
      <c r="F84" s="3113">
        <v>15</v>
      </c>
    </row>
    <row r="85" spans="1:6" ht="13.5">
      <c r="A85" s="3113">
        <v>13</v>
      </c>
      <c r="B85" s="3845"/>
      <c r="C85" s="3087" t="s">
        <v>2678</v>
      </c>
      <c r="D85" s="3087" t="s">
        <v>2679</v>
      </c>
      <c r="E85" s="3113">
        <v>0.1</v>
      </c>
      <c r="F85" s="3113">
        <v>15</v>
      </c>
    </row>
    <row r="86" spans="1:6" ht="13.5">
      <c r="A86" s="3113">
        <v>14</v>
      </c>
      <c r="B86" s="3845"/>
      <c r="C86" s="3087" t="s">
        <v>2680</v>
      </c>
      <c r="D86" s="3087" t="s">
        <v>2681</v>
      </c>
      <c r="E86" s="3113">
        <v>0.1</v>
      </c>
      <c r="F86" s="3113">
        <v>15</v>
      </c>
    </row>
    <row r="87" spans="1:6" ht="13.5">
      <c r="A87" s="3113">
        <v>15</v>
      </c>
      <c r="B87" s="3845"/>
      <c r="C87" s="3087" t="s">
        <v>2682</v>
      </c>
      <c r="D87" s="3087" t="s">
        <v>2683</v>
      </c>
      <c r="E87" s="3113">
        <v>0.1</v>
      </c>
      <c r="F87" s="3113">
        <v>15</v>
      </c>
    </row>
    <row r="88" spans="1:6" ht="24">
      <c r="A88" s="3113">
        <v>16</v>
      </c>
      <c r="B88" s="3845"/>
      <c r="C88" s="3087" t="s">
        <v>2684</v>
      </c>
      <c r="D88" s="3087" t="s">
        <v>2685</v>
      </c>
      <c r="E88" s="3113">
        <v>0.1</v>
      </c>
      <c r="F88" s="3113">
        <v>15</v>
      </c>
    </row>
    <row r="89" spans="1:6" ht="24">
      <c r="A89" s="3113">
        <v>17</v>
      </c>
      <c r="B89" s="3854"/>
      <c r="C89" s="3087" t="s">
        <v>2686</v>
      </c>
      <c r="D89" s="3087" t="s">
        <v>2687</v>
      </c>
      <c r="E89" s="3113">
        <v>0.1</v>
      </c>
      <c r="F89" s="3113">
        <v>15</v>
      </c>
    </row>
    <row r="90" spans="1:6" ht="13.5">
      <c r="A90" s="3113">
        <v>18</v>
      </c>
      <c r="B90" s="3850" t="s">
        <v>2688</v>
      </c>
      <c r="C90" s="3087" t="s">
        <v>2689</v>
      </c>
      <c r="D90" s="3087" t="s">
        <v>2690</v>
      </c>
      <c r="E90" s="3113">
        <v>0.2</v>
      </c>
      <c r="F90" s="3113">
        <v>25</v>
      </c>
    </row>
    <row r="91" spans="1:6" ht="24">
      <c r="A91" s="3113">
        <v>19</v>
      </c>
      <c r="B91" s="3845"/>
      <c r="C91" s="3087" t="s">
        <v>2691</v>
      </c>
      <c r="D91" s="3087" t="s">
        <v>2692</v>
      </c>
      <c r="E91" s="3113">
        <v>0.2</v>
      </c>
      <c r="F91" s="3113">
        <v>25</v>
      </c>
    </row>
    <row r="92" spans="1:6" ht="13.5">
      <c r="A92" s="3113">
        <v>20</v>
      </c>
      <c r="B92" s="3845"/>
      <c r="C92" s="3087" t="s">
        <v>2693</v>
      </c>
      <c r="D92" s="3087" t="s">
        <v>2694</v>
      </c>
      <c r="E92" s="3113">
        <v>0.15</v>
      </c>
      <c r="F92" s="3113">
        <v>20</v>
      </c>
    </row>
    <row r="93" spans="1:6" ht="13.5">
      <c r="A93" s="3113">
        <v>21</v>
      </c>
      <c r="B93" s="3845"/>
      <c r="C93" s="3087" t="s">
        <v>2695</v>
      </c>
      <c r="D93" s="3087" t="s">
        <v>2696</v>
      </c>
      <c r="E93" s="3113">
        <v>0.15</v>
      </c>
      <c r="F93" s="3113">
        <v>20</v>
      </c>
    </row>
    <row r="94" spans="1:6" ht="13.5">
      <c r="A94" s="3113">
        <v>22</v>
      </c>
      <c r="B94" s="3845"/>
      <c r="C94" s="3087" t="s">
        <v>2697</v>
      </c>
      <c r="D94" s="3087" t="s">
        <v>2698</v>
      </c>
      <c r="E94" s="3113">
        <v>0.15</v>
      </c>
      <c r="F94" s="3113">
        <v>20</v>
      </c>
    </row>
    <row r="95" spans="1:6" ht="36">
      <c r="A95" s="3113">
        <v>23</v>
      </c>
      <c r="B95" s="3845"/>
      <c r="C95" s="3087" t="s">
        <v>2699</v>
      </c>
      <c r="D95" s="3087" t="s">
        <v>2700</v>
      </c>
      <c r="E95" s="3113">
        <v>0.15</v>
      </c>
      <c r="F95" s="3113">
        <v>20</v>
      </c>
    </row>
    <row r="96" spans="1:6" ht="13.5">
      <c r="A96" s="3113">
        <v>24</v>
      </c>
      <c r="B96" s="3845"/>
      <c r="C96" s="3087" t="s">
        <v>2701</v>
      </c>
      <c r="D96" s="3087" t="s">
        <v>2702</v>
      </c>
      <c r="E96" s="3113">
        <v>0.1</v>
      </c>
      <c r="F96" s="3113">
        <v>15</v>
      </c>
    </row>
    <row r="97" spans="1:6" ht="13.5">
      <c r="A97" s="3113">
        <v>25</v>
      </c>
      <c r="B97" s="3845"/>
      <c r="C97" s="3087" t="s">
        <v>2703</v>
      </c>
      <c r="D97" s="3087" t="s">
        <v>2704</v>
      </c>
      <c r="E97" s="3113">
        <v>0.1</v>
      </c>
      <c r="F97" s="3113">
        <v>15</v>
      </c>
    </row>
    <row r="98" spans="1:6" ht="24">
      <c r="A98" s="3113">
        <v>26</v>
      </c>
      <c r="B98" s="3845"/>
      <c r="C98" s="3087" t="s">
        <v>2705</v>
      </c>
      <c r="D98" s="3087" t="s">
        <v>2706</v>
      </c>
      <c r="E98" s="3113">
        <v>0.1</v>
      </c>
      <c r="F98" s="3113">
        <v>15</v>
      </c>
    </row>
    <row r="99" spans="1:6" ht="24">
      <c r="A99" s="3113">
        <v>27</v>
      </c>
      <c r="B99" s="3845"/>
      <c r="C99" s="3087" t="s">
        <v>2707</v>
      </c>
      <c r="D99" s="3087" t="s">
        <v>2708</v>
      </c>
      <c r="E99" s="3113">
        <v>0.1</v>
      </c>
      <c r="F99" s="3113">
        <v>15</v>
      </c>
    </row>
    <row r="100" spans="1:6" ht="13.5">
      <c r="A100" s="3113">
        <v>28</v>
      </c>
      <c r="B100" s="3845"/>
      <c r="C100" s="3087" t="s">
        <v>2709</v>
      </c>
      <c r="D100" s="3087" t="s">
        <v>2710</v>
      </c>
      <c r="E100" s="3113">
        <v>0.1</v>
      </c>
      <c r="F100" s="3113">
        <v>15</v>
      </c>
    </row>
    <row r="101" spans="1:6" ht="13.5">
      <c r="A101" s="3113">
        <v>29</v>
      </c>
      <c r="B101" s="3845"/>
      <c r="C101" s="3087" t="s">
        <v>2711</v>
      </c>
      <c r="D101" s="3087" t="s">
        <v>2712</v>
      </c>
      <c r="E101" s="3113">
        <v>0.1</v>
      </c>
      <c r="F101" s="3113">
        <v>15</v>
      </c>
    </row>
    <row r="102" spans="1:6" ht="13.5">
      <c r="A102" s="3113">
        <v>30</v>
      </c>
      <c r="B102" s="3845"/>
      <c r="C102" s="3087" t="s">
        <v>2713</v>
      </c>
      <c r="D102" s="3087" t="s">
        <v>2714</v>
      </c>
      <c r="E102" s="3113">
        <v>0.1</v>
      </c>
      <c r="F102" s="3113">
        <v>15</v>
      </c>
    </row>
    <row r="103" spans="1:6" ht="24">
      <c r="A103" s="3113">
        <v>31</v>
      </c>
      <c r="B103" s="3845"/>
      <c r="C103" s="3087" t="s">
        <v>2715</v>
      </c>
      <c r="D103" s="3087" t="s">
        <v>2716</v>
      </c>
      <c r="E103" s="3113">
        <v>0.1</v>
      </c>
      <c r="F103" s="3113">
        <v>15</v>
      </c>
    </row>
    <row r="104" spans="1:6" ht="24">
      <c r="A104" s="3113">
        <v>32</v>
      </c>
      <c r="B104" s="3845"/>
      <c r="C104" s="3087" t="s">
        <v>2717</v>
      </c>
      <c r="D104" s="3087" t="s">
        <v>2718</v>
      </c>
      <c r="E104" s="3113">
        <v>0.1</v>
      </c>
      <c r="F104" s="3113">
        <v>15</v>
      </c>
    </row>
    <row r="105" spans="1:6" ht="24">
      <c r="A105" s="3113">
        <v>33</v>
      </c>
      <c r="B105" s="3845"/>
      <c r="C105" s="3087" t="s">
        <v>2719</v>
      </c>
      <c r="D105" s="3087" t="s">
        <v>2720</v>
      </c>
      <c r="E105" s="3113">
        <v>0.1</v>
      </c>
      <c r="F105" s="3113">
        <v>15</v>
      </c>
    </row>
    <row r="106" spans="1:6" ht="24">
      <c r="A106" s="3113">
        <v>34</v>
      </c>
      <c r="B106" s="3854"/>
      <c r="C106" s="3087" t="s">
        <v>2721</v>
      </c>
      <c r="D106" s="3087" t="s">
        <v>2722</v>
      </c>
      <c r="E106" s="3113">
        <v>0.1</v>
      </c>
      <c r="F106" s="3113">
        <v>15</v>
      </c>
    </row>
    <row r="107" spans="1:6" ht="24">
      <c r="A107" s="3113">
        <v>35</v>
      </c>
      <c r="B107" s="3850" t="s">
        <v>2723</v>
      </c>
      <c r="C107" s="3113" t="s">
        <v>2724</v>
      </c>
      <c r="D107" s="3087" t="s">
        <v>2725</v>
      </c>
      <c r="E107" s="3113">
        <v>0.15</v>
      </c>
      <c r="F107" s="3113">
        <v>20</v>
      </c>
    </row>
    <row r="108" spans="1:6" ht="13.5">
      <c r="A108" s="3113">
        <v>36</v>
      </c>
      <c r="B108" s="3845"/>
      <c r="C108" s="3113" t="s">
        <v>2726</v>
      </c>
      <c r="D108" s="3087" t="s">
        <v>2727</v>
      </c>
      <c r="E108" s="3113">
        <v>0.15</v>
      </c>
      <c r="F108" s="3113">
        <v>20</v>
      </c>
    </row>
    <row r="109" spans="1:6" ht="13.5">
      <c r="A109" s="3113">
        <v>37</v>
      </c>
      <c r="B109" s="3845"/>
      <c r="C109" s="3113" t="s">
        <v>2728</v>
      </c>
      <c r="D109" s="3087" t="s">
        <v>2729</v>
      </c>
      <c r="E109" s="3113">
        <v>0.15</v>
      </c>
      <c r="F109" s="3113">
        <v>20</v>
      </c>
    </row>
    <row r="110" spans="1:6" ht="13.5">
      <c r="A110" s="3113">
        <v>38</v>
      </c>
      <c r="B110" s="3845"/>
      <c r="C110" s="3113" t="s">
        <v>2730</v>
      </c>
      <c r="D110" s="3087" t="s">
        <v>2731</v>
      </c>
      <c r="E110" s="3113">
        <v>0.1</v>
      </c>
      <c r="F110" s="3113">
        <v>15</v>
      </c>
    </row>
    <row r="111" spans="1:6" ht="24">
      <c r="A111" s="3113">
        <v>39</v>
      </c>
      <c r="B111" s="3845"/>
      <c r="C111" s="3113" t="s">
        <v>2732</v>
      </c>
      <c r="D111" s="3087" t="s">
        <v>2733</v>
      </c>
      <c r="E111" s="3113">
        <v>0.1</v>
      </c>
      <c r="F111" s="3113">
        <v>15</v>
      </c>
    </row>
    <row r="112" spans="1:6" ht="24">
      <c r="A112" s="3113">
        <v>40</v>
      </c>
      <c r="B112" s="3854"/>
      <c r="C112" s="3113" t="s">
        <v>2734</v>
      </c>
      <c r="D112" s="3087" t="s">
        <v>2735</v>
      </c>
      <c r="E112" s="3113">
        <v>0.1</v>
      </c>
      <c r="F112" s="3113">
        <v>15</v>
      </c>
    </row>
    <row r="113" spans="1:6" ht="13.5">
      <c r="A113" s="3113">
        <v>41</v>
      </c>
      <c r="B113" s="3855" t="s">
        <v>2736</v>
      </c>
      <c r="C113" s="3113" t="s">
        <v>2737</v>
      </c>
      <c r="D113" s="3087" t="s">
        <v>2738</v>
      </c>
      <c r="E113" s="3113">
        <v>0.1</v>
      </c>
      <c r="F113" s="3113">
        <v>15</v>
      </c>
    </row>
    <row r="114" spans="1:6" ht="13.5">
      <c r="A114" s="3113">
        <v>42</v>
      </c>
      <c r="B114" s="3855"/>
      <c r="C114" s="3113" t="s">
        <v>2739</v>
      </c>
      <c r="D114" s="3087" t="s">
        <v>2740</v>
      </c>
      <c r="E114" s="3113">
        <v>0.1</v>
      </c>
      <c r="F114" s="3113">
        <v>15</v>
      </c>
    </row>
    <row r="115" spans="1:6" ht="24">
      <c r="A115" s="3113">
        <v>43</v>
      </c>
      <c r="B115" s="3855"/>
      <c r="C115" s="3113" t="s">
        <v>2741</v>
      </c>
      <c r="D115" s="3087" t="s">
        <v>2742</v>
      </c>
      <c r="E115" s="3113">
        <v>0.1</v>
      </c>
      <c r="F115" s="3113">
        <v>15</v>
      </c>
    </row>
    <row r="116" spans="1:6" ht="13.5">
      <c r="A116" s="3113">
        <v>44</v>
      </c>
      <c r="B116" s="3850" t="s">
        <v>2743</v>
      </c>
      <c r="C116" s="3113" t="s">
        <v>2744</v>
      </c>
      <c r="D116" s="3087" t="s">
        <v>2745</v>
      </c>
      <c r="E116" s="3113">
        <v>0.1</v>
      </c>
      <c r="F116" s="3113">
        <v>15</v>
      </c>
    </row>
    <row r="117" spans="1:6" ht="24">
      <c r="A117" s="3113">
        <v>45</v>
      </c>
      <c r="B117" s="3854"/>
      <c r="C117" s="3087" t="s">
        <v>2746</v>
      </c>
      <c r="D117" s="3087" t="s">
        <v>2747</v>
      </c>
      <c r="E117" s="3113">
        <v>0.1</v>
      </c>
      <c r="F117" s="3113">
        <v>15</v>
      </c>
    </row>
    <row r="118" spans="1:6" ht="24">
      <c r="A118" s="3113">
        <v>46</v>
      </c>
      <c r="B118" s="3850" t="s">
        <v>2748</v>
      </c>
      <c r="C118" s="3113" t="s">
        <v>2749</v>
      </c>
      <c r="D118" s="3087" t="s">
        <v>2750</v>
      </c>
      <c r="E118" s="3113">
        <v>0.1</v>
      </c>
      <c r="F118" s="3113">
        <v>15</v>
      </c>
    </row>
    <row r="119" spans="1:6" ht="24">
      <c r="A119" s="3113">
        <v>47</v>
      </c>
      <c r="B119" s="3854"/>
      <c r="C119" s="3113" t="s">
        <v>2751</v>
      </c>
      <c r="D119" s="3087" t="s">
        <v>2752</v>
      </c>
      <c r="E119" s="3113">
        <v>0.1</v>
      </c>
      <c r="F119" s="3113">
        <v>15</v>
      </c>
    </row>
    <row r="120" spans="1:6" ht="13.5">
      <c r="A120" s="3113">
        <v>48</v>
      </c>
      <c r="B120" s="3850" t="s">
        <v>2753</v>
      </c>
      <c r="C120" s="3113" t="s">
        <v>2754</v>
      </c>
      <c r="D120" s="3087" t="s">
        <v>2755</v>
      </c>
      <c r="E120" s="3113">
        <v>0.1</v>
      </c>
      <c r="F120" s="3113">
        <v>15</v>
      </c>
    </row>
    <row r="121" spans="1:6" ht="13.5">
      <c r="A121" s="3113">
        <v>49</v>
      </c>
      <c r="B121" s="3854"/>
      <c r="C121" s="3113" t="s">
        <v>2756</v>
      </c>
      <c r="D121" s="3087" t="s">
        <v>2757</v>
      </c>
      <c r="E121" s="3113">
        <v>0.1</v>
      </c>
      <c r="F121" s="3113">
        <v>15</v>
      </c>
    </row>
    <row r="122" spans="1:6" ht="24">
      <c r="A122" s="3113">
        <v>50</v>
      </c>
      <c r="B122" s="3855" t="s">
        <v>2758</v>
      </c>
      <c r="C122" s="3113" t="s">
        <v>2759</v>
      </c>
      <c r="D122" s="3087" t="s">
        <v>2760</v>
      </c>
      <c r="E122" s="3113">
        <v>0.1</v>
      </c>
      <c r="F122" s="3113">
        <v>15</v>
      </c>
    </row>
    <row r="123" spans="1:6" ht="24">
      <c r="A123" s="3113">
        <v>51</v>
      </c>
      <c r="B123" s="3855"/>
      <c r="C123" s="3113" t="s">
        <v>2761</v>
      </c>
      <c r="D123" s="3087" t="s">
        <v>2762</v>
      </c>
      <c r="E123" s="3113">
        <v>0.1</v>
      </c>
      <c r="F123" s="3113">
        <v>15</v>
      </c>
    </row>
    <row r="124" spans="1:6" ht="24">
      <c r="A124" s="3113">
        <v>52</v>
      </c>
      <c r="B124" s="3855" t="s">
        <v>2763</v>
      </c>
      <c r="C124" s="3113" t="s">
        <v>2764</v>
      </c>
      <c r="D124" s="3087" t="s">
        <v>2765</v>
      </c>
      <c r="E124" s="3113">
        <v>0.1</v>
      </c>
      <c r="F124" s="3113">
        <v>15</v>
      </c>
    </row>
    <row r="125" spans="1:6" ht="24">
      <c r="A125" s="3113">
        <v>53</v>
      </c>
      <c r="B125" s="3855"/>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855" t="s">
        <v>2771</v>
      </c>
      <c r="C127" s="3113" t="s">
        <v>2772</v>
      </c>
      <c r="D127" s="3087" t="s">
        <v>2773</v>
      </c>
      <c r="E127" s="3113">
        <v>0.1</v>
      </c>
      <c r="F127" s="3113">
        <v>15</v>
      </c>
    </row>
    <row r="128" spans="1:6" ht="13.5">
      <c r="A128" s="3113">
        <v>56</v>
      </c>
      <c r="B128" s="3855"/>
      <c r="C128" s="3113" t="s">
        <v>2774</v>
      </c>
      <c r="D128" s="3087" t="s">
        <v>2775</v>
      </c>
      <c r="E128" s="3113">
        <v>0.1</v>
      </c>
      <c r="F128" s="3113">
        <v>15</v>
      </c>
    </row>
    <row r="129" spans="1:6" ht="24">
      <c r="A129" s="3113">
        <v>57</v>
      </c>
      <c r="B129" s="3855"/>
      <c r="C129" s="3113" t="s">
        <v>2776</v>
      </c>
      <c r="D129" s="3087" t="s">
        <v>2777</v>
      </c>
      <c r="E129" s="3113">
        <v>0.1</v>
      </c>
      <c r="F129" s="3113">
        <v>15</v>
      </c>
    </row>
    <row r="130" spans="1:6" ht="24">
      <c r="A130" s="3113">
        <v>58</v>
      </c>
      <c r="B130" s="3855" t="s">
        <v>2778</v>
      </c>
      <c r="C130" s="3113" t="s">
        <v>2779</v>
      </c>
      <c r="D130" s="3087" t="s">
        <v>2780</v>
      </c>
      <c r="E130" s="3113">
        <v>0.1</v>
      </c>
      <c r="F130" s="3113">
        <v>15</v>
      </c>
    </row>
    <row r="131" spans="1:6" ht="13.5">
      <c r="A131" s="3113">
        <v>59</v>
      </c>
      <c r="B131" s="3855"/>
      <c r="C131" s="3113" t="s">
        <v>2781</v>
      </c>
      <c r="D131" s="3087" t="s">
        <v>2782</v>
      </c>
      <c r="E131" s="3113">
        <v>0.1</v>
      </c>
      <c r="F131" s="3113">
        <v>15</v>
      </c>
    </row>
    <row r="132" spans="1:6" ht="13.5">
      <c r="A132" s="3113">
        <v>60</v>
      </c>
      <c r="B132" s="3850" t="s">
        <v>2783</v>
      </c>
      <c r="C132" s="3113" t="s">
        <v>2784</v>
      </c>
      <c r="D132" s="3087" t="s">
        <v>2785</v>
      </c>
      <c r="E132" s="3113">
        <v>0.1</v>
      </c>
      <c r="F132" s="3113">
        <v>15</v>
      </c>
    </row>
    <row r="133" spans="1:6" ht="13.5">
      <c r="A133" s="3113">
        <v>61</v>
      </c>
      <c r="B133" s="3854"/>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855" t="s">
        <v>2791</v>
      </c>
      <c r="C135" s="3113" t="s">
        <v>2792</v>
      </c>
      <c r="D135" s="3087" t="s">
        <v>2793</v>
      </c>
      <c r="E135" s="3113">
        <v>0.1</v>
      </c>
      <c r="F135" s="3113">
        <v>15</v>
      </c>
    </row>
    <row r="136" spans="1:6" ht="13.5">
      <c r="A136" s="3113">
        <v>64</v>
      </c>
      <c r="B136" s="3855"/>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2800</v>
      </c>
      <c r="B1" s="3122"/>
      <c r="C1" s="3122"/>
      <c r="D1" s="3122"/>
      <c r="E1" s="3122"/>
      <c r="F1" s="3122"/>
      <c r="G1" s="3122"/>
      <c r="H1" s="3122"/>
      <c r="I1" s="3122"/>
      <c r="J1" s="3122"/>
      <c r="K1" s="3122"/>
      <c r="L1" s="3122"/>
      <c r="M1" s="3122"/>
      <c r="N1" s="749"/>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50">
        <f>SUMPRODUCT((A95:A184=ROUNDDOWN(基准地价修正!G3,1))*(B94:M94=基准地价修正!G2)*(B95:M184))</f>
        <v>1.0397000000000001</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50">
        <f>SUMPRODUCT((A371:A460=ROUNDDOWN(基准地价修正!G3,1))*(B370:M370=基准地价修正!G2)*(B371:M460))</f>
        <v>0.98899999999999999</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103594</v>
      </c>
      <c r="C2" s="2" t="s">
        <v>106</v>
      </c>
      <c r="D2" s="199"/>
      <c r="E2" s="199"/>
      <c r="F2" s="199"/>
      <c r="G2" s="199"/>
    </row>
    <row r="3" spans="1:7" s="200" customFormat="1" ht="18" customHeight="1" thickBot="1">
      <c r="A3" s="203" t="s">
        <v>58</v>
      </c>
      <c r="B3" s="204">
        <f ca="1">ROUND(B2*10000/'数据-汇总表'!E3,0)</f>
        <v>17432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1010</v>
      </c>
      <c r="D10" s="845">
        <f>'数据-汇总表'!E6</f>
        <v>59427.91</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1189</v>
      </c>
      <c r="D19" s="849">
        <f>'数据-汇总表'!E3</f>
        <v>59427.91</v>
      </c>
      <c r="E19" s="211">
        <f>'数据-取费表'!B31</f>
        <v>200</v>
      </c>
      <c r="F19" s="231"/>
      <c r="G19" s="1" t="s">
        <v>436</v>
      </c>
    </row>
    <row r="20" spans="1:7" s="214" customFormat="1" ht="13.5" customHeight="1">
      <c r="A20" s="777" t="s">
        <v>419</v>
      </c>
      <c r="B20" s="210" t="s">
        <v>77</v>
      </c>
      <c r="C20" s="232">
        <f>ROUND((C5+C19)*F20,0)</f>
        <v>654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2840</v>
      </c>
      <c r="D22" s="235">
        <f ca="1">C26</f>
        <v>1.9E-3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153</v>
      </c>
      <c r="D24" s="238"/>
      <c r="E24" s="238"/>
      <c r="F24" s="239"/>
      <c r="G24" s="240" t="s">
        <v>82</v>
      </c>
    </row>
    <row r="25" spans="1:7" s="214" customFormat="1" ht="24">
      <c r="A25" s="780" t="s">
        <v>348</v>
      </c>
      <c r="B25" s="215" t="s">
        <v>420</v>
      </c>
      <c r="C25" s="1105">
        <f ca="1">ROUND(IF('数据-取费表'!B22&lt;=1,C20*F22*'数据-取费表'!B23/2,C20*(POWER((1+F22),'数据-取费表'!B23/2)-1)),0)</f>
        <v>41</v>
      </c>
      <c r="D25" s="238"/>
      <c r="E25" s="241"/>
      <c r="F25" s="239"/>
      <c r="G25" s="242" t="s">
        <v>83</v>
      </c>
    </row>
    <row r="26" spans="1:7" s="214" customFormat="1">
      <c r="A26" s="780" t="s">
        <v>350</v>
      </c>
      <c r="B26" s="215" t="s">
        <v>422</v>
      </c>
      <c r="C26" s="238">
        <f ca="1">ROUND(IF('数据-取费表'!B22&lt;=1,F21*F22*'数据-取费表'!B23/2,F21*(POWER((1+F22),'数据-取费表'!B23/2)-1)),4)</f>
        <v>1.9E-3</v>
      </c>
      <c r="D26" s="238"/>
      <c r="E26" s="241"/>
      <c r="F26" s="239"/>
      <c r="G26" s="243"/>
    </row>
    <row r="27" spans="1:7" s="214" customFormat="1" ht="24.75">
      <c r="A27" s="777" t="s">
        <v>342</v>
      </c>
      <c r="B27" s="244" t="s">
        <v>85</v>
      </c>
      <c r="C27" s="245">
        <f>C28</f>
        <v>5557</v>
      </c>
      <c r="D27" s="235">
        <f>C29</f>
        <v>7.4000000000000003E-3</v>
      </c>
      <c r="E27" s="236" t="s">
        <v>99</v>
      </c>
      <c r="F27" s="246">
        <f>'数据-取费表'!Q16</f>
        <v>0.25</v>
      </c>
      <c r="G27" s="247" t="s">
        <v>431</v>
      </c>
    </row>
    <row r="28" spans="1:7" s="214" customFormat="1" ht="13.5" customHeight="1">
      <c r="A28" s="780" t="s">
        <v>349</v>
      </c>
      <c r="B28" s="248" t="s">
        <v>424</v>
      </c>
      <c r="C28" s="249">
        <f>ROUND((C5+C19+C20)*F27*'数据-取费表'!B21/'数据-取费表'!B20,0)</f>
        <v>5557</v>
      </c>
      <c r="D28" s="235"/>
      <c r="E28" s="236"/>
      <c r="F28" s="246"/>
      <c r="G28" s="247"/>
    </row>
    <row r="29" spans="1:7" s="214" customFormat="1" ht="13.5" customHeight="1">
      <c r="A29" s="780" t="s">
        <v>347</v>
      </c>
      <c r="B29" s="248" t="s">
        <v>425</v>
      </c>
      <c r="C29" s="238">
        <f>ROUND(C21*F27*'数据-取费表'!B21/'数据-取费表'!B20,4)</f>
        <v>7.4000000000000003E-3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33964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46788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42828</v>
      </c>
      <c r="D34" s="217"/>
      <c r="E34" s="220"/>
      <c r="F34" s="257">
        <f>IF('数据-取费表'!B24=0,1,'数据-取费表'!N16)</f>
        <v>0.99</v>
      </c>
      <c r="G34" s="219" t="s">
        <v>89</v>
      </c>
    </row>
    <row r="35" spans="1:7" ht="13.5" customHeight="1">
      <c r="A35" s="780" t="s">
        <v>351</v>
      </c>
      <c r="B35" s="215" t="s">
        <v>33</v>
      </c>
      <c r="C35" s="220">
        <f>ROUND(C34*F35,0)</f>
        <v>2141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1177</v>
      </c>
      <c r="D37" s="217">
        <f>'数据-汇总表'!E3</f>
        <v>59427.91</v>
      </c>
      <c r="E37" s="249">
        <f>'数据-取费表'!B35</f>
        <v>200</v>
      </c>
      <c r="F37" s="259"/>
      <c r="G37" s="261" t="s">
        <v>92</v>
      </c>
    </row>
    <row r="38" spans="1:7" ht="13.5" customHeight="1">
      <c r="A38" s="780" t="s">
        <v>354</v>
      </c>
      <c r="B38" s="215" t="s">
        <v>36</v>
      </c>
      <c r="C38" s="220">
        <f>ROUND(C34*F38,0)</f>
        <v>642</v>
      </c>
      <c r="D38" s="220"/>
      <c r="E38" s="220"/>
      <c r="F38" s="259">
        <f>'数据-取费表'!B36</f>
        <v>1.4999999999999999E-2</v>
      </c>
      <c r="G38" s="219" t="s">
        <v>90</v>
      </c>
    </row>
    <row r="39" spans="1:7" s="214" customFormat="1" ht="13.5" customHeight="1">
      <c r="A39" s="777" t="s">
        <v>338</v>
      </c>
      <c r="B39" s="210" t="s">
        <v>77</v>
      </c>
      <c r="C39" s="232">
        <f>ROUND(C33*F20,0)</f>
        <v>1404</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2999</v>
      </c>
      <c r="D41" s="235">
        <f ca="1">C44</f>
        <v>1.9E-3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2912</v>
      </c>
      <c r="D42" s="238"/>
      <c r="E42" s="238"/>
      <c r="F42" s="239"/>
      <c r="G42" s="3720" t="s">
        <v>94</v>
      </c>
    </row>
    <row r="43" spans="1:7" ht="13.5" customHeight="1">
      <c r="A43" s="780" t="s">
        <v>347</v>
      </c>
      <c r="B43" s="215" t="s">
        <v>426</v>
      </c>
      <c r="C43" s="238">
        <f ca="1">ROUND(IF('数据-取费表'!B22&lt;=1,C39*F22*'数据-取费表'!B21/2,C39*(POWER((1+F22),'数据-取费表'!B21/2)-1)),0)</f>
        <v>87</v>
      </c>
      <c r="D43" s="238"/>
      <c r="E43" s="238"/>
      <c r="F43" s="239"/>
      <c r="G43" s="3721"/>
    </row>
    <row r="44" spans="1:7" ht="13.5" customHeight="1">
      <c r="A44" s="780" t="s">
        <v>348</v>
      </c>
      <c r="B44" s="215" t="s">
        <v>428</v>
      </c>
      <c r="C44" s="238">
        <f ca="1">ROUND(IF('数据-取费表'!B22&lt;=1,C40*F22*'数据-取费表'!B21/2,C40*(POWER((1+F22),'数据-取费表'!B21/2)-1)),4)</f>
        <v>1.9E-3</v>
      </c>
      <c r="D44" s="238"/>
      <c r="E44" s="238"/>
      <c r="F44" s="239"/>
      <c r="G44" s="3722"/>
    </row>
    <row r="45" spans="1:7" s="214" customFormat="1" ht="13.5" customHeight="1">
      <c r="A45" s="777" t="s">
        <v>341</v>
      </c>
      <c r="B45" s="244" t="s">
        <v>85</v>
      </c>
      <c r="C45" s="245">
        <f>C46</f>
        <v>12048</v>
      </c>
      <c r="D45" s="235">
        <f>C47</f>
        <v>7.4999999999999997E-3</v>
      </c>
      <c r="E45" s="236" t="s">
        <v>102</v>
      </c>
      <c r="F45" s="246"/>
      <c r="G45" s="247" t="s">
        <v>434</v>
      </c>
    </row>
    <row r="46" spans="1:7" s="214" customFormat="1" ht="13.5" customHeight="1">
      <c r="A46" s="780" t="s">
        <v>349</v>
      </c>
      <c r="B46" s="248" t="s">
        <v>427</v>
      </c>
      <c r="C46" s="249">
        <f>ROUND((C33+C39)*F27,0)</f>
        <v>12048</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69630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69630</v>
      </c>
      <c r="D51" s="232"/>
      <c r="E51" s="232"/>
      <c r="F51" s="264"/>
      <c r="G51" s="234" t="s">
        <v>37</v>
      </c>
    </row>
    <row r="52" spans="1:7" s="208" customFormat="1" ht="16.5" thickBot="1">
      <c r="A52" s="265" t="s">
        <v>38</v>
      </c>
      <c r="B52" s="266"/>
      <c r="C52" s="267">
        <f ca="1">C31+C51</f>
        <v>103594</v>
      </c>
      <c r="D52" s="266"/>
      <c r="E52" s="266"/>
      <c r="F52" s="266"/>
      <c r="G52" s="268"/>
    </row>
    <row r="55" spans="1:7" ht="15">
      <c r="B55" s="270" t="s">
        <v>39</v>
      </c>
      <c r="C55" s="271"/>
    </row>
    <row r="56" spans="1:7">
      <c r="B56" s="273" t="s">
        <v>40</v>
      </c>
      <c r="C56" s="274">
        <f ca="1">ROUND(C51/C52,3)</f>
        <v>0.67200000000000004</v>
      </c>
    </row>
    <row r="57" spans="1:7">
      <c r="B57" s="273" t="s">
        <v>41</v>
      </c>
      <c r="C57" s="275">
        <f ca="1">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58" t="s">
        <v>2847</v>
      </c>
      <c r="B1" s="3858"/>
      <c r="C1" s="3858"/>
      <c r="D1" s="3858"/>
      <c r="E1" s="3858"/>
      <c r="F1" s="3858"/>
      <c r="G1" s="3859"/>
      <c r="I1" s="3219" t="s">
        <v>2848</v>
      </c>
      <c r="J1" s="3220" t="s">
        <v>2849</v>
      </c>
      <c r="K1" s="3220" t="s">
        <v>2850</v>
      </c>
      <c r="L1" s="3220" t="s">
        <v>2851</v>
      </c>
      <c r="M1" s="3220" t="s">
        <v>2852</v>
      </c>
      <c r="N1" s="3220" t="s">
        <v>2853</v>
      </c>
      <c r="O1" s="3220" t="s">
        <v>2854</v>
      </c>
      <c r="P1" s="3220" t="s">
        <v>2855</v>
      </c>
      <c r="Q1" s="3220" t="s">
        <v>2856</v>
      </c>
      <c r="R1" s="3220" t="s">
        <v>2857</v>
      </c>
      <c r="S1" s="3220" t="s">
        <v>2858</v>
      </c>
      <c r="T1" s="3221" t="s">
        <v>2859</v>
      </c>
    </row>
    <row r="2" spans="1:20" ht="12" thickBot="1">
      <c r="A2" s="3223" t="s">
        <v>2860</v>
      </c>
      <c r="B2" s="3223"/>
      <c r="C2" s="3223"/>
      <c r="D2" s="3223"/>
      <c r="E2" s="3223"/>
      <c r="F2" s="3223"/>
      <c r="G2" s="3224" t="s">
        <v>2861</v>
      </c>
      <c r="I2" s="3225" t="s">
        <v>2862</v>
      </c>
      <c r="J2" s="3225" t="s">
        <v>2863</v>
      </c>
      <c r="K2" s="3225" t="s">
        <v>2864</v>
      </c>
      <c r="L2" s="3225" t="s">
        <v>2865</v>
      </c>
      <c r="M2" s="3225" t="s">
        <v>2866</v>
      </c>
      <c r="N2" s="3225" t="s">
        <v>2867</v>
      </c>
      <c r="O2" s="3225" t="s">
        <v>2868</v>
      </c>
      <c r="P2" s="3225" t="s">
        <v>2869</v>
      </c>
      <c r="Q2" s="3225" t="s">
        <v>2870</v>
      </c>
      <c r="R2" s="3225" t="s">
        <v>2871</v>
      </c>
      <c r="S2" s="3225" t="s">
        <v>2872</v>
      </c>
      <c r="T2" s="3225" t="s">
        <v>2873</v>
      </c>
    </row>
    <row r="3" spans="1:20" s="3231" customFormat="1">
      <c r="A3" s="3856" t="s">
        <v>2874</v>
      </c>
      <c r="B3" s="3226"/>
      <c r="C3" s="3227" t="s">
        <v>2813</v>
      </c>
      <c r="D3" s="3227" t="s">
        <v>2875</v>
      </c>
      <c r="E3" s="3227" t="s">
        <v>2815</v>
      </c>
      <c r="F3" s="3227" t="s">
        <v>2876</v>
      </c>
      <c r="G3" s="3227" t="s">
        <v>2633</v>
      </c>
      <c r="H3" s="3228"/>
      <c r="I3" s="3229" t="s">
        <v>2877</v>
      </c>
      <c r="J3" s="3230" t="s">
        <v>128</v>
      </c>
      <c r="K3" s="3230" t="s">
        <v>129</v>
      </c>
      <c r="L3" s="3229" t="s">
        <v>130</v>
      </c>
      <c r="M3" s="3229" t="s">
        <v>131</v>
      </c>
      <c r="N3" s="3229" t="s">
        <v>132</v>
      </c>
      <c r="O3" s="3229" t="s">
        <v>133</v>
      </c>
      <c r="P3" s="3229" t="s">
        <v>134</v>
      </c>
      <c r="Q3" s="3229" t="s">
        <v>135</v>
      </c>
      <c r="R3" s="3229" t="s">
        <v>136</v>
      </c>
      <c r="S3" s="3229" t="s">
        <v>2878</v>
      </c>
      <c r="T3" s="3229" t="s">
        <v>2879</v>
      </c>
    </row>
    <row r="4" spans="1:20" s="3231" customFormat="1" ht="12" thickBot="1">
      <c r="A4" s="3857"/>
      <c r="B4" s="3232" t="s">
        <v>2880</v>
      </c>
      <c r="C4" s="3232" t="s">
        <v>2881</v>
      </c>
      <c r="D4" s="3232" t="s">
        <v>2881</v>
      </c>
      <c r="E4" s="3232" t="s">
        <v>2881</v>
      </c>
      <c r="F4" s="3233" t="s">
        <v>2881</v>
      </c>
      <c r="G4" s="3233" t="s">
        <v>2881</v>
      </c>
      <c r="H4" s="3228"/>
      <c r="I4" s="3230" t="s">
        <v>137</v>
      </c>
      <c r="J4" s="3230" t="s">
        <v>111</v>
      </c>
      <c r="K4" s="3230" t="s">
        <v>138</v>
      </c>
      <c r="L4" s="3229" t="s">
        <v>139</v>
      </c>
      <c r="M4" s="3229" t="s">
        <v>140</v>
      </c>
      <c r="N4" s="3229" t="s">
        <v>141</v>
      </c>
      <c r="O4" s="3229" t="s">
        <v>142</v>
      </c>
      <c r="P4" s="3229" t="s">
        <v>143</v>
      </c>
      <c r="Q4" s="3229" t="s">
        <v>2882</v>
      </c>
      <c r="R4" s="3229" t="s">
        <v>2883</v>
      </c>
      <c r="S4" s="3229" t="s">
        <v>2884</v>
      </c>
      <c r="T4" s="3229" t="s">
        <v>2885</v>
      </c>
    </row>
    <row r="5" spans="1:20">
      <c r="A5" s="3234" t="s">
        <v>2848</v>
      </c>
      <c r="B5" s="3225" t="s">
        <v>2862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2886</v>
      </c>
      <c r="R5" s="3229" t="s">
        <v>2887</v>
      </c>
      <c r="S5" s="3229" t="s">
        <v>153</v>
      </c>
      <c r="T5" s="3229" t="s">
        <v>2888</v>
      </c>
    </row>
    <row r="6" spans="1:20" ht="12" thickBot="1">
      <c r="A6" s="3229" t="s">
        <v>144</v>
      </c>
      <c r="B6" s="3229" t="s">
        <v>2877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2889</v>
      </c>
      <c r="Q6" s="3229" t="s">
        <v>2890</v>
      </c>
      <c r="R6" s="3229" t="s">
        <v>161</v>
      </c>
      <c r="S6" s="3229" t="s">
        <v>2891</v>
      </c>
      <c r="T6" s="3229" t="s">
        <v>2892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2893</v>
      </c>
      <c r="Q7" s="3229" t="s">
        <v>2894</v>
      </c>
      <c r="R7" s="3229" t="s">
        <v>2895</v>
      </c>
      <c r="S7" s="3229" t="s">
        <v>2896</v>
      </c>
      <c r="T7" s="3229" t="s">
        <v>2897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2898</v>
      </c>
      <c r="Q8" s="3229" t="s">
        <v>174</v>
      </c>
      <c r="R8" s="3229" t="s">
        <v>2899</v>
      </c>
      <c r="S8" s="3229" t="s">
        <v>2900</v>
      </c>
      <c r="T8" s="3236" t="s">
        <v>2901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2902</v>
      </c>
      <c r="Q9" s="3229" t="s">
        <v>182</v>
      </c>
      <c r="R9" s="3229" t="s">
        <v>183</v>
      </c>
      <c r="S9" s="3229" t="s">
        <v>200</v>
      </c>
    </row>
    <row r="10" spans="1:20">
      <c r="A10" s="3234" t="s">
        <v>184</v>
      </c>
      <c r="B10" s="3225" t="s">
        <v>2863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2904</v>
      </c>
      <c r="P11" s="3229" t="s">
        <v>191</v>
      </c>
      <c r="Q11" s="3229" t="s">
        <v>199</v>
      </c>
      <c r="R11" s="3229" t="s">
        <v>2905</v>
      </c>
      <c r="S11" s="3229" t="s">
        <v>2906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2907</v>
      </c>
      <c r="P12" s="3229" t="s">
        <v>2908</v>
      </c>
      <c r="Q12" s="3229" t="s">
        <v>2909</v>
      </c>
      <c r="R12" s="3229" t="s">
        <v>2910</v>
      </c>
      <c r="S12" s="3229" t="s">
        <v>2911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2913</v>
      </c>
      <c r="K14" s="3230" t="s">
        <v>215</v>
      </c>
      <c r="L14" s="3229" t="s">
        <v>216</v>
      </c>
      <c r="M14" s="3229" t="s">
        <v>217</v>
      </c>
      <c r="N14" s="3229" t="s">
        <v>218</v>
      </c>
      <c r="O14" s="3229" t="s">
        <v>240</v>
      </c>
      <c r="P14" s="3229" t="s">
        <v>213</v>
      </c>
      <c r="Q14" s="3229" t="s">
        <v>2914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2915</v>
      </c>
      <c r="P15" s="3229" t="s">
        <v>2916</v>
      </c>
      <c r="Q15" s="3229" t="s">
        <v>242</v>
      </c>
      <c r="R15" s="3229" t="s">
        <v>2917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2918</v>
      </c>
      <c r="P16" s="3229" t="s">
        <v>227</v>
      </c>
      <c r="Q16" s="3229" t="s">
        <v>250</v>
      </c>
      <c r="R16" s="3229" t="s">
        <v>207</v>
      </c>
      <c r="S16" s="3229" t="s">
        <v>2919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2920</v>
      </c>
      <c r="P17" s="3229" t="s">
        <v>2921</v>
      </c>
      <c r="Q17" s="3229" t="s">
        <v>256</v>
      </c>
      <c r="R17" s="3229" t="s">
        <v>2922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2923</v>
      </c>
      <c r="P18" s="3229" t="s">
        <v>241</v>
      </c>
      <c r="Q18" s="3229" t="s">
        <v>2924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2925</v>
      </c>
      <c r="P19" s="3229" t="s">
        <v>249</v>
      </c>
      <c r="Q19" s="3229" t="s">
        <v>2926</v>
      </c>
      <c r="R19" s="3229" t="s">
        <v>265</v>
      </c>
      <c r="S19" s="3229" t="s">
        <v>2927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2928</v>
      </c>
      <c r="P20" s="3229" t="s">
        <v>2929</v>
      </c>
      <c r="Q20" s="3229" t="s">
        <v>290</v>
      </c>
      <c r="R20" s="3229" t="s">
        <v>2930</v>
      </c>
      <c r="S20" s="3229" t="s">
        <v>277</v>
      </c>
    </row>
    <row r="21" spans="1:19" ht="14.25" customHeight="1" thickBot="1">
      <c r="A21" s="3229" t="s">
        <v>184</v>
      </c>
      <c r="B21" s="3230" t="s">
        <v>208</v>
      </c>
      <c r="C21" s="3229">
        <v>32370</v>
      </c>
      <c r="D21" s="3229">
        <v>26730</v>
      </c>
      <c r="E21" s="3229">
        <v>26640</v>
      </c>
      <c r="F21" s="3229"/>
      <c r="G21" s="3229">
        <v>19440</v>
      </c>
      <c r="J21" s="3236" t="s">
        <v>2931</v>
      </c>
      <c r="K21" s="3230" t="s">
        <v>267</v>
      </c>
      <c r="L21" s="3229" t="s">
        <v>268</v>
      </c>
      <c r="M21" s="3229" t="s">
        <v>269</v>
      </c>
      <c r="N21" s="3229" t="s">
        <v>270</v>
      </c>
      <c r="O21" s="3229" t="s">
        <v>264</v>
      </c>
      <c r="P21" s="3229" t="s">
        <v>283</v>
      </c>
      <c r="Q21" s="3229" t="s">
        <v>293</v>
      </c>
      <c r="R21" s="3229" t="s">
        <v>2932</v>
      </c>
      <c r="S21" s="3236" t="s">
        <v>2933</v>
      </c>
    </row>
    <row r="22" spans="1:19" ht="14.25" customHeight="1">
      <c r="A22" s="3229" t="s">
        <v>184</v>
      </c>
      <c r="B22" s="3230" t="s">
        <v>2913</v>
      </c>
      <c r="C22" s="3229">
        <v>29830</v>
      </c>
      <c r="D22" s="3229">
        <v>27600</v>
      </c>
      <c r="E22" s="3229">
        <v>28150</v>
      </c>
      <c r="F22" s="3229"/>
      <c r="G22" s="3229">
        <v>20080</v>
      </c>
      <c r="K22" s="3230" t="s">
        <v>2934</v>
      </c>
      <c r="L22" s="3229" t="s">
        <v>272</v>
      </c>
      <c r="M22" s="3229" t="s">
        <v>273</v>
      </c>
      <c r="N22" s="3229" t="s">
        <v>274</v>
      </c>
      <c r="O22" s="3229" t="s">
        <v>2935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2936</v>
      </c>
      <c r="L23" s="3229" t="s">
        <v>278</v>
      </c>
      <c r="M23" s="3229" t="s">
        <v>279</v>
      </c>
      <c r="N23" s="3229" t="s">
        <v>2937</v>
      </c>
      <c r="O23" s="3229" t="s">
        <v>2938</v>
      </c>
      <c r="P23" s="3229" t="s">
        <v>289</v>
      </c>
      <c r="Q23" s="3229" t="s">
        <v>298</v>
      </c>
      <c r="R23" s="3229" t="s">
        <v>2939</v>
      </c>
    </row>
    <row r="24" spans="1:19" ht="14.25" customHeight="1">
      <c r="A24" s="3229" t="s">
        <v>184</v>
      </c>
      <c r="B24" s="3230" t="s">
        <v>230</v>
      </c>
      <c r="C24" s="3229">
        <v>27930</v>
      </c>
      <c r="D24" s="3229">
        <v>32260</v>
      </c>
      <c r="E24" s="3229">
        <v>32120</v>
      </c>
      <c r="F24" s="3229"/>
      <c r="G24" s="3229">
        <v>23470</v>
      </c>
      <c r="K24" s="3230" t="s">
        <v>2940</v>
      </c>
      <c r="L24" s="3229" t="s">
        <v>281</v>
      </c>
      <c r="M24" s="3229" t="s">
        <v>282</v>
      </c>
      <c r="N24" s="3229" t="s">
        <v>2941</v>
      </c>
      <c r="O24" s="3229" t="s">
        <v>285</v>
      </c>
      <c r="P24" s="3229" t="s">
        <v>2942</v>
      </c>
      <c r="Q24" s="3238" t="s">
        <v>2943</v>
      </c>
      <c r="R24" s="3229" t="s">
        <v>2944</v>
      </c>
    </row>
    <row r="25" spans="1:19" ht="14.25" customHeight="1">
      <c r="A25" s="3229" t="s">
        <v>184</v>
      </c>
      <c r="B25" s="3230" t="s">
        <v>235</v>
      </c>
      <c r="C25" s="3229">
        <v>32230</v>
      </c>
      <c r="D25" s="3229">
        <v>29640</v>
      </c>
      <c r="E25" s="3229">
        <v>29510</v>
      </c>
      <c r="F25" s="3229"/>
      <c r="G25" s="3229">
        <v>21560</v>
      </c>
      <c r="K25" s="3230" t="s">
        <v>2945</v>
      </c>
      <c r="L25" s="3229" t="s">
        <v>2946</v>
      </c>
      <c r="M25" s="3229" t="s">
        <v>284</v>
      </c>
      <c r="N25" s="3229" t="s">
        <v>292</v>
      </c>
      <c r="O25" s="3229" t="s">
        <v>288</v>
      </c>
      <c r="P25" s="3229" t="s">
        <v>275</v>
      </c>
      <c r="Q25" s="3238" t="s">
        <v>271</v>
      </c>
      <c r="R25" s="3229" t="s">
        <v>2947</v>
      </c>
    </row>
    <row r="26" spans="1:19" ht="14.25" customHeight="1" thickBot="1">
      <c r="A26" s="3229" t="s">
        <v>184</v>
      </c>
      <c r="B26" s="3230" t="s">
        <v>244</v>
      </c>
      <c r="C26" s="3229">
        <v>31690</v>
      </c>
      <c r="D26" s="3229">
        <v>27650</v>
      </c>
      <c r="E26" s="3229">
        <v>28200</v>
      </c>
      <c r="F26" s="3229"/>
      <c r="G26" s="3229">
        <v>20110</v>
      </c>
      <c r="K26" s="3235" t="s">
        <v>2948</v>
      </c>
      <c r="L26" s="3229" t="s">
        <v>2949</v>
      </c>
      <c r="M26" s="3229" t="s">
        <v>287</v>
      </c>
      <c r="N26" s="3229" t="s">
        <v>294</v>
      </c>
      <c r="O26" s="3229" t="s">
        <v>2950</v>
      </c>
      <c r="P26" s="3229" t="s">
        <v>2951</v>
      </c>
      <c r="Q26" s="3238" t="s">
        <v>276</v>
      </c>
      <c r="R26" s="3229" t="s">
        <v>2952</v>
      </c>
    </row>
    <row r="27" spans="1:19" ht="14.25" customHeight="1">
      <c r="A27" s="3229" t="s">
        <v>184</v>
      </c>
      <c r="B27" s="3230" t="s">
        <v>251</v>
      </c>
      <c r="C27" s="3229">
        <v>29610</v>
      </c>
      <c r="D27" s="3229">
        <v>27770</v>
      </c>
      <c r="E27" s="3229">
        <v>28300</v>
      </c>
      <c r="F27" s="3229"/>
      <c r="G27" s="3229">
        <v>20210</v>
      </c>
      <c r="L27" s="3229" t="s">
        <v>2953</v>
      </c>
      <c r="M27" s="3229" t="s">
        <v>291</v>
      </c>
      <c r="N27" s="3229" t="s">
        <v>297</v>
      </c>
      <c r="O27" s="3229" t="s">
        <v>2954</v>
      </c>
      <c r="P27" s="3229" t="s">
        <v>2955</v>
      </c>
      <c r="Q27" s="3229" t="s">
        <v>2956</v>
      </c>
      <c r="R27" s="3229" t="s">
        <v>2957</v>
      </c>
    </row>
    <row r="28" spans="1:19" ht="14.25" customHeight="1">
      <c r="A28" s="3229" t="s">
        <v>184</v>
      </c>
      <c r="B28" s="3230" t="s">
        <v>259</v>
      </c>
      <c r="C28" s="3229"/>
      <c r="D28" s="3229">
        <v>31520</v>
      </c>
      <c r="E28" s="3229">
        <v>31410</v>
      </c>
      <c r="F28" s="3229"/>
      <c r="G28" s="3229">
        <v>22940</v>
      </c>
      <c r="L28" s="3229" t="s">
        <v>2958</v>
      </c>
      <c r="M28" s="3229" t="s">
        <v>2959</v>
      </c>
      <c r="N28" s="3229" t="s">
        <v>2960</v>
      </c>
      <c r="O28" s="3229" t="s">
        <v>2961</v>
      </c>
      <c r="P28" s="3229" t="s">
        <v>2962</v>
      </c>
      <c r="Q28" s="3229" t="s">
        <v>2963</v>
      </c>
      <c r="R28" s="3229" t="s">
        <v>2964</v>
      </c>
    </row>
    <row r="29" spans="1:19" ht="14.25" customHeight="1" thickBot="1">
      <c r="A29" s="3237" t="s">
        <v>184</v>
      </c>
      <c r="B29" s="3239" t="s">
        <v>2931</v>
      </c>
      <c r="C29" s="3240"/>
      <c r="D29" s="3240">
        <v>29460</v>
      </c>
      <c r="E29" s="3240">
        <v>28640</v>
      </c>
      <c r="F29" s="3240"/>
      <c r="G29" s="3240">
        <v>21430</v>
      </c>
      <c r="L29" s="3229" t="s">
        <v>2965</v>
      </c>
      <c r="M29" s="3229" t="s">
        <v>2966</v>
      </c>
      <c r="N29" s="3229" t="s">
        <v>2967</v>
      </c>
      <c r="O29" s="3229" t="s">
        <v>2968</v>
      </c>
      <c r="P29" s="3229" t="s">
        <v>2969</v>
      </c>
      <c r="Q29" s="3229" t="s">
        <v>2970</v>
      </c>
      <c r="R29" s="3229" t="s">
        <v>280</v>
      </c>
    </row>
    <row r="30" spans="1:19" ht="14.25" customHeight="1">
      <c r="A30" s="3234" t="s">
        <v>296</v>
      </c>
      <c r="B30" s="3225" t="s">
        <v>2864</v>
      </c>
      <c r="C30" s="3225">
        <v>26890</v>
      </c>
      <c r="D30" s="3225">
        <v>26770</v>
      </c>
      <c r="E30" s="3225">
        <v>25700</v>
      </c>
      <c r="F30" s="3225">
        <v>8180</v>
      </c>
      <c r="G30" s="3241">
        <v>18740</v>
      </c>
      <c r="L30" s="3229" t="s">
        <v>2971</v>
      </c>
      <c r="M30" s="3229" t="s">
        <v>2972</v>
      </c>
      <c r="N30" s="3229" t="s">
        <v>2973</v>
      </c>
      <c r="O30" s="3229" t="s">
        <v>2974</v>
      </c>
      <c r="P30" s="3229" t="s">
        <v>2975</v>
      </c>
      <c r="Q30" s="3229" t="s">
        <v>2976</v>
      </c>
      <c r="R30" s="3229" t="s">
        <v>2977</v>
      </c>
    </row>
    <row r="31" spans="1:19" ht="14.25" customHeight="1">
      <c r="A31" s="3229" t="s">
        <v>296</v>
      </c>
      <c r="B31" s="3230" t="s">
        <v>129</v>
      </c>
      <c r="C31" s="3229">
        <v>24550</v>
      </c>
      <c r="D31" s="3229">
        <v>23990</v>
      </c>
      <c r="E31" s="3229">
        <v>22930</v>
      </c>
      <c r="F31" s="3229">
        <v>7470</v>
      </c>
      <c r="G31" s="3242">
        <v>16790</v>
      </c>
      <c r="L31" s="3229" t="s">
        <v>2978</v>
      </c>
      <c r="M31" s="3229" t="s">
        <v>2979</v>
      </c>
      <c r="N31" s="3229" t="s">
        <v>2980</v>
      </c>
      <c r="O31" s="3229" t="s">
        <v>2981</v>
      </c>
      <c r="P31" s="3229" t="s">
        <v>2982</v>
      </c>
      <c r="Q31" s="3229" t="s">
        <v>2983</v>
      </c>
      <c r="R31" s="3229" t="s">
        <v>2984</v>
      </c>
    </row>
    <row r="32" spans="1:19" ht="14.25" customHeight="1" thickBot="1">
      <c r="A32" s="3229" t="s">
        <v>296</v>
      </c>
      <c r="B32" s="3230" t="s">
        <v>138</v>
      </c>
      <c r="C32" s="3229">
        <v>27210</v>
      </c>
      <c r="D32" s="3229">
        <v>23240</v>
      </c>
      <c r="E32" s="3229">
        <v>23260</v>
      </c>
      <c r="F32" s="3229">
        <v>7130</v>
      </c>
      <c r="G32" s="3242">
        <v>16270</v>
      </c>
      <c r="L32" s="3229" t="s">
        <v>2985</v>
      </c>
      <c r="M32" s="3229" t="s">
        <v>2986</v>
      </c>
      <c r="N32" s="3229" t="s">
        <v>300</v>
      </c>
      <c r="O32" s="3229" t="s">
        <v>2987</v>
      </c>
      <c r="P32" s="3229" t="s">
        <v>299</v>
      </c>
      <c r="Q32" s="3229" t="s">
        <v>2988</v>
      </c>
      <c r="R32" s="3236" t="s">
        <v>2989</v>
      </c>
    </row>
    <row r="33" spans="1:17" ht="14.25" customHeight="1" thickBot="1">
      <c r="A33" s="3229" t="s">
        <v>296</v>
      </c>
      <c r="B33" s="3230" t="s">
        <v>147</v>
      </c>
      <c r="C33" s="3229">
        <v>27300</v>
      </c>
      <c r="D33" s="3229">
        <v>22980</v>
      </c>
      <c r="E33" s="3229">
        <v>24260</v>
      </c>
      <c r="F33" s="3229">
        <v>5860</v>
      </c>
      <c r="G33" s="3242">
        <v>16090</v>
      </c>
      <c r="L33" s="3236" t="s">
        <v>2990</v>
      </c>
      <c r="M33" s="3229" t="s">
        <v>2991</v>
      </c>
      <c r="N33" s="3229" t="s">
        <v>301</v>
      </c>
      <c r="O33" s="3229" t="s">
        <v>2992</v>
      </c>
      <c r="P33" s="3229" t="s">
        <v>2993</v>
      </c>
      <c r="Q33" s="3229" t="s">
        <v>2994</v>
      </c>
    </row>
    <row r="34" spans="1:17" ht="14.25" customHeight="1">
      <c r="A34" s="3229" t="s">
        <v>296</v>
      </c>
      <c r="B34" s="3230" t="s">
        <v>156</v>
      </c>
      <c r="C34" s="3229">
        <v>23090</v>
      </c>
      <c r="D34" s="3229">
        <v>23390</v>
      </c>
      <c r="E34" s="3229">
        <v>23510</v>
      </c>
      <c r="F34" s="3229">
        <v>6700</v>
      </c>
      <c r="G34" s="3242">
        <v>16370</v>
      </c>
      <c r="M34" s="3229" t="s">
        <v>2995</v>
      </c>
      <c r="N34" s="3229" t="s">
        <v>302</v>
      </c>
      <c r="O34" s="3229" t="s">
        <v>2996</v>
      </c>
      <c r="P34" s="3229" t="s">
        <v>2997</v>
      </c>
      <c r="Q34" s="3229" t="s">
        <v>2998</v>
      </c>
    </row>
    <row r="35" spans="1:17" ht="14.25" customHeight="1">
      <c r="A35" s="3229" t="s">
        <v>296</v>
      </c>
      <c r="B35" s="3230" t="s">
        <v>163</v>
      </c>
      <c r="C35" s="3229">
        <v>27270</v>
      </c>
      <c r="D35" s="3229">
        <v>24270</v>
      </c>
      <c r="E35" s="3229">
        <v>24950</v>
      </c>
      <c r="F35" s="3229">
        <v>6600</v>
      </c>
      <c r="G35" s="3242">
        <v>16990</v>
      </c>
      <c r="M35" s="3229" t="s">
        <v>2999</v>
      </c>
      <c r="N35" s="3229" t="s">
        <v>3000</v>
      </c>
      <c r="O35" s="3229" t="s">
        <v>3001</v>
      </c>
      <c r="P35" s="3229" t="s">
        <v>3002</v>
      </c>
      <c r="Q35" s="3229" t="s">
        <v>3003</v>
      </c>
    </row>
    <row r="36" spans="1:17" ht="14.25" customHeight="1">
      <c r="A36" s="3229" t="s">
        <v>296</v>
      </c>
      <c r="B36" s="3230" t="s">
        <v>169</v>
      </c>
      <c r="C36" s="3229">
        <v>23490</v>
      </c>
      <c r="D36" s="3229">
        <v>23020</v>
      </c>
      <c r="E36" s="3229">
        <v>25230</v>
      </c>
      <c r="F36" s="3229">
        <v>6780</v>
      </c>
      <c r="G36" s="3242">
        <v>16120</v>
      </c>
      <c r="M36" s="3229" t="s">
        <v>3004</v>
      </c>
      <c r="N36" s="3229" t="s">
        <v>3005</v>
      </c>
      <c r="O36" s="3229" t="s">
        <v>3006</v>
      </c>
      <c r="P36" s="3229" t="s">
        <v>3007</v>
      </c>
      <c r="Q36" s="3229" t="s">
        <v>3008</v>
      </c>
    </row>
    <row r="37" spans="1:17" ht="14.25" customHeight="1">
      <c r="A37" s="3229" t="s">
        <v>296</v>
      </c>
      <c r="B37" s="3230" t="s">
        <v>176</v>
      </c>
      <c r="C37" s="3229">
        <v>24380</v>
      </c>
      <c r="D37" s="3229">
        <v>22240</v>
      </c>
      <c r="E37" s="3229">
        <v>25980</v>
      </c>
      <c r="F37" s="3229">
        <v>8160</v>
      </c>
      <c r="G37" s="3242">
        <v>15570</v>
      </c>
      <c r="M37" s="3229" t="s">
        <v>3009</v>
      </c>
      <c r="N37" s="3229" t="s">
        <v>3010</v>
      </c>
      <c r="O37" s="3229" t="s">
        <v>3011</v>
      </c>
      <c r="P37" s="3229" t="s">
        <v>3012</v>
      </c>
      <c r="Q37" s="3229" t="s">
        <v>3013</v>
      </c>
    </row>
    <row r="38" spans="1:17" ht="14.25" customHeight="1">
      <c r="A38" s="3229" t="s">
        <v>296</v>
      </c>
      <c r="B38" s="3230" t="s">
        <v>186</v>
      </c>
      <c r="C38" s="3229">
        <v>23120</v>
      </c>
      <c r="D38" s="3229">
        <v>24630</v>
      </c>
      <c r="E38" s="3229">
        <v>25030</v>
      </c>
      <c r="F38" s="3229">
        <v>7710</v>
      </c>
      <c r="G38" s="3242">
        <v>17240</v>
      </c>
      <c r="M38" s="3229" t="s">
        <v>3014</v>
      </c>
      <c r="N38" s="3229" t="s">
        <v>3015</v>
      </c>
      <c r="O38" s="3229" t="s">
        <v>3016</v>
      </c>
      <c r="P38" s="3229" t="s">
        <v>3017</v>
      </c>
      <c r="Q38" s="3229" t="s">
        <v>3018</v>
      </c>
    </row>
    <row r="39" spans="1:17" ht="14.25" customHeight="1">
      <c r="A39" s="3229" t="s">
        <v>296</v>
      </c>
      <c r="B39" s="3230" t="s">
        <v>195</v>
      </c>
      <c r="C39" s="3229">
        <v>22330</v>
      </c>
      <c r="D39" s="3229">
        <v>21140</v>
      </c>
      <c r="E39" s="3229">
        <v>23970</v>
      </c>
      <c r="F39" s="3229">
        <v>7940</v>
      </c>
      <c r="G39" s="3242">
        <v>14790</v>
      </c>
      <c r="M39" s="3229" t="s">
        <v>3019</v>
      </c>
      <c r="N39" s="3229" t="s">
        <v>3020</v>
      </c>
      <c r="O39" s="3229" t="s">
        <v>3021</v>
      </c>
      <c r="P39" s="3229" t="s">
        <v>3022</v>
      </c>
      <c r="Q39" s="3229" t="s">
        <v>3023</v>
      </c>
    </row>
    <row r="40" spans="1:17" ht="14.25" customHeight="1">
      <c r="A40" s="3229" t="s">
        <v>296</v>
      </c>
      <c r="B40" s="3230" t="s">
        <v>202</v>
      </c>
      <c r="C40" s="3229">
        <v>24740</v>
      </c>
      <c r="D40" s="3229">
        <v>24690</v>
      </c>
      <c r="E40" s="3229">
        <v>22610</v>
      </c>
      <c r="F40" s="3229"/>
      <c r="G40" s="3242">
        <v>17280</v>
      </c>
      <c r="M40" s="3229" t="s">
        <v>3024</v>
      </c>
      <c r="N40" s="3229" t="s">
        <v>3025</v>
      </c>
      <c r="O40" s="3229" t="s">
        <v>3026</v>
      </c>
      <c r="P40" s="3229" t="s">
        <v>3027</v>
      </c>
      <c r="Q40" s="3229" t="s">
        <v>3028</v>
      </c>
    </row>
    <row r="41" spans="1:17" ht="14.25" customHeight="1" thickBot="1">
      <c r="A41" s="3229" t="s">
        <v>296</v>
      </c>
      <c r="B41" s="3230" t="s">
        <v>209</v>
      </c>
      <c r="C41" s="3229">
        <v>21220</v>
      </c>
      <c r="D41" s="3229">
        <v>21120</v>
      </c>
      <c r="E41" s="3229">
        <v>22590</v>
      </c>
      <c r="F41" s="3229"/>
      <c r="G41" s="3242">
        <v>14780</v>
      </c>
      <c r="M41" s="3236" t="s">
        <v>3029</v>
      </c>
      <c r="N41" s="3229" t="s">
        <v>3030</v>
      </c>
      <c r="O41" s="3229" t="s">
        <v>3031</v>
      </c>
      <c r="P41" s="3229" t="s">
        <v>3032</v>
      </c>
      <c r="Q41" s="3229" t="s">
        <v>3033</v>
      </c>
    </row>
    <row r="42" spans="1:17" ht="14.25" customHeight="1">
      <c r="A42" s="3229" t="s">
        <v>296</v>
      </c>
      <c r="B42" s="3230" t="s">
        <v>215</v>
      </c>
      <c r="C42" s="3229">
        <v>24800</v>
      </c>
      <c r="D42" s="3229">
        <v>22280</v>
      </c>
      <c r="E42" s="3229">
        <v>24350</v>
      </c>
      <c r="F42" s="3229"/>
      <c r="G42" s="3242">
        <v>15590</v>
      </c>
      <c r="N42" s="3229" t="s">
        <v>3034</v>
      </c>
      <c r="O42" s="3229" t="s">
        <v>3035</v>
      </c>
      <c r="P42" s="3229" t="s">
        <v>3036</v>
      </c>
      <c r="Q42" s="3229" t="s">
        <v>3037</v>
      </c>
    </row>
    <row r="43" spans="1:17" ht="14.25" customHeight="1">
      <c r="A43" s="3229" t="s">
        <v>3038</v>
      </c>
      <c r="B43" s="3230" t="s">
        <v>223</v>
      </c>
      <c r="C43" s="3229">
        <v>21210</v>
      </c>
      <c r="D43" s="3229">
        <v>21160</v>
      </c>
      <c r="E43" s="3229">
        <v>22650</v>
      </c>
      <c r="F43" s="3229"/>
      <c r="G43" s="3242">
        <v>14800</v>
      </c>
      <c r="N43" s="3229" t="s">
        <v>3039</v>
      </c>
      <c r="O43" s="3229" t="s">
        <v>3040</v>
      </c>
      <c r="P43" s="3229" t="s">
        <v>3041</v>
      </c>
      <c r="Q43" s="3229" t="s">
        <v>3042</v>
      </c>
    </row>
    <row r="44" spans="1:17" ht="14.25" customHeight="1" thickBot="1">
      <c r="A44" s="3229" t="s">
        <v>296</v>
      </c>
      <c r="B44" s="3230" t="s">
        <v>231</v>
      </c>
      <c r="C44" s="3229">
        <v>22370</v>
      </c>
      <c r="D44" s="3229">
        <v>23140</v>
      </c>
      <c r="E44" s="3229">
        <v>25090</v>
      </c>
      <c r="F44" s="3229"/>
      <c r="G44" s="3242">
        <v>16190</v>
      </c>
      <c r="N44" s="3229" t="s">
        <v>3043</v>
      </c>
      <c r="O44" s="3229" t="s">
        <v>3044</v>
      </c>
      <c r="P44" s="3236" t="s">
        <v>3045</v>
      </c>
      <c r="Q44" s="3229" t="s">
        <v>3046</v>
      </c>
    </row>
    <row r="45" spans="1:17" ht="14.25" customHeight="1" thickBot="1">
      <c r="A45" s="3229" t="s">
        <v>296</v>
      </c>
      <c r="B45" s="3230" t="s">
        <v>236</v>
      </c>
      <c r="C45" s="3229">
        <v>21240</v>
      </c>
      <c r="D45" s="3229">
        <v>27050</v>
      </c>
      <c r="E45" s="3229">
        <v>28000</v>
      </c>
      <c r="F45" s="3229"/>
      <c r="G45" s="3242">
        <v>18940</v>
      </c>
      <c r="N45" s="3229" t="s">
        <v>3047</v>
      </c>
      <c r="O45" s="3236" t="s">
        <v>3048</v>
      </c>
      <c r="Q45" s="3229" t="s">
        <v>3049</v>
      </c>
    </row>
    <row r="46" spans="1:17" ht="14.25" customHeight="1">
      <c r="A46" s="3229" t="s">
        <v>296</v>
      </c>
      <c r="B46" s="3230" t="s">
        <v>245</v>
      </c>
      <c r="C46" s="3229">
        <v>23240</v>
      </c>
      <c r="D46" s="3229">
        <v>23000</v>
      </c>
      <c r="E46" s="3229">
        <v>24980</v>
      </c>
      <c r="F46" s="3229"/>
      <c r="G46" s="3242">
        <v>16100</v>
      </c>
      <c r="N46" s="3229" t="s">
        <v>3050</v>
      </c>
      <c r="Q46" s="3229" t="s">
        <v>3051</v>
      </c>
    </row>
    <row r="47" spans="1:17" ht="14.25" customHeight="1">
      <c r="A47" s="3229" t="s">
        <v>296</v>
      </c>
      <c r="B47" s="3230" t="s">
        <v>252</v>
      </c>
      <c r="C47" s="3229">
        <v>27150</v>
      </c>
      <c r="D47" s="3229">
        <v>23310</v>
      </c>
      <c r="E47" s="3229">
        <v>25150</v>
      </c>
      <c r="F47" s="3229"/>
      <c r="G47" s="3242">
        <v>16310</v>
      </c>
      <c r="N47" s="3229" t="s">
        <v>3052</v>
      </c>
      <c r="Q47" s="3229" t="s">
        <v>3053</v>
      </c>
    </row>
    <row r="48" spans="1:17" ht="14.25" customHeight="1">
      <c r="A48" s="3229" t="s">
        <v>296</v>
      </c>
      <c r="B48" s="3230" t="s">
        <v>260</v>
      </c>
      <c r="C48" s="3229">
        <v>23100</v>
      </c>
      <c r="D48" s="3229">
        <v>21110</v>
      </c>
      <c r="E48" s="3229">
        <v>23080</v>
      </c>
      <c r="F48" s="3229"/>
      <c r="G48" s="3242">
        <v>14780</v>
      </c>
      <c r="N48" s="3229" t="s">
        <v>3054</v>
      </c>
      <c r="Q48" s="3229" t="s">
        <v>3055</v>
      </c>
    </row>
    <row r="49" spans="1:17" ht="14.25" customHeight="1">
      <c r="A49" s="3229" t="s">
        <v>296</v>
      </c>
      <c r="B49" s="3230" t="s">
        <v>267</v>
      </c>
      <c r="C49" s="3229">
        <v>23400</v>
      </c>
      <c r="D49" s="3229">
        <v>22920</v>
      </c>
      <c r="E49" s="3229">
        <v>24900</v>
      </c>
      <c r="F49" s="3229"/>
      <c r="G49" s="3242">
        <v>16040</v>
      </c>
      <c r="N49" s="3229" t="s">
        <v>3056</v>
      </c>
      <c r="Q49" s="3229" t="s">
        <v>3057</v>
      </c>
    </row>
    <row r="50" spans="1:17" ht="14.25" customHeight="1">
      <c r="A50" s="3229" t="s">
        <v>296</v>
      </c>
      <c r="B50" s="3230" t="s">
        <v>2934</v>
      </c>
      <c r="C50" s="3229">
        <v>21200</v>
      </c>
      <c r="D50" s="3229">
        <v>26540</v>
      </c>
      <c r="E50" s="3229">
        <v>23200</v>
      </c>
      <c r="F50" s="3229"/>
      <c r="G50" s="3242">
        <v>18580</v>
      </c>
      <c r="N50" s="3229" t="s">
        <v>3058</v>
      </c>
      <c r="Q50" s="3230" t="s">
        <v>3059</v>
      </c>
    </row>
    <row r="51" spans="1:17" ht="14.25" customHeight="1" thickBot="1">
      <c r="A51" s="3229" t="s">
        <v>296</v>
      </c>
      <c r="B51" s="3230" t="s">
        <v>2936</v>
      </c>
      <c r="C51" s="3229">
        <v>23000</v>
      </c>
      <c r="D51" s="3229">
        <v>23460</v>
      </c>
      <c r="E51" s="3229">
        <v>25290</v>
      </c>
      <c r="F51" s="3229"/>
      <c r="G51" s="3242">
        <v>16420</v>
      </c>
      <c r="N51" s="3229" t="s">
        <v>3060</v>
      </c>
      <c r="Q51" s="3236" t="s">
        <v>3061</v>
      </c>
    </row>
    <row r="52" spans="1:17" ht="14.25" customHeight="1">
      <c r="A52" s="3229" t="s">
        <v>296</v>
      </c>
      <c r="B52" s="3230" t="s">
        <v>2940</v>
      </c>
      <c r="C52" s="3229">
        <v>26660</v>
      </c>
      <c r="D52" s="3229">
        <v>22350</v>
      </c>
      <c r="E52" s="3229">
        <v>22920</v>
      </c>
      <c r="F52" s="3229"/>
      <c r="G52" s="3242">
        <v>15640</v>
      </c>
      <c r="N52" s="3229" t="s">
        <v>3062</v>
      </c>
    </row>
    <row r="53" spans="1:17" ht="14.25" customHeight="1">
      <c r="A53" s="3229" t="s">
        <v>296</v>
      </c>
      <c r="B53" s="3230" t="s">
        <v>2945</v>
      </c>
      <c r="C53" s="3229">
        <v>23580</v>
      </c>
      <c r="D53" s="3229"/>
      <c r="E53" s="3229">
        <v>24280</v>
      </c>
      <c r="F53" s="3229"/>
      <c r="G53" s="3242"/>
      <c r="N53" s="3229" t="s">
        <v>3063</v>
      </c>
    </row>
    <row r="54" spans="1:17" ht="14.25" customHeight="1" thickBot="1">
      <c r="A54" s="3243" t="s">
        <v>296</v>
      </c>
      <c r="B54" s="3235" t="s">
        <v>2948</v>
      </c>
      <c r="C54" s="3236">
        <v>22460</v>
      </c>
      <c r="D54" s="3236"/>
      <c r="E54" s="3236"/>
      <c r="F54" s="3236"/>
      <c r="G54" s="3244"/>
      <c r="N54" s="3229" t="s">
        <v>3064</v>
      </c>
    </row>
    <row r="55" spans="1:17" ht="14.25" customHeight="1">
      <c r="A55" s="3234" t="s">
        <v>110</v>
      </c>
      <c r="B55" s="3225" t="s">
        <v>3065</v>
      </c>
      <c r="C55" s="3229">
        <v>21970</v>
      </c>
      <c r="D55" s="3229">
        <v>20370</v>
      </c>
      <c r="E55" s="3229">
        <v>20180</v>
      </c>
      <c r="F55" s="3229">
        <v>5730</v>
      </c>
      <c r="G55" s="3229">
        <v>13820</v>
      </c>
      <c r="N55" s="3229" t="s">
        <v>3066</v>
      </c>
    </row>
    <row r="56" spans="1:17" ht="14.25" customHeight="1">
      <c r="A56" s="3229" t="s">
        <v>110</v>
      </c>
      <c r="B56" s="3229" t="s">
        <v>130</v>
      </c>
      <c r="C56" s="3229">
        <v>20470</v>
      </c>
      <c r="D56" s="3229">
        <v>20700</v>
      </c>
      <c r="E56" s="3229">
        <v>20380</v>
      </c>
      <c r="F56" s="3229">
        <v>4760</v>
      </c>
      <c r="G56" s="3229">
        <v>14050</v>
      </c>
      <c r="N56" s="3229" t="s">
        <v>3067</v>
      </c>
    </row>
    <row r="57" spans="1:17" ht="14.25" customHeight="1">
      <c r="A57" s="3229" t="s">
        <v>110</v>
      </c>
      <c r="B57" s="3229" t="s">
        <v>139</v>
      </c>
      <c r="C57" s="3229">
        <v>20790</v>
      </c>
      <c r="D57" s="3229">
        <v>21370</v>
      </c>
      <c r="E57" s="3229">
        <v>20890</v>
      </c>
      <c r="F57" s="3229">
        <v>4910</v>
      </c>
      <c r="G57" s="3229">
        <v>14510</v>
      </c>
      <c r="N57" s="3229" t="s">
        <v>3068</v>
      </c>
    </row>
    <row r="58" spans="1:17" ht="14.25" customHeight="1">
      <c r="A58" s="3229" t="s">
        <v>110</v>
      </c>
      <c r="B58" s="3229" t="s">
        <v>148</v>
      </c>
      <c r="C58" s="3229">
        <v>21460</v>
      </c>
      <c r="D58" s="3229">
        <v>20920</v>
      </c>
      <c r="E58" s="3229">
        <v>23410</v>
      </c>
      <c r="F58" s="3229">
        <v>5100</v>
      </c>
      <c r="G58" s="3229">
        <v>14200</v>
      </c>
      <c r="N58" s="3229" t="s">
        <v>3069</v>
      </c>
    </row>
    <row r="59" spans="1:17" ht="14.25" customHeight="1">
      <c r="A59" s="3229" t="s">
        <v>110</v>
      </c>
      <c r="B59" s="3229" t="s">
        <v>157</v>
      </c>
      <c r="C59" s="3229">
        <v>21000</v>
      </c>
      <c r="D59" s="3229">
        <v>21550</v>
      </c>
      <c r="E59" s="3229">
        <v>21150</v>
      </c>
      <c r="F59" s="3229">
        <v>5250</v>
      </c>
      <c r="G59" s="3229">
        <v>14630</v>
      </c>
      <c r="N59" s="3229" t="s">
        <v>3070</v>
      </c>
    </row>
    <row r="60" spans="1:17" ht="14.25" customHeight="1">
      <c r="A60" s="3229" t="s">
        <v>110</v>
      </c>
      <c r="B60" s="3229" t="s">
        <v>164</v>
      </c>
      <c r="C60" s="3229">
        <v>21640</v>
      </c>
      <c r="D60" s="3229">
        <v>21260</v>
      </c>
      <c r="E60" s="3229">
        <v>24040</v>
      </c>
      <c r="F60" s="3229">
        <v>4470</v>
      </c>
      <c r="G60" s="3229">
        <v>14430</v>
      </c>
      <c r="N60" s="3229" t="s">
        <v>3071</v>
      </c>
    </row>
    <row r="61" spans="1:17" ht="14.25" customHeight="1">
      <c r="A61" s="3229" t="s">
        <v>110</v>
      </c>
      <c r="B61" s="3229" t="s">
        <v>170</v>
      </c>
      <c r="C61" s="3229">
        <v>21330</v>
      </c>
      <c r="D61" s="3229">
        <v>18640</v>
      </c>
      <c r="E61" s="3229">
        <v>21190</v>
      </c>
      <c r="F61" s="3229">
        <v>4180</v>
      </c>
      <c r="G61" s="3229">
        <v>12650</v>
      </c>
      <c r="N61" s="3229" t="s">
        <v>3072</v>
      </c>
    </row>
    <row r="62" spans="1:17" ht="14.25" customHeight="1">
      <c r="A62" s="3229" t="s">
        <v>110</v>
      </c>
      <c r="B62" s="3229" t="s">
        <v>177</v>
      </c>
      <c r="C62" s="3229">
        <v>18710</v>
      </c>
      <c r="D62" s="3229">
        <v>19400</v>
      </c>
      <c r="E62" s="3229">
        <v>23750</v>
      </c>
      <c r="F62" s="3229">
        <v>4860</v>
      </c>
      <c r="G62" s="3229">
        <v>13170</v>
      </c>
      <c r="N62" s="3229" t="s">
        <v>3073</v>
      </c>
    </row>
    <row r="63" spans="1:17" ht="14.25" customHeight="1">
      <c r="A63" s="3229" t="s">
        <v>110</v>
      </c>
      <c r="B63" s="3229" t="s">
        <v>187</v>
      </c>
      <c r="C63" s="3229">
        <v>19480</v>
      </c>
      <c r="D63" s="3229">
        <v>16830</v>
      </c>
      <c r="E63" s="3229">
        <v>21590</v>
      </c>
      <c r="F63" s="3229">
        <v>4560</v>
      </c>
      <c r="G63" s="3229">
        <v>11420</v>
      </c>
      <c r="N63" s="3229" t="s">
        <v>3074</v>
      </c>
    </row>
    <row r="64" spans="1:17" ht="14.25" customHeight="1" thickBot="1">
      <c r="A64" s="3229" t="s">
        <v>110</v>
      </c>
      <c r="B64" s="3229" t="s">
        <v>196</v>
      </c>
      <c r="C64" s="3229">
        <v>16920</v>
      </c>
      <c r="D64" s="3229">
        <v>19190</v>
      </c>
      <c r="E64" s="3229">
        <v>22200</v>
      </c>
      <c r="F64" s="3229">
        <v>4390</v>
      </c>
      <c r="G64" s="3229">
        <v>13030</v>
      </c>
      <c r="N64" s="3236" t="s">
        <v>3075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2946</v>
      </c>
      <c r="C78" s="3229">
        <v>19820</v>
      </c>
      <c r="D78" s="3229">
        <v>19780</v>
      </c>
      <c r="E78" s="3229">
        <v>18560</v>
      </c>
      <c r="F78" s="3229"/>
      <c r="G78" s="3229">
        <v>13430</v>
      </c>
    </row>
    <row r="79" spans="1:7" s="3218" customFormat="1" ht="14.25" customHeight="1">
      <c r="A79" s="3229" t="s">
        <v>110</v>
      </c>
      <c r="B79" s="3229" t="s">
        <v>2949</v>
      </c>
      <c r="C79" s="3229">
        <v>21660</v>
      </c>
      <c r="D79" s="3229">
        <v>18000</v>
      </c>
      <c r="E79" s="3229">
        <v>22570</v>
      </c>
      <c r="F79" s="3229"/>
      <c r="G79" s="3229">
        <v>12220</v>
      </c>
    </row>
    <row r="80" spans="1:7" s="3218" customFormat="1" ht="14.25" customHeight="1">
      <c r="A80" s="3229" t="s">
        <v>110</v>
      </c>
      <c r="B80" s="3229" t="s">
        <v>2953</v>
      </c>
      <c r="C80" s="3229">
        <v>19850</v>
      </c>
      <c r="D80" s="3229"/>
      <c r="E80" s="3229">
        <v>21700</v>
      </c>
      <c r="F80" s="3229"/>
      <c r="G80" s="3229"/>
    </row>
    <row r="81" spans="1:7" s="3218" customFormat="1" ht="14.25" customHeight="1">
      <c r="A81" s="3229" t="s">
        <v>110</v>
      </c>
      <c r="B81" s="3229" t="s">
        <v>2958</v>
      </c>
      <c r="C81" s="3229">
        <v>18080</v>
      </c>
      <c r="D81" s="3229"/>
      <c r="E81" s="3229">
        <v>20900</v>
      </c>
      <c r="F81" s="3229"/>
      <c r="G81" s="3229"/>
    </row>
    <row r="82" spans="1:7" s="3218" customFormat="1" ht="14.25" customHeight="1">
      <c r="A82" s="3229" t="s">
        <v>110</v>
      </c>
      <c r="B82" s="3229" t="s">
        <v>2965</v>
      </c>
      <c r="C82" s="3229"/>
      <c r="D82" s="3229"/>
      <c r="E82" s="3229">
        <v>20840</v>
      </c>
      <c r="F82" s="3229"/>
      <c r="G82" s="3229"/>
    </row>
    <row r="83" spans="1:7" s="3218" customFormat="1" ht="14.25" customHeight="1">
      <c r="A83" s="3229" t="s">
        <v>110</v>
      </c>
      <c r="B83" s="3229" t="s">
        <v>3076</v>
      </c>
      <c r="C83" s="3229"/>
      <c r="D83" s="3229"/>
      <c r="E83" s="3229"/>
      <c r="F83" s="3229">
        <v>4770</v>
      </c>
      <c r="G83" s="3229"/>
    </row>
    <row r="84" spans="1:7" s="3218" customFormat="1" ht="14.25" customHeight="1">
      <c r="A84" s="3229" t="s">
        <v>110</v>
      </c>
      <c r="B84" s="3229" t="s">
        <v>3077</v>
      </c>
      <c r="C84" s="3229"/>
      <c r="D84" s="3229"/>
      <c r="E84" s="3229"/>
      <c r="F84" s="3229">
        <v>4600</v>
      </c>
      <c r="G84" s="3229"/>
    </row>
    <row r="85" spans="1:7" s="3218" customFormat="1" ht="14.25" customHeight="1">
      <c r="A85" s="3229" t="s">
        <v>110</v>
      </c>
      <c r="B85" s="3229" t="s">
        <v>3078</v>
      </c>
      <c r="C85" s="3229"/>
      <c r="D85" s="3229"/>
      <c r="E85" s="3229"/>
      <c r="F85" s="3229">
        <v>4680</v>
      </c>
      <c r="G85" s="3229"/>
    </row>
    <row r="86" spans="1:7" s="3218" customFormat="1" ht="14.25" customHeight="1" thickBot="1">
      <c r="A86" s="3237" t="s">
        <v>110</v>
      </c>
      <c r="B86" s="3239" t="s">
        <v>3079</v>
      </c>
      <c r="C86" s="3240">
        <v>16610</v>
      </c>
      <c r="D86" s="3240">
        <v>16540</v>
      </c>
      <c r="E86" s="3240">
        <v>18850</v>
      </c>
      <c r="F86" s="3240"/>
      <c r="G86" s="3240">
        <v>11220</v>
      </c>
    </row>
    <row r="87" spans="1:7" s="3218" customFormat="1" ht="14.25" customHeight="1">
      <c r="A87" s="3234" t="s">
        <v>303</v>
      </c>
      <c r="B87" s="3225" t="s">
        <v>3080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2959</v>
      </c>
      <c r="C113" s="3229">
        <v>15520</v>
      </c>
      <c r="D113" s="3229">
        <v>15450</v>
      </c>
      <c r="E113" s="3229"/>
      <c r="F113" s="3229"/>
      <c r="G113" s="3242">
        <v>10210</v>
      </c>
    </row>
    <row r="114" spans="1:7" s="3218" customFormat="1" ht="14.25" customHeight="1">
      <c r="A114" s="3229" t="s">
        <v>303</v>
      </c>
      <c r="B114" s="3229" t="s">
        <v>2966</v>
      </c>
      <c r="C114" s="3229">
        <v>13110</v>
      </c>
      <c r="D114" s="3229">
        <v>13050</v>
      </c>
      <c r="E114" s="3229"/>
      <c r="F114" s="3229"/>
      <c r="G114" s="3242">
        <v>8620</v>
      </c>
    </row>
    <row r="115" spans="1:7" s="3218" customFormat="1" ht="14.25" customHeight="1">
      <c r="A115" s="3229" t="s">
        <v>303</v>
      </c>
      <c r="B115" s="3229" t="s">
        <v>2972</v>
      </c>
      <c r="C115" s="3229">
        <v>12460</v>
      </c>
      <c r="D115" s="3229">
        <v>12390</v>
      </c>
      <c r="E115" s="3229"/>
      <c r="F115" s="3229"/>
      <c r="G115" s="3242">
        <v>8190</v>
      </c>
    </row>
    <row r="116" spans="1:7" s="3218" customFormat="1" ht="14.25" customHeight="1">
      <c r="A116" s="3229" t="s">
        <v>303</v>
      </c>
      <c r="B116" s="3229" t="s">
        <v>2979</v>
      </c>
      <c r="C116" s="3229">
        <v>13580</v>
      </c>
      <c r="D116" s="3229">
        <v>13520</v>
      </c>
      <c r="E116" s="3229"/>
      <c r="F116" s="3229"/>
      <c r="G116" s="3242">
        <v>8930</v>
      </c>
    </row>
    <row r="117" spans="1:7" s="3218" customFormat="1" ht="14.25" customHeight="1">
      <c r="A117" s="3229" t="s">
        <v>303</v>
      </c>
      <c r="B117" s="3229" t="s">
        <v>2986</v>
      </c>
      <c r="C117" s="3229">
        <v>17120</v>
      </c>
      <c r="D117" s="3229">
        <v>17040</v>
      </c>
      <c r="E117" s="3229"/>
      <c r="F117" s="3229"/>
      <c r="G117" s="3242">
        <v>11260</v>
      </c>
    </row>
    <row r="118" spans="1:7" s="3218" customFormat="1" ht="14.25" customHeight="1">
      <c r="A118" s="3229" t="s">
        <v>303</v>
      </c>
      <c r="B118" s="3229" t="s">
        <v>2991</v>
      </c>
      <c r="C118" s="3229">
        <v>14860</v>
      </c>
      <c r="D118" s="3229">
        <v>14790</v>
      </c>
      <c r="E118" s="3229"/>
      <c r="F118" s="3229"/>
      <c r="G118" s="3242">
        <v>9780</v>
      </c>
    </row>
    <row r="119" spans="1:7" s="3218" customFormat="1" ht="14.25" customHeight="1">
      <c r="A119" s="3229" t="s">
        <v>303</v>
      </c>
      <c r="B119" s="3229" t="s">
        <v>2995</v>
      </c>
      <c r="C119" s="3229">
        <v>16470</v>
      </c>
      <c r="D119" s="3229">
        <v>16400</v>
      </c>
      <c r="E119" s="3229"/>
      <c r="F119" s="3229"/>
      <c r="G119" s="3242">
        <v>10840</v>
      </c>
    </row>
    <row r="120" spans="1:7" s="3218" customFormat="1" ht="14.25" customHeight="1">
      <c r="A120" s="3229" t="s">
        <v>303</v>
      </c>
      <c r="B120" s="3229" t="s">
        <v>3081</v>
      </c>
      <c r="C120" s="3229"/>
      <c r="D120" s="3229"/>
      <c r="E120" s="3229"/>
      <c r="F120" s="3229">
        <v>4160</v>
      </c>
      <c r="G120" s="3242"/>
    </row>
    <row r="121" spans="1:7" s="3218" customFormat="1" ht="14.25" customHeight="1">
      <c r="A121" s="3229" t="s">
        <v>303</v>
      </c>
      <c r="B121" s="3229" t="s">
        <v>3082</v>
      </c>
      <c r="C121" s="3229"/>
      <c r="D121" s="3229"/>
      <c r="E121" s="3229"/>
      <c r="F121" s="3229">
        <v>3880</v>
      </c>
      <c r="G121" s="3242"/>
    </row>
    <row r="122" spans="1:7" s="3218" customFormat="1" ht="14.25" customHeight="1">
      <c r="A122" s="3229" t="s">
        <v>303</v>
      </c>
      <c r="B122" s="3229" t="s">
        <v>3083</v>
      </c>
      <c r="C122" s="3229">
        <v>13750</v>
      </c>
      <c r="D122" s="3229">
        <v>13680</v>
      </c>
      <c r="E122" s="3229">
        <v>16460</v>
      </c>
      <c r="F122" s="3229">
        <v>2880</v>
      </c>
      <c r="G122" s="3242">
        <v>9040</v>
      </c>
    </row>
    <row r="123" spans="1:7" s="3218" customFormat="1" ht="14.25" customHeight="1">
      <c r="A123" s="3229" t="s">
        <v>303</v>
      </c>
      <c r="B123" s="3229" t="s">
        <v>3014</v>
      </c>
      <c r="C123" s="3229">
        <v>13590</v>
      </c>
      <c r="D123" s="3229">
        <v>13520</v>
      </c>
      <c r="E123" s="3229">
        <v>16290</v>
      </c>
      <c r="F123" s="3229">
        <v>2790</v>
      </c>
      <c r="G123" s="3242">
        <v>8930</v>
      </c>
    </row>
    <row r="124" spans="1:7" s="3218" customFormat="1" ht="14.25" customHeight="1">
      <c r="A124" s="3229" t="s">
        <v>303</v>
      </c>
      <c r="B124" s="3229" t="s">
        <v>3019</v>
      </c>
      <c r="C124" s="3229">
        <v>13400</v>
      </c>
      <c r="D124" s="3229">
        <v>13320</v>
      </c>
      <c r="E124" s="3229">
        <v>16100</v>
      </c>
      <c r="F124" s="3229">
        <v>2320</v>
      </c>
      <c r="G124" s="3242">
        <v>8800</v>
      </c>
    </row>
    <row r="125" spans="1:7" s="3218" customFormat="1" ht="14.25" customHeight="1">
      <c r="A125" s="3229" t="s">
        <v>303</v>
      </c>
      <c r="B125" s="3229" t="s">
        <v>3024</v>
      </c>
      <c r="C125" s="3229">
        <v>12860</v>
      </c>
      <c r="D125" s="3229">
        <v>12790</v>
      </c>
      <c r="E125" s="3229">
        <v>15370</v>
      </c>
      <c r="F125" s="3229">
        <v>2280</v>
      </c>
      <c r="G125" s="3242">
        <v>8450</v>
      </c>
    </row>
    <row r="126" spans="1:7" s="3218" customFormat="1" ht="14.25" customHeight="1" thickBot="1">
      <c r="A126" s="3243" t="s">
        <v>303</v>
      </c>
      <c r="B126" s="3236" t="s">
        <v>3029</v>
      </c>
      <c r="C126" s="3236">
        <v>12960</v>
      </c>
      <c r="D126" s="3236">
        <v>12890</v>
      </c>
      <c r="E126" s="3236">
        <v>15530</v>
      </c>
      <c r="F126" s="3236">
        <v>2910</v>
      </c>
      <c r="G126" s="3244">
        <v>8520</v>
      </c>
    </row>
    <row r="127" spans="1:7" s="3218" customFormat="1" ht="14.25" customHeight="1">
      <c r="A127" s="3234" t="s">
        <v>29</v>
      </c>
      <c r="B127" s="3225" t="s">
        <v>3084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3085</v>
      </c>
      <c r="C148" s="3229">
        <v>10370</v>
      </c>
      <c r="D148" s="3229">
        <v>10310</v>
      </c>
      <c r="E148" s="3229">
        <v>12970</v>
      </c>
      <c r="F148" s="3229"/>
      <c r="G148" s="3229">
        <v>6630</v>
      </c>
    </row>
    <row r="149" spans="1:7" s="3218" customFormat="1" ht="14.25" customHeight="1">
      <c r="A149" s="3229" t="s">
        <v>29</v>
      </c>
      <c r="B149" s="3229" t="s">
        <v>3086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2960</v>
      </c>
      <c r="C153" s="3229">
        <v>10880</v>
      </c>
      <c r="D153" s="3229">
        <v>10820</v>
      </c>
      <c r="E153" s="3229">
        <v>13660</v>
      </c>
      <c r="F153" s="3229">
        <v>2260</v>
      </c>
      <c r="G153" s="3229">
        <v>6970</v>
      </c>
    </row>
    <row r="154" spans="1:7" s="3218" customFormat="1" ht="14.25" customHeight="1">
      <c r="A154" s="3229" t="s">
        <v>29</v>
      </c>
      <c r="B154" s="3229" t="s">
        <v>3087</v>
      </c>
      <c r="C154" s="3229">
        <v>11220</v>
      </c>
      <c r="D154" s="3229">
        <v>11160</v>
      </c>
      <c r="E154" s="3229">
        <v>14130</v>
      </c>
      <c r="F154" s="3229">
        <v>2230</v>
      </c>
      <c r="G154" s="3229">
        <v>7180</v>
      </c>
    </row>
    <row r="155" spans="1:7" s="3218" customFormat="1" ht="14.25" customHeight="1">
      <c r="A155" s="3229" t="s">
        <v>29</v>
      </c>
      <c r="B155" s="3229" t="s">
        <v>2973</v>
      </c>
      <c r="C155" s="3229">
        <v>10430</v>
      </c>
      <c r="D155" s="3229">
        <v>10380</v>
      </c>
      <c r="E155" s="3229">
        <v>13140</v>
      </c>
      <c r="F155" s="3229">
        <v>2080</v>
      </c>
      <c r="G155" s="3229">
        <v>6650</v>
      </c>
    </row>
    <row r="156" spans="1:7" s="3218" customFormat="1" ht="14.25" customHeight="1">
      <c r="A156" s="3229" t="s">
        <v>29</v>
      </c>
      <c r="B156" s="3229" t="s">
        <v>3088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3089</v>
      </c>
      <c r="C160" s="3229">
        <v>11180</v>
      </c>
      <c r="D160" s="3229">
        <v>11140</v>
      </c>
      <c r="E160" s="3229">
        <v>14050</v>
      </c>
      <c r="F160" s="3229">
        <v>2270</v>
      </c>
      <c r="G160" s="3229">
        <v>7170</v>
      </c>
    </row>
    <row r="161" spans="1:7" s="3218" customFormat="1" ht="14.25" customHeight="1">
      <c r="A161" s="3229" t="s">
        <v>29</v>
      </c>
      <c r="B161" s="3229" t="s">
        <v>3005</v>
      </c>
      <c r="C161" s="3229">
        <v>11160</v>
      </c>
      <c r="D161" s="3229">
        <v>11120</v>
      </c>
      <c r="E161" s="3229">
        <v>14020</v>
      </c>
      <c r="F161" s="3229">
        <v>2150</v>
      </c>
      <c r="G161" s="3229">
        <v>7160</v>
      </c>
    </row>
    <row r="162" spans="1:7" s="3218" customFormat="1" ht="14.25" customHeight="1">
      <c r="A162" s="3229" t="s">
        <v>29</v>
      </c>
      <c r="B162" s="3229" t="s">
        <v>3010</v>
      </c>
      <c r="C162" s="3229">
        <v>9620</v>
      </c>
      <c r="D162" s="3229">
        <v>9570</v>
      </c>
      <c r="E162" s="3229">
        <v>12320</v>
      </c>
      <c r="F162" s="3229">
        <v>2010</v>
      </c>
      <c r="G162" s="3229">
        <v>6160</v>
      </c>
    </row>
    <row r="163" spans="1:7" s="3218" customFormat="1" ht="14.25" customHeight="1">
      <c r="A163" s="3229" t="s">
        <v>29</v>
      </c>
      <c r="B163" s="3229" t="s">
        <v>3015</v>
      </c>
      <c r="C163" s="3229">
        <v>9320</v>
      </c>
      <c r="D163" s="3229">
        <v>9270</v>
      </c>
      <c r="E163" s="3229">
        <v>11790</v>
      </c>
      <c r="F163" s="3229">
        <v>1920</v>
      </c>
      <c r="G163" s="3229">
        <v>5960</v>
      </c>
    </row>
    <row r="164" spans="1:7" s="3218" customFormat="1" ht="14.25" customHeight="1">
      <c r="A164" s="3229" t="s">
        <v>29</v>
      </c>
      <c r="B164" s="3229" t="s">
        <v>3020</v>
      </c>
      <c r="C164" s="3229"/>
      <c r="D164" s="3229"/>
      <c r="E164" s="3229"/>
      <c r="F164" s="3229">
        <v>1980</v>
      </c>
      <c r="G164" s="3229"/>
    </row>
    <row r="165" spans="1:7" s="3218" customFormat="1" ht="14.25" customHeight="1">
      <c r="A165" s="3229" t="s">
        <v>29</v>
      </c>
      <c r="B165" s="3229" t="s">
        <v>3090</v>
      </c>
      <c r="C165" s="3229">
        <v>11060</v>
      </c>
      <c r="D165" s="3229">
        <v>11030</v>
      </c>
      <c r="E165" s="3229">
        <v>13850</v>
      </c>
      <c r="F165" s="3229">
        <v>2170</v>
      </c>
      <c r="G165" s="3229">
        <v>7090</v>
      </c>
    </row>
    <row r="166" spans="1:7" s="3218" customFormat="1" ht="14.25" customHeight="1">
      <c r="A166" s="3229" t="s">
        <v>29</v>
      </c>
      <c r="B166" s="3229" t="s">
        <v>3030</v>
      </c>
      <c r="C166" s="3229">
        <v>11050</v>
      </c>
      <c r="D166" s="3229">
        <v>11010</v>
      </c>
      <c r="E166" s="3229">
        <v>13920</v>
      </c>
      <c r="F166" s="3229">
        <v>2140</v>
      </c>
      <c r="G166" s="3229">
        <v>7080</v>
      </c>
    </row>
    <row r="167" spans="1:7" s="3218" customFormat="1" ht="14.25" customHeight="1">
      <c r="A167" s="3229" t="s">
        <v>29</v>
      </c>
      <c r="B167" s="3229" t="s">
        <v>3034</v>
      </c>
      <c r="C167" s="3229">
        <v>10930</v>
      </c>
      <c r="D167" s="3229">
        <v>10890</v>
      </c>
      <c r="E167" s="3229">
        <v>13790</v>
      </c>
      <c r="F167" s="3229">
        <v>2010</v>
      </c>
      <c r="G167" s="3229">
        <v>7000</v>
      </c>
    </row>
    <row r="168" spans="1:7" s="3218" customFormat="1" ht="14.25" customHeight="1">
      <c r="A168" s="3229" t="s">
        <v>29</v>
      </c>
      <c r="B168" s="3229" t="s">
        <v>3039</v>
      </c>
      <c r="C168" s="3229">
        <v>9420</v>
      </c>
      <c r="D168" s="3229">
        <v>9380</v>
      </c>
      <c r="E168" s="3229">
        <v>11970</v>
      </c>
      <c r="F168" s="3229"/>
      <c r="G168" s="3229">
        <v>6040</v>
      </c>
    </row>
    <row r="169" spans="1:7" s="3218" customFormat="1" ht="14.25" customHeight="1">
      <c r="A169" s="3229" t="s">
        <v>29</v>
      </c>
      <c r="B169" s="3229" t="s">
        <v>3091</v>
      </c>
      <c r="C169" s="3229"/>
      <c r="D169" s="3229"/>
      <c r="E169" s="3229"/>
      <c r="F169" s="3229">
        <v>2880</v>
      </c>
      <c r="G169" s="3229"/>
    </row>
    <row r="170" spans="1:7" s="3218" customFormat="1" ht="14.25" customHeight="1">
      <c r="A170" s="3229" t="s">
        <v>29</v>
      </c>
      <c r="B170" s="3229" t="s">
        <v>3047</v>
      </c>
      <c r="C170" s="3229"/>
      <c r="D170" s="3229"/>
      <c r="E170" s="3229"/>
      <c r="F170" s="3229">
        <v>2880</v>
      </c>
      <c r="G170" s="3229"/>
    </row>
    <row r="171" spans="1:7" s="3218" customFormat="1" ht="14.25" customHeight="1">
      <c r="A171" s="3229" t="s">
        <v>29</v>
      </c>
      <c r="B171" s="3229" t="s">
        <v>3050</v>
      </c>
      <c r="C171" s="3229"/>
      <c r="D171" s="3229"/>
      <c r="E171" s="3229"/>
      <c r="F171" s="3229">
        <v>2880</v>
      </c>
      <c r="G171" s="3229"/>
    </row>
    <row r="172" spans="1:7" s="3218" customFormat="1" ht="14.25" customHeight="1">
      <c r="A172" s="3229" t="s">
        <v>29</v>
      </c>
      <c r="B172" s="3229" t="s">
        <v>3052</v>
      </c>
      <c r="C172" s="3229"/>
      <c r="D172" s="3229"/>
      <c r="E172" s="3229"/>
      <c r="F172" s="3229">
        <v>2880</v>
      </c>
      <c r="G172" s="3229"/>
    </row>
    <row r="173" spans="1:7" s="3218" customFormat="1" ht="14.25" customHeight="1">
      <c r="A173" s="3229" t="s">
        <v>29</v>
      </c>
      <c r="B173" s="3229" t="s">
        <v>3054</v>
      </c>
      <c r="C173" s="3229"/>
      <c r="D173" s="3229"/>
      <c r="E173" s="3229"/>
      <c r="F173" s="3229">
        <v>2150</v>
      </c>
      <c r="G173" s="3229"/>
    </row>
    <row r="174" spans="1:7" s="3218" customFormat="1" ht="14.25" customHeight="1">
      <c r="A174" s="3229" t="s">
        <v>29</v>
      </c>
      <c r="B174" s="3229" t="s">
        <v>3056</v>
      </c>
      <c r="C174" s="3229"/>
      <c r="D174" s="3229"/>
      <c r="E174" s="3229"/>
      <c r="F174" s="3229">
        <v>2030</v>
      </c>
      <c r="G174" s="3229"/>
    </row>
    <row r="175" spans="1:7" s="3218" customFormat="1" ht="14.25" customHeight="1">
      <c r="A175" s="3229" t="s">
        <v>29</v>
      </c>
      <c r="B175" s="3229" t="s">
        <v>3058</v>
      </c>
      <c r="C175" s="3229"/>
      <c r="D175" s="3229"/>
      <c r="E175" s="3229"/>
      <c r="F175" s="3229">
        <v>2780</v>
      </c>
      <c r="G175" s="3229"/>
    </row>
    <row r="176" spans="1:7" s="3218" customFormat="1" ht="14.25" customHeight="1">
      <c r="A176" s="3229" t="s">
        <v>29</v>
      </c>
      <c r="B176" s="3229" t="s">
        <v>3060</v>
      </c>
      <c r="C176" s="3229"/>
      <c r="D176" s="3229"/>
      <c r="E176" s="3229"/>
      <c r="F176" s="3229">
        <v>2780</v>
      </c>
      <c r="G176" s="3229"/>
    </row>
    <row r="177" spans="1:7" s="3218" customFormat="1" ht="14.25" customHeight="1">
      <c r="A177" s="3229" t="s">
        <v>29</v>
      </c>
      <c r="B177" s="3229" t="s">
        <v>3092</v>
      </c>
      <c r="C177" s="3229"/>
      <c r="D177" s="3229"/>
      <c r="E177" s="3229"/>
      <c r="F177" s="3229">
        <v>2780</v>
      </c>
      <c r="G177" s="3229"/>
    </row>
    <row r="178" spans="1:7" s="3218" customFormat="1" ht="14.25" customHeight="1">
      <c r="A178" s="3229" t="s">
        <v>29</v>
      </c>
      <c r="B178" s="3229" t="s">
        <v>3093</v>
      </c>
      <c r="C178" s="3229"/>
      <c r="D178" s="3229"/>
      <c r="E178" s="3229"/>
      <c r="F178" s="3229">
        <v>2060</v>
      </c>
      <c r="G178" s="3229"/>
    </row>
    <row r="179" spans="1:7" s="3218" customFormat="1" ht="14.25" customHeight="1">
      <c r="A179" s="3229" t="s">
        <v>29</v>
      </c>
      <c r="B179" s="3229" t="s">
        <v>3094</v>
      </c>
      <c r="C179" s="3229"/>
      <c r="D179" s="3229"/>
      <c r="E179" s="3229"/>
      <c r="F179" s="3229">
        <v>2120</v>
      </c>
      <c r="G179" s="3229"/>
    </row>
    <row r="180" spans="1:7" s="3218" customFormat="1" ht="14.25" customHeight="1">
      <c r="A180" s="3229" t="s">
        <v>29</v>
      </c>
      <c r="B180" s="3229" t="s">
        <v>3066</v>
      </c>
      <c r="C180" s="3229"/>
      <c r="D180" s="3229"/>
      <c r="E180" s="3229"/>
      <c r="F180" s="3229">
        <v>2340</v>
      </c>
      <c r="G180" s="3229"/>
    </row>
    <row r="181" spans="1:7" s="3218" customFormat="1" ht="14.25" customHeight="1">
      <c r="A181" s="3229" t="s">
        <v>29</v>
      </c>
      <c r="B181" s="3229" t="s">
        <v>3067</v>
      </c>
      <c r="C181" s="3229"/>
      <c r="D181" s="3229"/>
      <c r="E181" s="3229"/>
      <c r="F181" s="3229">
        <v>2340</v>
      </c>
      <c r="G181" s="3229"/>
    </row>
    <row r="182" spans="1:7" s="3218" customFormat="1" ht="14.25" customHeight="1">
      <c r="A182" s="3229" t="s">
        <v>29</v>
      </c>
      <c r="B182" s="3229" t="s">
        <v>3068</v>
      </c>
      <c r="C182" s="3229"/>
      <c r="D182" s="3229"/>
      <c r="E182" s="3229"/>
      <c r="F182" s="3229">
        <v>2340</v>
      </c>
      <c r="G182" s="3229"/>
    </row>
    <row r="183" spans="1:7" s="3218" customFormat="1" ht="14.25" customHeight="1">
      <c r="A183" s="3229" t="s">
        <v>29</v>
      </c>
      <c r="B183" s="3229" t="s">
        <v>3069</v>
      </c>
      <c r="C183" s="3229"/>
      <c r="D183" s="3229"/>
      <c r="E183" s="3229"/>
      <c r="F183" s="3229">
        <v>2340</v>
      </c>
      <c r="G183" s="3229"/>
    </row>
    <row r="184" spans="1:7" s="3218" customFormat="1" ht="14.25" customHeight="1">
      <c r="A184" s="3229" t="s">
        <v>29</v>
      </c>
      <c r="B184" s="3229" t="s">
        <v>3070</v>
      </c>
      <c r="C184" s="3229"/>
      <c r="D184" s="3229"/>
      <c r="E184" s="3229"/>
      <c r="F184" s="3229">
        <v>2340</v>
      </c>
      <c r="G184" s="3229"/>
    </row>
    <row r="185" spans="1:7" s="3218" customFormat="1" ht="14.25" customHeight="1">
      <c r="A185" s="3229" t="s">
        <v>29</v>
      </c>
      <c r="B185" s="3229" t="s">
        <v>3071</v>
      </c>
      <c r="C185" s="3229"/>
      <c r="D185" s="3229"/>
      <c r="E185" s="3229"/>
      <c r="F185" s="3229">
        <v>2530</v>
      </c>
      <c r="G185" s="3229"/>
    </row>
    <row r="186" spans="1:7" s="3218" customFormat="1" ht="14.25" customHeight="1">
      <c r="A186" s="3229" t="s">
        <v>29</v>
      </c>
      <c r="B186" s="3229" t="s">
        <v>3072</v>
      </c>
      <c r="C186" s="3229"/>
      <c r="D186" s="3229"/>
      <c r="E186" s="3229"/>
      <c r="F186" s="3229">
        <v>2550</v>
      </c>
      <c r="G186" s="3229"/>
    </row>
    <row r="187" spans="1:7" s="3218" customFormat="1" ht="14.25" customHeight="1">
      <c r="A187" s="3229" t="s">
        <v>29</v>
      </c>
      <c r="B187" s="3229" t="s">
        <v>3073</v>
      </c>
      <c r="C187" s="3229"/>
      <c r="D187" s="3229"/>
      <c r="E187" s="3229"/>
      <c r="F187" s="3229">
        <v>2070</v>
      </c>
      <c r="G187" s="3229"/>
    </row>
    <row r="188" spans="1:7" s="3218" customFormat="1" ht="14.25" customHeight="1">
      <c r="A188" s="3229" t="s">
        <v>29</v>
      </c>
      <c r="B188" s="3229" t="s">
        <v>3074</v>
      </c>
      <c r="C188" s="3229"/>
      <c r="D188" s="3229"/>
      <c r="E188" s="3229"/>
      <c r="F188" s="3229">
        <v>2340</v>
      </c>
      <c r="G188" s="3229"/>
    </row>
    <row r="189" spans="1:7" s="3218" customFormat="1" ht="14.25" customHeight="1" thickBot="1">
      <c r="A189" s="3237" t="s">
        <v>29</v>
      </c>
      <c r="B189" s="3240" t="s">
        <v>3075</v>
      </c>
      <c r="C189" s="3240"/>
      <c r="D189" s="3240"/>
      <c r="E189" s="3240"/>
      <c r="F189" s="3240">
        <v>2050</v>
      </c>
      <c r="G189" s="3240"/>
    </row>
    <row r="190" spans="1:7" s="3218" customFormat="1" ht="14.25" customHeight="1">
      <c r="A190" s="3234" t="s">
        <v>304</v>
      </c>
      <c r="B190" s="3225" t="s">
        <v>3095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3096</v>
      </c>
      <c r="C199" s="3229">
        <v>8690</v>
      </c>
      <c r="D199" s="3229">
        <v>8630</v>
      </c>
      <c r="E199" s="3229">
        <v>11350</v>
      </c>
      <c r="F199" s="3229">
        <v>1600</v>
      </c>
      <c r="G199" s="3242">
        <v>5450</v>
      </c>
    </row>
    <row r="200" spans="1:7" s="3218" customFormat="1" ht="14.25" customHeight="1">
      <c r="A200" s="3229" t="s">
        <v>304</v>
      </c>
      <c r="B200" s="3229" t="s">
        <v>2907</v>
      </c>
      <c r="C200" s="3229"/>
      <c r="D200" s="3229"/>
      <c r="E200" s="3229"/>
      <c r="F200" s="3229">
        <v>1510</v>
      </c>
      <c r="G200" s="3242"/>
    </row>
    <row r="201" spans="1:7" s="3218" customFormat="1" ht="14.25" customHeight="1">
      <c r="A201" s="3229" t="s">
        <v>304</v>
      </c>
      <c r="B201" s="3229" t="s">
        <v>3097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3098</v>
      </c>
      <c r="C203" s="3229">
        <v>8130</v>
      </c>
      <c r="D203" s="3229">
        <v>8070</v>
      </c>
      <c r="E203" s="3229">
        <v>10820</v>
      </c>
      <c r="F203" s="3229">
        <v>1690</v>
      </c>
      <c r="G203" s="3242">
        <v>5100</v>
      </c>
    </row>
    <row r="204" spans="1:7" s="3218" customFormat="1" ht="14.25" customHeight="1">
      <c r="A204" s="3229" t="s">
        <v>304</v>
      </c>
      <c r="B204" s="3229" t="s">
        <v>2918</v>
      </c>
      <c r="C204" s="3229">
        <v>8350</v>
      </c>
      <c r="D204" s="3229">
        <v>8290</v>
      </c>
      <c r="E204" s="3229">
        <v>11080</v>
      </c>
      <c r="F204" s="3229">
        <v>1450</v>
      </c>
      <c r="G204" s="3242">
        <v>5240</v>
      </c>
    </row>
    <row r="205" spans="1:7" s="3218" customFormat="1" ht="14.25" customHeight="1">
      <c r="A205" s="3229" t="s">
        <v>304</v>
      </c>
      <c r="B205" s="3229" t="s">
        <v>2920</v>
      </c>
      <c r="C205" s="3229">
        <v>7190</v>
      </c>
      <c r="D205" s="3229">
        <v>7130</v>
      </c>
      <c r="E205" s="3229">
        <v>9490</v>
      </c>
      <c r="F205" s="3229">
        <v>1470</v>
      </c>
      <c r="G205" s="3242">
        <v>4510</v>
      </c>
    </row>
    <row r="206" spans="1:7" s="3218" customFormat="1" ht="14.25" customHeight="1">
      <c r="A206" s="3229" t="s">
        <v>304</v>
      </c>
      <c r="B206" s="3229" t="s">
        <v>2923</v>
      </c>
      <c r="C206" s="3229">
        <v>7000</v>
      </c>
      <c r="D206" s="3229">
        <v>6950</v>
      </c>
      <c r="E206" s="3229">
        <v>9170</v>
      </c>
      <c r="F206" s="3229">
        <v>1400</v>
      </c>
      <c r="G206" s="3242">
        <v>4380</v>
      </c>
    </row>
    <row r="207" spans="1:7" s="3218" customFormat="1" ht="14.25" customHeight="1">
      <c r="A207" s="3229" t="s">
        <v>304</v>
      </c>
      <c r="B207" s="3229" t="s">
        <v>2925</v>
      </c>
      <c r="C207" s="3229">
        <v>6950</v>
      </c>
      <c r="D207" s="3229">
        <v>6900</v>
      </c>
      <c r="E207" s="3229">
        <v>9110</v>
      </c>
      <c r="F207" s="3229">
        <v>1790</v>
      </c>
      <c r="G207" s="3242">
        <v>4360</v>
      </c>
    </row>
    <row r="208" spans="1:7" s="3218" customFormat="1" ht="14.25" customHeight="1">
      <c r="A208" s="3229" t="s">
        <v>304</v>
      </c>
      <c r="B208" s="3229" t="s">
        <v>3099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2935</v>
      </c>
      <c r="C210" s="3229">
        <v>8710</v>
      </c>
      <c r="D210" s="3229">
        <v>8660</v>
      </c>
      <c r="E210" s="3229">
        <v>11440</v>
      </c>
      <c r="F210" s="3229">
        <v>1740</v>
      </c>
      <c r="G210" s="3242">
        <v>5470</v>
      </c>
    </row>
    <row r="211" spans="1:7" s="3218" customFormat="1" ht="14.25" customHeight="1">
      <c r="A211" s="3229" t="s">
        <v>304</v>
      </c>
      <c r="B211" s="3229" t="s">
        <v>3100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3101</v>
      </c>
      <c r="C214" s="3229">
        <v>8090</v>
      </c>
      <c r="D214" s="3229">
        <v>8030</v>
      </c>
      <c r="E214" s="3229">
        <v>10780</v>
      </c>
      <c r="F214" s="3229">
        <v>1570</v>
      </c>
      <c r="G214" s="3242">
        <v>5070</v>
      </c>
    </row>
    <row r="215" spans="1:7" s="3218" customFormat="1" ht="14.25" customHeight="1">
      <c r="A215" s="3229" t="s">
        <v>304</v>
      </c>
      <c r="B215" s="3229" t="s">
        <v>3102</v>
      </c>
      <c r="C215" s="3229">
        <v>7950</v>
      </c>
      <c r="D215" s="3229">
        <v>7900</v>
      </c>
      <c r="E215" s="3229">
        <v>10560</v>
      </c>
      <c r="F215" s="3229">
        <v>1630</v>
      </c>
      <c r="G215" s="3242">
        <v>4990</v>
      </c>
    </row>
    <row r="216" spans="1:7" s="3218" customFormat="1" ht="14.25" customHeight="1">
      <c r="A216" s="3229" t="s">
        <v>304</v>
      </c>
      <c r="B216" s="3229" t="s">
        <v>3103</v>
      </c>
      <c r="C216" s="3229">
        <v>8490</v>
      </c>
      <c r="D216" s="3229">
        <v>8440</v>
      </c>
      <c r="E216" s="3229">
        <v>11260</v>
      </c>
      <c r="F216" s="3229">
        <v>1690</v>
      </c>
      <c r="G216" s="3242">
        <v>5330</v>
      </c>
    </row>
    <row r="217" spans="1:7" s="3218" customFormat="1" ht="14.25" customHeight="1">
      <c r="A217" s="3229" t="s">
        <v>304</v>
      </c>
      <c r="B217" s="3229" t="s">
        <v>2968</v>
      </c>
      <c r="C217" s="3229">
        <v>8200</v>
      </c>
      <c r="D217" s="3229">
        <v>8150</v>
      </c>
      <c r="E217" s="3229">
        <v>10910</v>
      </c>
      <c r="F217" s="3229">
        <v>1670</v>
      </c>
      <c r="G217" s="3242">
        <v>5150</v>
      </c>
    </row>
    <row r="218" spans="1:7" s="3218" customFormat="1" ht="14.25" customHeight="1">
      <c r="A218" s="3229" t="s">
        <v>304</v>
      </c>
      <c r="B218" s="3229" t="s">
        <v>3104</v>
      </c>
      <c r="C218" s="3229"/>
      <c r="D218" s="3229"/>
      <c r="E218" s="3229"/>
      <c r="F218" s="3229">
        <v>2040</v>
      </c>
      <c r="G218" s="3242"/>
    </row>
    <row r="219" spans="1:7" s="3218" customFormat="1" ht="14.25" customHeight="1">
      <c r="A219" s="3229" t="s">
        <v>304</v>
      </c>
      <c r="B219" s="3229" t="s">
        <v>3105</v>
      </c>
      <c r="C219" s="3229"/>
      <c r="D219" s="3229"/>
      <c r="E219" s="3229"/>
      <c r="F219" s="3229">
        <v>2040</v>
      </c>
      <c r="G219" s="3242"/>
    </row>
    <row r="220" spans="1:7" s="3218" customFormat="1" ht="14.25" customHeight="1">
      <c r="A220" s="3229" t="s">
        <v>304</v>
      </c>
      <c r="B220" s="3229" t="s">
        <v>3106</v>
      </c>
      <c r="C220" s="3229"/>
      <c r="D220" s="3229"/>
      <c r="E220" s="3229"/>
      <c r="F220" s="3229">
        <v>2040</v>
      </c>
      <c r="G220" s="3242"/>
    </row>
    <row r="221" spans="1:7" s="3218" customFormat="1" ht="14.25" customHeight="1">
      <c r="A221" s="3229" t="s">
        <v>304</v>
      </c>
      <c r="B221" s="3229" t="s">
        <v>3107</v>
      </c>
      <c r="C221" s="3229"/>
      <c r="D221" s="3229"/>
      <c r="E221" s="3229"/>
      <c r="F221" s="3229">
        <v>2040</v>
      </c>
      <c r="G221" s="3242"/>
    </row>
    <row r="222" spans="1:7" s="3218" customFormat="1" ht="14.25" customHeight="1">
      <c r="A222" s="3229" t="s">
        <v>304</v>
      </c>
      <c r="B222" s="3229" t="s">
        <v>3108</v>
      </c>
      <c r="C222" s="3229"/>
      <c r="D222" s="3229"/>
      <c r="E222" s="3229"/>
      <c r="F222" s="3229">
        <v>2040</v>
      </c>
      <c r="G222" s="3242"/>
    </row>
    <row r="223" spans="1:7" s="3218" customFormat="1" ht="14.25" customHeight="1">
      <c r="A223" s="3229" t="s">
        <v>304</v>
      </c>
      <c r="B223" s="3229" t="s">
        <v>3109</v>
      </c>
      <c r="C223" s="3229"/>
      <c r="D223" s="3229"/>
      <c r="E223" s="3229"/>
      <c r="F223" s="3229">
        <v>1930</v>
      </c>
      <c r="G223" s="3242"/>
    </row>
    <row r="224" spans="1:7" s="3218" customFormat="1" ht="14.25" customHeight="1">
      <c r="A224" s="3229" t="s">
        <v>304</v>
      </c>
      <c r="B224" s="3229" t="s">
        <v>3110</v>
      </c>
      <c r="C224" s="3229"/>
      <c r="D224" s="3229"/>
      <c r="E224" s="3229"/>
      <c r="F224" s="3229">
        <v>1930</v>
      </c>
      <c r="G224" s="3242"/>
    </row>
    <row r="225" spans="1:7" s="3218" customFormat="1" ht="14.25" customHeight="1">
      <c r="A225" s="3229" t="s">
        <v>304</v>
      </c>
      <c r="B225" s="3229" t="s">
        <v>3111</v>
      </c>
      <c r="C225" s="3229"/>
      <c r="D225" s="3229"/>
      <c r="E225" s="3229"/>
      <c r="F225" s="3229">
        <v>1930</v>
      </c>
      <c r="G225" s="3242"/>
    </row>
    <row r="226" spans="1:7" s="3218" customFormat="1" ht="14.25" customHeight="1">
      <c r="A226" s="3229" t="s">
        <v>304</v>
      </c>
      <c r="B226" s="3229" t="s">
        <v>3112</v>
      </c>
      <c r="C226" s="3229"/>
      <c r="D226" s="3229"/>
      <c r="E226" s="3229"/>
      <c r="F226" s="3229">
        <v>1700</v>
      </c>
      <c r="G226" s="3242"/>
    </row>
    <row r="227" spans="1:7" s="3218" customFormat="1" ht="14.25" customHeight="1">
      <c r="A227" s="3229" t="s">
        <v>304</v>
      </c>
      <c r="B227" s="3229" t="s">
        <v>3113</v>
      </c>
      <c r="C227" s="3229"/>
      <c r="D227" s="3229"/>
      <c r="E227" s="3229"/>
      <c r="F227" s="3229">
        <v>1520</v>
      </c>
      <c r="G227" s="3242"/>
    </row>
    <row r="228" spans="1:7" s="3218" customFormat="1" ht="14.25" customHeight="1">
      <c r="A228" s="3229" t="s">
        <v>304</v>
      </c>
      <c r="B228" s="3229" t="s">
        <v>3114</v>
      </c>
      <c r="C228" s="3229"/>
      <c r="D228" s="3229"/>
      <c r="E228" s="3229"/>
      <c r="F228" s="3229">
        <v>1520</v>
      </c>
      <c r="G228" s="3242"/>
    </row>
    <row r="229" spans="1:7" s="3218" customFormat="1" ht="14.25" customHeight="1">
      <c r="A229" s="3229" t="s">
        <v>304</v>
      </c>
      <c r="B229" s="3229" t="s">
        <v>3031</v>
      </c>
      <c r="C229" s="3229"/>
      <c r="D229" s="3229"/>
      <c r="E229" s="3229"/>
      <c r="F229" s="3229">
        <v>1520</v>
      </c>
      <c r="G229" s="3242"/>
    </row>
    <row r="230" spans="1:7" s="3218" customFormat="1" ht="14.25" customHeight="1">
      <c r="A230" s="3229" t="s">
        <v>304</v>
      </c>
      <c r="B230" s="3229" t="s">
        <v>3115</v>
      </c>
      <c r="C230" s="3229"/>
      <c r="D230" s="3229"/>
      <c r="E230" s="3229"/>
      <c r="F230" s="3229">
        <v>1820</v>
      </c>
      <c r="G230" s="3242"/>
    </row>
    <row r="231" spans="1:7" s="3218" customFormat="1" ht="14.25" customHeight="1">
      <c r="A231" s="3229" t="s">
        <v>304</v>
      </c>
      <c r="B231" s="3229" t="s">
        <v>3116</v>
      </c>
      <c r="C231" s="3229"/>
      <c r="D231" s="3229"/>
      <c r="E231" s="3229"/>
      <c r="F231" s="3229">
        <v>1760</v>
      </c>
      <c r="G231" s="3242"/>
    </row>
    <row r="232" spans="1:7" s="3218" customFormat="1" ht="14.25" customHeight="1">
      <c r="A232" s="3229" t="s">
        <v>304</v>
      </c>
      <c r="B232" s="3229" t="s">
        <v>3117</v>
      </c>
      <c r="C232" s="3229"/>
      <c r="D232" s="3229"/>
      <c r="E232" s="3229"/>
      <c r="F232" s="3229">
        <v>1840</v>
      </c>
      <c r="G232" s="3242"/>
    </row>
    <row r="233" spans="1:7" s="3218" customFormat="1" ht="14.25" customHeight="1" thickBot="1">
      <c r="A233" s="3243" t="s">
        <v>304</v>
      </c>
      <c r="B233" s="3236" t="s">
        <v>3048</v>
      </c>
      <c r="C233" s="3236"/>
      <c r="D233" s="3236"/>
      <c r="E233" s="3236"/>
      <c r="F233" s="3236">
        <v>1770</v>
      </c>
      <c r="G233" s="3244"/>
    </row>
    <row r="234" spans="1:7" s="3218" customFormat="1" ht="14.25" customHeight="1">
      <c r="A234" s="3234" t="s">
        <v>305</v>
      </c>
      <c r="B234" s="3225" t="s">
        <v>3118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2889</v>
      </c>
      <c r="C238" s="3229">
        <v>6920</v>
      </c>
      <c r="D238" s="3229">
        <v>6890</v>
      </c>
      <c r="E238" s="3229">
        <v>8640</v>
      </c>
      <c r="F238" s="3229">
        <v>1310</v>
      </c>
      <c r="G238" s="3229">
        <v>4230</v>
      </c>
    </row>
    <row r="239" spans="1:7" s="3218" customFormat="1" ht="14.25" customHeight="1">
      <c r="A239" s="3229" t="s">
        <v>305</v>
      </c>
      <c r="B239" s="3229" t="s">
        <v>3119</v>
      </c>
      <c r="C239" s="3229">
        <v>6780</v>
      </c>
      <c r="D239" s="3229">
        <v>6750</v>
      </c>
      <c r="E239" s="3229">
        <v>8440</v>
      </c>
      <c r="F239" s="3229">
        <v>1160</v>
      </c>
      <c r="G239" s="3229">
        <v>4140</v>
      </c>
    </row>
    <row r="240" spans="1:7" s="3218" customFormat="1" ht="14.25" customHeight="1">
      <c r="A240" s="3229" t="s">
        <v>305</v>
      </c>
      <c r="B240" s="3229" t="s">
        <v>3120</v>
      </c>
      <c r="C240" s="3229">
        <v>5420</v>
      </c>
      <c r="D240" s="3229">
        <v>5380</v>
      </c>
      <c r="E240" s="3229">
        <v>6640</v>
      </c>
      <c r="F240" s="3229">
        <v>1020</v>
      </c>
      <c r="G240" s="3229">
        <v>3300</v>
      </c>
    </row>
    <row r="241" spans="1:7" s="3218" customFormat="1" ht="14.25" customHeight="1">
      <c r="A241" s="3229" t="s">
        <v>305</v>
      </c>
      <c r="B241" s="3229" t="s">
        <v>3121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2951</v>
      </c>
      <c r="C258" s="3229">
        <v>6190</v>
      </c>
      <c r="D258" s="3229">
        <v>6160</v>
      </c>
      <c r="E258" s="3229">
        <v>7680</v>
      </c>
      <c r="F258" s="3229">
        <v>1170</v>
      </c>
      <c r="G258" s="3229">
        <v>3780</v>
      </c>
    </row>
    <row r="259" spans="1:7" s="3218" customFormat="1" ht="14.25" customHeight="1">
      <c r="A259" s="3229" t="s">
        <v>305</v>
      </c>
      <c r="B259" s="3229" t="s">
        <v>3127</v>
      </c>
      <c r="C259" s="3229">
        <v>7610</v>
      </c>
      <c r="D259" s="3229">
        <v>7570</v>
      </c>
      <c r="E259" s="3229">
        <v>9350</v>
      </c>
      <c r="F259" s="3229">
        <v>1350</v>
      </c>
      <c r="G259" s="3229">
        <v>4650</v>
      </c>
    </row>
    <row r="260" spans="1:7" s="3218" customFormat="1" ht="14.25" customHeight="1">
      <c r="A260" s="3229" t="s">
        <v>305</v>
      </c>
      <c r="B260" s="3229" t="s">
        <v>3128</v>
      </c>
      <c r="C260" s="3229">
        <v>6920</v>
      </c>
      <c r="D260" s="3229">
        <v>6880</v>
      </c>
      <c r="E260" s="3229">
        <v>8380</v>
      </c>
      <c r="F260" s="3229">
        <v>1160</v>
      </c>
      <c r="G260" s="3229">
        <v>4220</v>
      </c>
    </row>
    <row r="261" spans="1:7" s="3218" customFormat="1" ht="14.25" customHeight="1">
      <c r="A261" s="3229" t="s">
        <v>305</v>
      </c>
      <c r="B261" s="3229" t="s">
        <v>3129</v>
      </c>
      <c r="C261" s="3229">
        <v>6850</v>
      </c>
      <c r="D261" s="3229">
        <v>6810</v>
      </c>
      <c r="E261" s="3229">
        <v>8290</v>
      </c>
      <c r="F261" s="3229">
        <v>1130</v>
      </c>
      <c r="G261" s="3229">
        <v>4180</v>
      </c>
    </row>
    <row r="262" spans="1:7" s="3218" customFormat="1" ht="14.25" customHeight="1">
      <c r="A262" s="3229" t="s">
        <v>305</v>
      </c>
      <c r="B262" s="3229" t="s">
        <v>3130</v>
      </c>
      <c r="C262" s="3229">
        <v>5860</v>
      </c>
      <c r="D262" s="3229">
        <v>5820</v>
      </c>
      <c r="E262" s="3229">
        <v>7640</v>
      </c>
      <c r="F262" s="3229">
        <v>1070</v>
      </c>
      <c r="G262" s="3229">
        <v>3570</v>
      </c>
    </row>
    <row r="263" spans="1:7" s="3218" customFormat="1" ht="14.25" customHeight="1">
      <c r="A263" s="3229" t="s">
        <v>305</v>
      </c>
      <c r="B263" s="3229" t="s">
        <v>3131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3132</v>
      </c>
      <c r="C265" s="3229"/>
      <c r="D265" s="3229"/>
      <c r="E265" s="3229"/>
      <c r="F265" s="3229">
        <v>1500</v>
      </c>
      <c r="G265" s="3229"/>
    </row>
    <row r="266" spans="1:7" s="3218" customFormat="1" ht="14.25" customHeight="1">
      <c r="A266" s="3229" t="s">
        <v>305</v>
      </c>
      <c r="B266" s="3229" t="s">
        <v>3133</v>
      </c>
      <c r="C266" s="3229"/>
      <c r="D266" s="3229"/>
      <c r="E266" s="3229"/>
      <c r="F266" s="3229">
        <v>1500</v>
      </c>
      <c r="G266" s="3229"/>
    </row>
    <row r="267" spans="1:7" s="3218" customFormat="1" ht="14.25" customHeight="1">
      <c r="A267" s="3229" t="s">
        <v>305</v>
      </c>
      <c r="B267" s="3229" t="s">
        <v>3134</v>
      </c>
      <c r="C267" s="3229"/>
      <c r="D267" s="3229"/>
      <c r="E267" s="3229"/>
      <c r="F267" s="3229">
        <v>1500</v>
      </c>
      <c r="G267" s="3229"/>
    </row>
    <row r="268" spans="1:7" s="3218" customFormat="1" ht="14.25" customHeight="1">
      <c r="A268" s="3229" t="s">
        <v>305</v>
      </c>
      <c r="B268" s="3229" t="s">
        <v>3135</v>
      </c>
      <c r="C268" s="3229"/>
      <c r="D268" s="3229"/>
      <c r="E268" s="3229"/>
      <c r="F268" s="3229">
        <v>1290</v>
      </c>
      <c r="G268" s="3229"/>
    </row>
    <row r="269" spans="1:7" s="3218" customFormat="1" ht="14.25" customHeight="1">
      <c r="A269" s="3229" t="s">
        <v>305</v>
      </c>
      <c r="B269" s="3229" t="s">
        <v>3136</v>
      </c>
      <c r="C269" s="3229"/>
      <c r="D269" s="3229"/>
      <c r="E269" s="3229"/>
      <c r="F269" s="3229">
        <v>1150</v>
      </c>
      <c r="G269" s="3229"/>
    </row>
    <row r="270" spans="1:7" s="3218" customFormat="1" ht="14.25" customHeight="1">
      <c r="A270" s="3229" t="s">
        <v>305</v>
      </c>
      <c r="B270" s="3229" t="s">
        <v>3137</v>
      </c>
      <c r="C270" s="3229"/>
      <c r="D270" s="3229"/>
      <c r="E270" s="3229"/>
      <c r="F270" s="3229">
        <v>1380</v>
      </c>
      <c r="G270" s="3229"/>
    </row>
    <row r="271" spans="1:7" s="3218" customFormat="1" ht="14.25" customHeight="1">
      <c r="A271" s="3229" t="s">
        <v>305</v>
      </c>
      <c r="B271" s="3229" t="s">
        <v>3138</v>
      </c>
      <c r="C271" s="3229"/>
      <c r="D271" s="3229"/>
      <c r="E271" s="3229"/>
      <c r="F271" s="3229">
        <v>1460</v>
      </c>
      <c r="G271" s="3229"/>
    </row>
    <row r="272" spans="1:7" s="3218" customFormat="1" ht="14.25" customHeight="1">
      <c r="A272" s="3229" t="s">
        <v>305</v>
      </c>
      <c r="B272" s="3229" t="s">
        <v>3139</v>
      </c>
      <c r="C272" s="3229"/>
      <c r="D272" s="3229"/>
      <c r="E272" s="3229"/>
      <c r="F272" s="3229">
        <v>1460</v>
      </c>
      <c r="G272" s="3229"/>
    </row>
    <row r="273" spans="1:7" s="3218" customFormat="1" ht="14.25" customHeight="1">
      <c r="A273" s="3229" t="s">
        <v>305</v>
      </c>
      <c r="B273" s="3229" t="s">
        <v>3032</v>
      </c>
      <c r="C273" s="3229"/>
      <c r="D273" s="3229"/>
      <c r="E273" s="3229"/>
      <c r="F273" s="3229">
        <v>1490</v>
      </c>
      <c r="G273" s="3229"/>
    </row>
    <row r="274" spans="1:7" s="3218" customFormat="1" ht="14.25" customHeight="1">
      <c r="A274" s="3229" t="s">
        <v>305</v>
      </c>
      <c r="B274" s="3229" t="s">
        <v>3140</v>
      </c>
      <c r="C274" s="3229"/>
      <c r="D274" s="3229"/>
      <c r="E274" s="3229"/>
      <c r="F274" s="3229">
        <v>1490</v>
      </c>
      <c r="G274" s="3229"/>
    </row>
    <row r="275" spans="1:7" s="3218" customFormat="1" ht="14.25" customHeight="1">
      <c r="A275" s="3229" t="s">
        <v>305</v>
      </c>
      <c r="B275" s="3229" t="s">
        <v>3141</v>
      </c>
      <c r="C275" s="3229"/>
      <c r="D275" s="3229"/>
      <c r="E275" s="3229"/>
      <c r="F275" s="3229">
        <v>1220</v>
      </c>
      <c r="G275" s="3229"/>
    </row>
    <row r="276" spans="1:7" s="3218" customFormat="1" ht="14.25" customHeight="1" thickBot="1">
      <c r="A276" s="3237" t="s">
        <v>305</v>
      </c>
      <c r="B276" s="3239" t="s">
        <v>3142</v>
      </c>
      <c r="C276" s="3240"/>
      <c r="D276" s="3240"/>
      <c r="E276" s="3240"/>
      <c r="F276" s="3240">
        <v>1380</v>
      </c>
      <c r="G276" s="3240"/>
    </row>
    <row r="277" spans="1:7" s="3218" customFormat="1" ht="14.25" customHeight="1">
      <c r="A277" s="3234" t="s">
        <v>306</v>
      </c>
      <c r="B277" s="3225" t="s">
        <v>3143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3144</v>
      </c>
      <c r="C279" s="3229">
        <v>4760</v>
      </c>
      <c r="D279" s="3229">
        <v>4720</v>
      </c>
      <c r="E279" s="3229">
        <v>5540</v>
      </c>
      <c r="F279" s="3229">
        <v>810</v>
      </c>
      <c r="G279" s="3242">
        <v>2850</v>
      </c>
    </row>
    <row r="280" spans="1:7" s="3218" customFormat="1" ht="14.25" customHeight="1">
      <c r="A280" s="3229" t="s">
        <v>306</v>
      </c>
      <c r="B280" s="3229" t="s">
        <v>3145</v>
      </c>
      <c r="C280" s="3229">
        <v>4010</v>
      </c>
      <c r="D280" s="3229">
        <v>3950</v>
      </c>
      <c r="E280" s="3229">
        <v>4710</v>
      </c>
      <c r="F280" s="3229">
        <v>800</v>
      </c>
      <c r="G280" s="3242">
        <v>2390</v>
      </c>
    </row>
    <row r="281" spans="1:7" s="3218" customFormat="1" ht="14.25" customHeight="1">
      <c r="A281" s="3229" t="s">
        <v>306</v>
      </c>
      <c r="B281" s="3229" t="s">
        <v>3146</v>
      </c>
      <c r="C281" s="3229">
        <v>4480</v>
      </c>
      <c r="D281" s="3229">
        <v>4420</v>
      </c>
      <c r="E281" s="3229">
        <v>5230</v>
      </c>
      <c r="F281" s="3229">
        <v>870</v>
      </c>
      <c r="G281" s="3242">
        <v>2660</v>
      </c>
    </row>
    <row r="282" spans="1:7" s="3218" customFormat="1" ht="14.25" customHeight="1">
      <c r="A282" s="3229" t="s">
        <v>306</v>
      </c>
      <c r="B282" s="3229" t="s">
        <v>3147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2924</v>
      </c>
      <c r="C293" s="3229">
        <v>5320</v>
      </c>
      <c r="D293" s="3229">
        <v>5270</v>
      </c>
      <c r="E293" s="3229">
        <v>6160</v>
      </c>
      <c r="F293" s="3229">
        <v>990</v>
      </c>
      <c r="G293" s="3242">
        <v>3170</v>
      </c>
    </row>
    <row r="294" spans="1:7" s="3218" customFormat="1" ht="14.25" customHeight="1">
      <c r="A294" s="3229" t="s">
        <v>306</v>
      </c>
      <c r="B294" s="3229" t="s">
        <v>3150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3151</v>
      </c>
      <c r="C302" s="3229">
        <v>5520</v>
      </c>
      <c r="D302" s="3229">
        <v>5470</v>
      </c>
      <c r="E302" s="3229">
        <v>6410</v>
      </c>
      <c r="F302" s="3229">
        <v>950</v>
      </c>
      <c r="G302" s="3242">
        <v>3300</v>
      </c>
    </row>
    <row r="303" spans="1:7" s="3218" customFormat="1" ht="14.25" customHeight="1">
      <c r="A303" s="3229" t="s">
        <v>306</v>
      </c>
      <c r="B303" s="3229" t="s">
        <v>2963</v>
      </c>
      <c r="C303" s="3229">
        <v>5630</v>
      </c>
      <c r="D303" s="3229">
        <v>5590</v>
      </c>
      <c r="E303" s="3229">
        <v>6550</v>
      </c>
      <c r="F303" s="3229">
        <v>1010</v>
      </c>
      <c r="G303" s="3242">
        <v>3370</v>
      </c>
    </row>
    <row r="304" spans="1:7" s="3218" customFormat="1" ht="14.25" customHeight="1">
      <c r="A304" s="3229" t="s">
        <v>306</v>
      </c>
      <c r="B304" s="3229" t="s">
        <v>2970</v>
      </c>
      <c r="C304" s="3229">
        <v>5680</v>
      </c>
      <c r="D304" s="3229">
        <v>5620</v>
      </c>
      <c r="E304" s="3229">
        <v>6620</v>
      </c>
      <c r="F304" s="3229">
        <v>1050</v>
      </c>
      <c r="G304" s="3242">
        <v>3390</v>
      </c>
    </row>
    <row r="305" spans="1:7" s="3218" customFormat="1" ht="14.25" customHeight="1">
      <c r="A305" s="3229" t="s">
        <v>306</v>
      </c>
      <c r="B305" s="3229" t="s">
        <v>2976</v>
      </c>
      <c r="C305" s="3229">
        <v>5590</v>
      </c>
      <c r="D305" s="3229">
        <v>5530</v>
      </c>
      <c r="E305" s="3229">
        <v>6460</v>
      </c>
      <c r="F305" s="3229">
        <v>900</v>
      </c>
      <c r="G305" s="3242">
        <v>3340</v>
      </c>
    </row>
    <row r="306" spans="1:7" s="3218" customFormat="1" ht="14.25" customHeight="1">
      <c r="A306" s="3229" t="s">
        <v>306</v>
      </c>
      <c r="B306" s="3229" t="s">
        <v>3152</v>
      </c>
      <c r="C306" s="3229">
        <v>5560</v>
      </c>
      <c r="D306" s="3229">
        <v>5510</v>
      </c>
      <c r="E306" s="3229">
        <v>6440</v>
      </c>
      <c r="F306" s="3229">
        <v>900</v>
      </c>
      <c r="G306" s="3242">
        <v>3320</v>
      </c>
    </row>
    <row r="307" spans="1:7" s="3218" customFormat="1" ht="14.25" customHeight="1">
      <c r="A307" s="3229" t="s">
        <v>306</v>
      </c>
      <c r="B307" s="3229" t="s">
        <v>2988</v>
      </c>
      <c r="C307" s="3229">
        <v>5650</v>
      </c>
      <c r="D307" s="3229">
        <v>5600</v>
      </c>
      <c r="E307" s="3229">
        <v>6590</v>
      </c>
      <c r="F307" s="3229">
        <v>930</v>
      </c>
      <c r="G307" s="3242">
        <v>3380</v>
      </c>
    </row>
    <row r="308" spans="1:7" s="3218" customFormat="1" ht="14.25" customHeight="1">
      <c r="A308" s="3229" t="s">
        <v>306</v>
      </c>
      <c r="B308" s="3229" t="s">
        <v>3153</v>
      </c>
      <c r="C308" s="3229">
        <v>5620</v>
      </c>
      <c r="D308" s="3229">
        <v>5580</v>
      </c>
      <c r="E308" s="3229">
        <v>6540</v>
      </c>
      <c r="F308" s="3229">
        <v>910</v>
      </c>
      <c r="G308" s="3242">
        <v>3370</v>
      </c>
    </row>
    <row r="309" spans="1:7" s="3218" customFormat="1" ht="14.25" customHeight="1">
      <c r="A309" s="3229" t="s">
        <v>306</v>
      </c>
      <c r="B309" s="3229" t="s">
        <v>3154</v>
      </c>
      <c r="C309" s="3229">
        <v>5060</v>
      </c>
      <c r="D309" s="3229">
        <v>5020</v>
      </c>
      <c r="E309" s="3229">
        <v>6370</v>
      </c>
      <c r="F309" s="3229">
        <v>800</v>
      </c>
      <c r="G309" s="3242">
        <v>3020</v>
      </c>
    </row>
    <row r="310" spans="1:7" s="3218" customFormat="1" ht="14.25" customHeight="1">
      <c r="A310" s="3229" t="s">
        <v>306</v>
      </c>
      <c r="B310" s="3229" t="s">
        <v>3003</v>
      </c>
      <c r="C310" s="3229">
        <v>5150</v>
      </c>
      <c r="D310" s="3229">
        <v>5110</v>
      </c>
      <c r="E310" s="3229">
        <v>6500</v>
      </c>
      <c r="F310" s="3229">
        <v>880</v>
      </c>
      <c r="G310" s="3242">
        <v>3080</v>
      </c>
    </row>
    <row r="311" spans="1:7" s="3218" customFormat="1" ht="14.25" customHeight="1">
      <c r="A311" s="3229" t="s">
        <v>306</v>
      </c>
      <c r="B311" s="3229" t="s">
        <v>3155</v>
      </c>
      <c r="C311" s="3229">
        <v>4750</v>
      </c>
      <c r="D311" s="3229">
        <v>4710</v>
      </c>
      <c r="E311" s="3229">
        <v>5510</v>
      </c>
      <c r="F311" s="3229">
        <v>880</v>
      </c>
      <c r="G311" s="3242">
        <v>2840</v>
      </c>
    </row>
    <row r="312" spans="1:7" s="3218" customFormat="1" ht="14.25" customHeight="1">
      <c r="A312" s="3229" t="s">
        <v>306</v>
      </c>
      <c r="B312" s="3229" t="s">
        <v>3013</v>
      </c>
      <c r="C312" s="3229">
        <v>4690</v>
      </c>
      <c r="D312" s="3229">
        <v>4640</v>
      </c>
      <c r="E312" s="3229">
        <v>5420</v>
      </c>
      <c r="F312" s="3229">
        <v>800</v>
      </c>
      <c r="G312" s="3242">
        <v>2800</v>
      </c>
    </row>
    <row r="313" spans="1:7" s="3218" customFormat="1" ht="14.25" customHeight="1">
      <c r="A313" s="3229" t="s">
        <v>306</v>
      </c>
      <c r="B313" s="3229" t="s">
        <v>3018</v>
      </c>
      <c r="C313" s="3229">
        <v>4810</v>
      </c>
      <c r="D313" s="3229">
        <v>4760</v>
      </c>
      <c r="E313" s="3229">
        <v>5550</v>
      </c>
      <c r="F313" s="3229">
        <v>920</v>
      </c>
      <c r="G313" s="3242">
        <v>2870</v>
      </c>
    </row>
    <row r="314" spans="1:7" s="3218" customFormat="1" ht="14.25" customHeight="1">
      <c r="A314" s="3229" t="s">
        <v>306</v>
      </c>
      <c r="B314" s="3229" t="s">
        <v>3156</v>
      </c>
      <c r="C314" s="3229"/>
      <c r="D314" s="3229"/>
      <c r="E314" s="3229"/>
      <c r="F314" s="3229">
        <v>1020</v>
      </c>
      <c r="G314" s="3242"/>
    </row>
    <row r="315" spans="1:7" s="3218" customFormat="1" ht="14.25" customHeight="1">
      <c r="A315" s="3229" t="s">
        <v>306</v>
      </c>
      <c r="B315" s="3229" t="s">
        <v>3157</v>
      </c>
      <c r="C315" s="3229"/>
      <c r="D315" s="3229"/>
      <c r="E315" s="3229"/>
      <c r="F315" s="3229">
        <v>1050</v>
      </c>
      <c r="G315" s="3242"/>
    </row>
    <row r="316" spans="1:7" s="3218" customFormat="1" ht="14.25" customHeight="1">
      <c r="A316" s="3229" t="s">
        <v>306</v>
      </c>
      <c r="B316" s="3229" t="s">
        <v>3033</v>
      </c>
      <c r="C316" s="3229"/>
      <c r="D316" s="3229"/>
      <c r="E316" s="3229"/>
      <c r="F316" s="3229">
        <v>900</v>
      </c>
      <c r="G316" s="3242"/>
    </row>
    <row r="317" spans="1:7" s="3218" customFormat="1" ht="14.25" customHeight="1">
      <c r="A317" s="3229" t="s">
        <v>306</v>
      </c>
      <c r="B317" s="3229" t="s">
        <v>3158</v>
      </c>
      <c r="C317" s="3229"/>
      <c r="D317" s="3229"/>
      <c r="E317" s="3229"/>
      <c r="F317" s="3229">
        <v>920</v>
      </c>
      <c r="G317" s="3242"/>
    </row>
    <row r="318" spans="1:7" s="3218" customFormat="1" ht="14.25" customHeight="1">
      <c r="A318" s="3229" t="s">
        <v>306</v>
      </c>
      <c r="B318" s="3229" t="s">
        <v>3159</v>
      </c>
      <c r="C318" s="3229"/>
      <c r="D318" s="3229"/>
      <c r="E318" s="3229"/>
      <c r="F318" s="3229">
        <v>1080</v>
      </c>
      <c r="G318" s="3242"/>
    </row>
    <row r="319" spans="1:7" s="3218" customFormat="1" ht="14.25" customHeight="1">
      <c r="A319" s="3229" t="s">
        <v>306</v>
      </c>
      <c r="B319" s="3229" t="s">
        <v>3046</v>
      </c>
      <c r="C319" s="3229"/>
      <c r="D319" s="3229"/>
      <c r="E319" s="3229"/>
      <c r="F319" s="3229">
        <v>1020</v>
      </c>
      <c r="G319" s="3242"/>
    </row>
    <row r="320" spans="1:7" s="3218" customFormat="1" ht="14.25" customHeight="1">
      <c r="A320" s="3229" t="s">
        <v>306</v>
      </c>
      <c r="B320" s="3229" t="s">
        <v>3049</v>
      </c>
      <c r="C320" s="3229"/>
      <c r="D320" s="3229"/>
      <c r="E320" s="3229"/>
      <c r="F320" s="3229">
        <v>1050</v>
      </c>
      <c r="G320" s="3242"/>
    </row>
    <row r="321" spans="1:7" s="3218" customFormat="1" ht="14.25" customHeight="1">
      <c r="A321" s="3229" t="s">
        <v>306</v>
      </c>
      <c r="B321" s="3229" t="s">
        <v>3051</v>
      </c>
      <c r="C321" s="3229"/>
      <c r="D321" s="3229"/>
      <c r="E321" s="3229"/>
      <c r="F321" s="3229">
        <v>960</v>
      </c>
      <c r="G321" s="3242"/>
    </row>
    <row r="322" spans="1:7" s="3218" customFormat="1" ht="14.25" customHeight="1">
      <c r="A322" s="3229" t="s">
        <v>306</v>
      </c>
      <c r="B322" s="3229" t="s">
        <v>3053</v>
      </c>
      <c r="C322" s="3229"/>
      <c r="D322" s="3229"/>
      <c r="E322" s="3229"/>
      <c r="F322" s="3229">
        <v>960</v>
      </c>
      <c r="G322" s="3242"/>
    </row>
    <row r="323" spans="1:7" s="3218" customFormat="1" ht="14.25" customHeight="1">
      <c r="A323" s="3229" t="s">
        <v>306</v>
      </c>
      <c r="B323" s="3229" t="s">
        <v>3055</v>
      </c>
      <c r="C323" s="3229"/>
      <c r="D323" s="3229"/>
      <c r="E323" s="3229"/>
      <c r="F323" s="3229">
        <v>880</v>
      </c>
      <c r="G323" s="3242"/>
    </row>
    <row r="324" spans="1:7" s="3218" customFormat="1" ht="14.25" customHeight="1">
      <c r="A324" s="3229" t="s">
        <v>306</v>
      </c>
      <c r="B324" s="3229" t="s">
        <v>3057</v>
      </c>
      <c r="C324" s="3229"/>
      <c r="D324" s="3229"/>
      <c r="E324" s="3229"/>
      <c r="F324" s="3229">
        <v>930</v>
      </c>
      <c r="G324" s="3242"/>
    </row>
    <row r="325" spans="1:7" s="3218" customFormat="1" ht="14.25" customHeight="1">
      <c r="A325" s="3229" t="s">
        <v>306</v>
      </c>
      <c r="B325" s="3230" t="s">
        <v>3059</v>
      </c>
      <c r="C325" s="3229"/>
      <c r="D325" s="3229"/>
      <c r="E325" s="3229"/>
      <c r="F325" s="3229">
        <v>900</v>
      </c>
      <c r="G325" s="3242"/>
    </row>
    <row r="326" spans="1:7" s="3218" customFormat="1" ht="14.25" customHeight="1" thickBot="1">
      <c r="A326" s="3243" t="s">
        <v>306</v>
      </c>
      <c r="B326" s="3236" t="s">
        <v>3061</v>
      </c>
      <c r="C326" s="3236"/>
      <c r="D326" s="3236"/>
      <c r="E326" s="3236"/>
      <c r="F326" s="3236">
        <v>790</v>
      </c>
      <c r="G326" s="3244"/>
    </row>
    <row r="327" spans="1:7" s="3218" customFormat="1" ht="14.25" customHeight="1">
      <c r="A327" s="3234" t="s">
        <v>307</v>
      </c>
      <c r="B327" s="3225" t="s">
        <v>3160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3161</v>
      </c>
      <c r="C329" s="3229">
        <v>2730</v>
      </c>
      <c r="D329" s="3229">
        <v>2690</v>
      </c>
      <c r="E329" s="3229">
        <v>3100</v>
      </c>
      <c r="F329" s="3229">
        <v>660</v>
      </c>
      <c r="G329" s="3229">
        <v>1610</v>
      </c>
    </row>
    <row r="330" spans="1:7" s="3218" customFormat="1" ht="14.25" customHeight="1">
      <c r="A330" s="3229" t="s">
        <v>307</v>
      </c>
      <c r="B330" s="3229" t="s">
        <v>3162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2895</v>
      </c>
      <c r="C332" s="3229">
        <v>3520</v>
      </c>
      <c r="D332" s="3229">
        <v>3480</v>
      </c>
      <c r="E332" s="3229">
        <v>3830</v>
      </c>
      <c r="F332" s="3229">
        <v>720</v>
      </c>
      <c r="G332" s="3229">
        <v>2090</v>
      </c>
    </row>
    <row r="333" spans="1:7" s="3218" customFormat="1" ht="14.25" customHeight="1">
      <c r="A333" s="3229" t="s">
        <v>307</v>
      </c>
      <c r="B333" s="3229" t="s">
        <v>3163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2905</v>
      </c>
      <c r="C336" s="3229">
        <v>3570</v>
      </c>
      <c r="D336" s="3229">
        <v>3530</v>
      </c>
      <c r="E336" s="3229">
        <v>3880</v>
      </c>
      <c r="F336" s="3229">
        <v>770</v>
      </c>
      <c r="G336" s="3229">
        <v>2110</v>
      </c>
    </row>
    <row r="337" spans="1:10" s="3218" customFormat="1" ht="14.25" customHeight="1">
      <c r="A337" s="3229" t="s">
        <v>307</v>
      </c>
      <c r="B337" s="3229" t="s">
        <v>3164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2930</v>
      </c>
      <c r="C345" s="3229">
        <v>3190</v>
      </c>
      <c r="D345" s="3229">
        <v>3140</v>
      </c>
      <c r="E345" s="3229">
        <v>3450</v>
      </c>
      <c r="F345" s="3229">
        <v>720</v>
      </c>
      <c r="G345" s="3229">
        <v>1880</v>
      </c>
      <c r="J345" s="3218"/>
    </row>
    <row r="346" spans="1:10">
      <c r="A346" s="3229" t="s">
        <v>307</v>
      </c>
      <c r="B346" s="3229" t="s">
        <v>3167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2939</v>
      </c>
      <c r="C348" s="3229">
        <v>4000</v>
      </c>
      <c r="D348" s="3229">
        <v>3950</v>
      </c>
      <c r="E348" s="3229">
        <v>4430</v>
      </c>
      <c r="F348" s="3229">
        <v>760</v>
      </c>
      <c r="G348" s="3229">
        <v>2360</v>
      </c>
      <c r="J348" s="3218"/>
    </row>
    <row r="349" spans="1:10">
      <c r="A349" s="3229" t="s">
        <v>307</v>
      </c>
      <c r="B349" s="3229" t="s">
        <v>2944</v>
      </c>
      <c r="C349" s="3229">
        <v>3820</v>
      </c>
      <c r="D349" s="3229">
        <v>3780</v>
      </c>
      <c r="E349" s="3229">
        <v>4170</v>
      </c>
      <c r="F349" s="3229">
        <v>710</v>
      </c>
      <c r="G349" s="3229">
        <v>2260</v>
      </c>
      <c r="J349" s="3218"/>
    </row>
    <row r="350" spans="1:10">
      <c r="A350" s="3229" t="s">
        <v>307</v>
      </c>
      <c r="B350" s="3229" t="s">
        <v>3168</v>
      </c>
      <c r="C350" s="3229">
        <v>3760</v>
      </c>
      <c r="D350" s="3229">
        <v>3730</v>
      </c>
      <c r="E350" s="3229">
        <v>4100</v>
      </c>
      <c r="F350" s="3229">
        <v>800</v>
      </c>
      <c r="G350" s="3229">
        <v>2230</v>
      </c>
      <c r="J350" s="3218"/>
    </row>
    <row r="351" spans="1:10">
      <c r="A351" s="3229" t="s">
        <v>307</v>
      </c>
      <c r="B351" s="3229" t="s">
        <v>2952</v>
      </c>
      <c r="C351" s="3229">
        <v>3610</v>
      </c>
      <c r="D351" s="3229">
        <v>3580</v>
      </c>
      <c r="E351" s="3229">
        <v>3930</v>
      </c>
      <c r="F351" s="3229">
        <v>700</v>
      </c>
      <c r="G351" s="3229">
        <v>2140</v>
      </c>
      <c r="J351" s="3218"/>
    </row>
    <row r="352" spans="1:10">
      <c r="A352" s="3229" t="s">
        <v>307</v>
      </c>
      <c r="B352" s="3229" t="s">
        <v>2957</v>
      </c>
      <c r="C352" s="3229">
        <v>3670</v>
      </c>
      <c r="D352" s="3229">
        <v>3630</v>
      </c>
      <c r="E352" s="3229">
        <v>4000</v>
      </c>
      <c r="F352" s="3229">
        <v>750</v>
      </c>
      <c r="G352" s="3229">
        <v>2180</v>
      </c>
    </row>
    <row r="353" spans="1:7" s="3222" customFormat="1">
      <c r="A353" s="3229" t="s">
        <v>307</v>
      </c>
      <c r="B353" s="3229" t="s">
        <v>3169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2977</v>
      </c>
      <c r="C355" s="3229">
        <v>3650</v>
      </c>
      <c r="D355" s="3229">
        <v>3610</v>
      </c>
      <c r="E355" s="3229">
        <v>4200</v>
      </c>
      <c r="F355" s="3229">
        <v>640</v>
      </c>
      <c r="G355" s="3229">
        <v>2160</v>
      </c>
    </row>
    <row r="356" spans="1:7" s="3222" customFormat="1">
      <c r="A356" s="3229" t="s">
        <v>307</v>
      </c>
      <c r="B356" s="3229" t="s">
        <v>2984</v>
      </c>
      <c r="C356" s="3229">
        <v>3260</v>
      </c>
      <c r="D356" s="3229">
        <v>3230</v>
      </c>
      <c r="E356" s="3229">
        <v>3740</v>
      </c>
      <c r="F356" s="3229">
        <v>600</v>
      </c>
      <c r="G356" s="3229">
        <v>1930</v>
      </c>
    </row>
    <row r="357" spans="1:7" s="3222" customFormat="1" ht="12" thickBot="1">
      <c r="A357" s="3237" t="s">
        <v>307</v>
      </c>
      <c r="B357" s="3240" t="s">
        <v>3170</v>
      </c>
      <c r="C357" s="3240">
        <v>3690</v>
      </c>
      <c r="D357" s="3240">
        <v>3650</v>
      </c>
      <c r="E357" s="3240">
        <v>4020</v>
      </c>
      <c r="F357" s="3240">
        <v>700</v>
      </c>
      <c r="G357" s="3240">
        <v>2190</v>
      </c>
    </row>
    <row r="358" spans="1:7" s="3222" customFormat="1">
      <c r="A358" s="3234" t="s">
        <v>3171</v>
      </c>
      <c r="B358" s="3225" t="s">
        <v>3172</v>
      </c>
      <c r="C358" s="3225">
        <v>2080</v>
      </c>
      <c r="D358" s="3225">
        <v>2040</v>
      </c>
      <c r="E358" s="3225">
        <v>2010</v>
      </c>
      <c r="F358" s="3225">
        <v>530</v>
      </c>
      <c r="G358" s="3241">
        <v>1230</v>
      </c>
    </row>
    <row r="359" spans="1:7" s="3222" customFormat="1">
      <c r="A359" s="3229" t="s">
        <v>3171</v>
      </c>
      <c r="B359" s="3229" t="s">
        <v>3173</v>
      </c>
      <c r="C359" s="3229">
        <v>1850</v>
      </c>
      <c r="D359" s="3229">
        <v>1820</v>
      </c>
      <c r="E359" s="3229">
        <v>1780</v>
      </c>
      <c r="F359" s="3229">
        <v>520</v>
      </c>
      <c r="G359" s="3242">
        <v>1100</v>
      </c>
    </row>
    <row r="360" spans="1:7" s="3222" customFormat="1">
      <c r="A360" s="3229" t="s">
        <v>3171</v>
      </c>
      <c r="B360" s="3229" t="s">
        <v>3174</v>
      </c>
      <c r="C360" s="3229">
        <v>2020</v>
      </c>
      <c r="D360" s="3229">
        <v>1990</v>
      </c>
      <c r="E360" s="3229">
        <v>1950</v>
      </c>
      <c r="F360" s="3229">
        <v>500</v>
      </c>
      <c r="G360" s="3242">
        <v>1200</v>
      </c>
    </row>
    <row r="361" spans="1:7" s="3222" customFormat="1">
      <c r="A361" s="3229" t="s">
        <v>3171</v>
      </c>
      <c r="B361" s="3229" t="s">
        <v>153</v>
      </c>
      <c r="C361" s="3229">
        <v>2260</v>
      </c>
      <c r="D361" s="3229">
        <v>2220</v>
      </c>
      <c r="E361" s="3229">
        <v>2180</v>
      </c>
      <c r="F361" s="3229">
        <v>580</v>
      </c>
      <c r="G361" s="3242">
        <v>1340</v>
      </c>
    </row>
    <row r="362" spans="1:7" s="3222" customFormat="1">
      <c r="A362" s="3229" t="s">
        <v>3171</v>
      </c>
      <c r="B362" s="3229" t="s">
        <v>3175</v>
      </c>
      <c r="C362" s="3229">
        <v>2650</v>
      </c>
      <c r="D362" s="3229">
        <v>2610</v>
      </c>
      <c r="E362" s="3229">
        <v>2570</v>
      </c>
      <c r="F362" s="3229">
        <v>630</v>
      </c>
      <c r="G362" s="3242">
        <v>1570</v>
      </c>
    </row>
    <row r="363" spans="1:7" s="3222" customFormat="1">
      <c r="A363" s="3229" t="s">
        <v>3171</v>
      </c>
      <c r="B363" s="3229" t="s">
        <v>2896</v>
      </c>
      <c r="C363" s="3229">
        <v>2390</v>
      </c>
      <c r="D363" s="3229">
        <v>2360</v>
      </c>
      <c r="E363" s="3229">
        <v>2320</v>
      </c>
      <c r="F363" s="3229">
        <v>600</v>
      </c>
      <c r="G363" s="3242">
        <v>1420</v>
      </c>
    </row>
    <row r="364" spans="1:7" s="3222" customFormat="1">
      <c r="A364" s="3229" t="s">
        <v>3171</v>
      </c>
      <c r="B364" s="3229" t="s">
        <v>3176</v>
      </c>
      <c r="C364" s="3229">
        <v>2050</v>
      </c>
      <c r="D364" s="3229">
        <v>2030</v>
      </c>
      <c r="E364" s="3229">
        <v>1990</v>
      </c>
      <c r="F364" s="3229">
        <v>550</v>
      </c>
      <c r="G364" s="3242">
        <v>1220</v>
      </c>
    </row>
    <row r="365" spans="1:7" s="3222" customFormat="1">
      <c r="A365" s="3229" t="s">
        <v>3171</v>
      </c>
      <c r="B365" s="3229" t="s">
        <v>200</v>
      </c>
      <c r="C365" s="3229">
        <v>2140</v>
      </c>
      <c r="D365" s="3229">
        <v>2100</v>
      </c>
      <c r="E365" s="3229">
        <v>2060</v>
      </c>
      <c r="F365" s="3229">
        <v>540</v>
      </c>
      <c r="G365" s="3242">
        <v>1270</v>
      </c>
    </row>
    <row r="366" spans="1:7" s="3222" customFormat="1">
      <c r="A366" s="3229" t="s">
        <v>3171</v>
      </c>
      <c r="B366" s="3229" t="s">
        <v>2903</v>
      </c>
      <c r="C366" s="3229">
        <v>2410</v>
      </c>
      <c r="D366" s="3229">
        <v>2370</v>
      </c>
      <c r="E366" s="3229">
        <v>2330</v>
      </c>
      <c r="F366" s="3229">
        <v>570</v>
      </c>
      <c r="G366" s="3242">
        <v>1440</v>
      </c>
    </row>
    <row r="367" spans="1:7" s="3222" customFormat="1">
      <c r="A367" s="3229" t="s">
        <v>3171</v>
      </c>
      <c r="B367" s="3229" t="s">
        <v>3177</v>
      </c>
      <c r="C367" s="3229">
        <v>2300</v>
      </c>
      <c r="D367" s="3229">
        <v>2260</v>
      </c>
      <c r="E367" s="3229">
        <v>2220</v>
      </c>
      <c r="F367" s="3229">
        <v>560</v>
      </c>
      <c r="G367" s="3242">
        <v>1370</v>
      </c>
    </row>
    <row r="368" spans="1:7" s="3222" customFormat="1">
      <c r="A368" s="3229" t="s">
        <v>3171</v>
      </c>
      <c r="B368" s="3229" t="s">
        <v>3178</v>
      </c>
      <c r="C368" s="3229">
        <v>2430</v>
      </c>
      <c r="D368" s="3229">
        <v>2390</v>
      </c>
      <c r="E368" s="3229">
        <v>2350</v>
      </c>
      <c r="F368" s="3229">
        <v>570</v>
      </c>
      <c r="G368" s="3242">
        <v>1450</v>
      </c>
    </row>
    <row r="369" spans="1:7" s="3222" customFormat="1">
      <c r="A369" s="3229" t="s">
        <v>3171</v>
      </c>
      <c r="B369" s="3229" t="s">
        <v>214</v>
      </c>
      <c r="C369" s="3229">
        <v>2320</v>
      </c>
      <c r="D369" s="3229">
        <v>2290</v>
      </c>
      <c r="E369" s="3229">
        <v>2250</v>
      </c>
      <c r="F369" s="3229">
        <v>550</v>
      </c>
      <c r="G369" s="3242">
        <v>1380</v>
      </c>
    </row>
    <row r="370" spans="1:7" s="3222" customFormat="1">
      <c r="A370" s="3229" t="s">
        <v>3171</v>
      </c>
      <c r="B370" s="3229" t="s">
        <v>221</v>
      </c>
      <c r="C370" s="3229">
        <v>2190</v>
      </c>
      <c r="D370" s="3229">
        <v>2170</v>
      </c>
      <c r="E370" s="3229">
        <v>2130</v>
      </c>
      <c r="F370" s="3229">
        <v>530</v>
      </c>
      <c r="G370" s="3242">
        <v>1310</v>
      </c>
    </row>
    <row r="371" spans="1:7" s="3222" customFormat="1">
      <c r="A371" s="3229" t="s">
        <v>3171</v>
      </c>
      <c r="B371" s="3229" t="s">
        <v>229</v>
      </c>
      <c r="C371" s="3229">
        <v>2460</v>
      </c>
      <c r="D371" s="3229">
        <v>2420</v>
      </c>
      <c r="E371" s="3229">
        <v>2370</v>
      </c>
      <c r="F371" s="3229">
        <v>560</v>
      </c>
      <c r="G371" s="3242">
        <v>1470</v>
      </c>
    </row>
    <row r="372" spans="1:7" s="3222" customFormat="1">
      <c r="A372" s="3229" t="s">
        <v>3171</v>
      </c>
      <c r="B372" s="3229" t="s">
        <v>3179</v>
      </c>
      <c r="C372" s="3229">
        <v>2250</v>
      </c>
      <c r="D372" s="3229">
        <v>2210</v>
      </c>
      <c r="E372" s="3229">
        <v>2180</v>
      </c>
      <c r="F372" s="3229">
        <v>550</v>
      </c>
      <c r="G372" s="3242">
        <v>1340</v>
      </c>
    </row>
    <row r="373" spans="1:7" s="3222" customFormat="1">
      <c r="A373" s="3229" t="s">
        <v>3171</v>
      </c>
      <c r="B373" s="3229" t="s">
        <v>258</v>
      </c>
      <c r="C373" s="3229">
        <v>2210</v>
      </c>
      <c r="D373" s="3229">
        <v>2190</v>
      </c>
      <c r="E373" s="3229">
        <v>2150</v>
      </c>
      <c r="F373" s="3229">
        <v>530</v>
      </c>
      <c r="G373" s="3242">
        <v>1320</v>
      </c>
    </row>
    <row r="374" spans="1:7" s="3222" customFormat="1">
      <c r="A374" s="3229" t="s">
        <v>3171</v>
      </c>
      <c r="B374" s="3229" t="s">
        <v>266</v>
      </c>
      <c r="C374" s="3229">
        <v>2320</v>
      </c>
      <c r="D374" s="3229">
        <v>2280</v>
      </c>
      <c r="E374" s="3229">
        <v>2230</v>
      </c>
      <c r="F374" s="3229">
        <v>580</v>
      </c>
      <c r="G374" s="3242">
        <v>1380</v>
      </c>
    </row>
    <row r="375" spans="1:7" s="3222" customFormat="1">
      <c r="A375" s="3229" t="s">
        <v>3171</v>
      </c>
      <c r="B375" s="3229" t="s">
        <v>3180</v>
      </c>
      <c r="C375" s="3229">
        <v>2090</v>
      </c>
      <c r="D375" s="3229">
        <v>2050</v>
      </c>
      <c r="E375" s="3229">
        <v>2020</v>
      </c>
      <c r="F375" s="3229">
        <v>520</v>
      </c>
      <c r="G375" s="3242">
        <v>1240</v>
      </c>
    </row>
    <row r="376" spans="1:7" s="3222" customFormat="1">
      <c r="A376" s="3229" t="s">
        <v>3171</v>
      </c>
      <c r="B376" s="3229" t="s">
        <v>277</v>
      </c>
      <c r="C376" s="3229">
        <v>2010</v>
      </c>
      <c r="D376" s="3229">
        <v>1980</v>
      </c>
      <c r="E376" s="3229">
        <v>1940</v>
      </c>
      <c r="F376" s="3229">
        <v>540</v>
      </c>
      <c r="G376" s="3242">
        <v>1190</v>
      </c>
    </row>
    <row r="377" spans="1:7" s="3222" customFormat="1" ht="12" thickBot="1">
      <c r="A377" s="3237" t="s">
        <v>3171</v>
      </c>
      <c r="B377" s="3240" t="s">
        <v>2933</v>
      </c>
      <c r="C377" s="3240">
        <v>1930</v>
      </c>
      <c r="D377" s="3240">
        <v>1890</v>
      </c>
      <c r="E377" s="3240">
        <v>1860</v>
      </c>
      <c r="F377" s="3240">
        <v>530</v>
      </c>
      <c r="G377" s="3245">
        <v>1150</v>
      </c>
    </row>
    <row r="378" spans="1:7" s="3222" customFormat="1">
      <c r="A378" s="3246" t="s">
        <v>3181</v>
      </c>
      <c r="B378" s="3225" t="s">
        <v>3182</v>
      </c>
      <c r="C378" s="3225">
        <v>1520</v>
      </c>
      <c r="D378" s="3225">
        <v>1490</v>
      </c>
      <c r="E378" s="3225">
        <v>1460</v>
      </c>
      <c r="F378" s="3225">
        <v>460</v>
      </c>
      <c r="G378" s="3241">
        <v>940</v>
      </c>
    </row>
    <row r="379" spans="1:7" s="3222" customFormat="1">
      <c r="A379" s="3247" t="s">
        <v>3181</v>
      </c>
      <c r="B379" s="3229" t="s">
        <v>3183</v>
      </c>
      <c r="C379" s="3229">
        <v>1500</v>
      </c>
      <c r="D379" s="3229">
        <v>1470</v>
      </c>
      <c r="E379" s="3229">
        <v>1430</v>
      </c>
      <c r="F379" s="3229">
        <v>460</v>
      </c>
      <c r="G379" s="3242">
        <v>920</v>
      </c>
    </row>
    <row r="380" spans="1:7" s="3222" customFormat="1">
      <c r="A380" s="3247" t="s">
        <v>3181</v>
      </c>
      <c r="B380" s="3229" t="s">
        <v>3184</v>
      </c>
      <c r="C380" s="3229">
        <v>1620</v>
      </c>
      <c r="D380" s="3229">
        <v>1590</v>
      </c>
      <c r="E380" s="3229">
        <v>1560</v>
      </c>
      <c r="F380" s="3229">
        <v>480</v>
      </c>
      <c r="G380" s="3242">
        <v>1000</v>
      </c>
    </row>
    <row r="381" spans="1:7" s="3222" customFormat="1">
      <c r="A381" s="3247" t="s">
        <v>3181</v>
      </c>
      <c r="B381" s="3229" t="s">
        <v>3185</v>
      </c>
      <c r="C381" s="3229">
        <v>1460</v>
      </c>
      <c r="D381" s="3229">
        <v>1430</v>
      </c>
      <c r="E381" s="3229">
        <v>1390</v>
      </c>
      <c r="F381" s="3229">
        <v>450</v>
      </c>
      <c r="G381" s="3242">
        <v>900</v>
      </c>
    </row>
    <row r="382" spans="1:7" s="3222" customFormat="1">
      <c r="A382" s="3247" t="s">
        <v>3181</v>
      </c>
      <c r="B382" s="3229" t="s">
        <v>3186</v>
      </c>
      <c r="C382" s="3229">
        <v>1310</v>
      </c>
      <c r="D382" s="3229">
        <v>1280</v>
      </c>
      <c r="E382" s="3229">
        <v>1250</v>
      </c>
      <c r="F382" s="3229">
        <v>440</v>
      </c>
      <c r="G382" s="3242">
        <v>800</v>
      </c>
    </row>
    <row r="383" spans="1:7" s="3222" customFormat="1">
      <c r="A383" s="3247" t="s">
        <v>3181</v>
      </c>
      <c r="B383" s="3229" t="s">
        <v>3187</v>
      </c>
      <c r="C383" s="3229">
        <v>1260</v>
      </c>
      <c r="D383" s="3229">
        <v>1230</v>
      </c>
      <c r="E383" s="3229">
        <v>1200</v>
      </c>
      <c r="F383" s="3229">
        <v>420</v>
      </c>
      <c r="G383" s="3242">
        <v>770</v>
      </c>
    </row>
    <row r="384" spans="1:7" s="3222" customFormat="1" ht="12" thickBot="1">
      <c r="A384" s="3248" t="s">
        <v>3181</v>
      </c>
      <c r="B384" s="3236" t="s">
        <v>3188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60" t="s">
        <v>3189</v>
      </c>
      <c r="B1" s="3860"/>
    </row>
    <row r="2" spans="1:7" ht="14.25" thickBot="1">
      <c r="A2" s="3251"/>
      <c r="B2" s="3251"/>
    </row>
    <row r="3" spans="1:7" ht="14.25" thickBot="1">
      <c r="A3" s="3251"/>
      <c r="B3" s="3251"/>
      <c r="C3" s="3252" t="s">
        <v>2813</v>
      </c>
      <c r="D3" s="3252" t="s">
        <v>2875</v>
      </c>
      <c r="E3" s="3252" t="s">
        <v>2815</v>
      </c>
      <c r="F3" s="3252" t="s">
        <v>2876</v>
      </c>
      <c r="G3" s="3252" t="s">
        <v>2633</v>
      </c>
    </row>
    <row r="4" spans="1:7" ht="14.25" thickBot="1">
      <c r="A4" s="3253" t="s">
        <v>2874</v>
      </c>
      <c r="B4" s="3254" t="s">
        <v>2880</v>
      </c>
      <c r="C4" s="3252"/>
      <c r="D4" s="3252"/>
      <c r="E4" s="3252"/>
      <c r="F4" s="3252"/>
      <c r="G4" s="3252"/>
    </row>
    <row r="5" spans="1:7">
      <c r="A5" s="3255" t="s">
        <v>2848</v>
      </c>
      <c r="B5" s="3256" t="s">
        <v>2862</v>
      </c>
      <c r="C5" s="3257">
        <v>9.8000000000000004E-2</v>
      </c>
      <c r="D5" s="3257">
        <v>8.6999999999999994E-2</v>
      </c>
      <c r="E5" s="3257">
        <v>8.6999999999999994E-2</v>
      </c>
      <c r="F5" s="3257">
        <v>9.8000000000000004E-2</v>
      </c>
      <c r="G5" s="3258">
        <v>9.5000000000000001E-2</v>
      </c>
    </row>
    <row r="6" spans="1:7">
      <c r="A6" s="3259" t="s">
        <v>144</v>
      </c>
      <c r="B6" s="3260" t="s">
        <v>2877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2931</v>
      </c>
      <c r="C29" s="3269"/>
      <c r="D29" s="3265">
        <v>5.1999999999999998E-2</v>
      </c>
      <c r="E29" s="3265">
        <v>7.0000000000000007E-2</v>
      </c>
      <c r="F29" s="3269"/>
      <c r="G29" s="3267">
        <v>7.0999999999999994E-2</v>
      </c>
    </row>
    <row r="30" spans="1:7">
      <c r="A30" s="3270" t="s">
        <v>296</v>
      </c>
      <c r="B30" s="3256" t="s">
        <v>2864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2850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2934</v>
      </c>
      <c r="C50" s="3261">
        <v>9.8000000000000004E-2</v>
      </c>
      <c r="D50" s="3261">
        <v>7.2999999999999995E-2</v>
      </c>
      <c r="E50" s="3261">
        <v>7.0999999999999994E-2</v>
      </c>
      <c r="F50" s="3272"/>
      <c r="G50" s="3262">
        <v>7.2999999999999995E-2</v>
      </c>
    </row>
    <row r="51" spans="1:7">
      <c r="A51" s="3271" t="s">
        <v>296</v>
      </c>
      <c r="B51" s="3260" t="s">
        <v>2936</v>
      </c>
      <c r="C51" s="3261">
        <v>9.9000000000000005E-2</v>
      </c>
      <c r="D51" s="3261">
        <v>8.5000000000000006E-2</v>
      </c>
      <c r="E51" s="3261">
        <v>6.3E-2</v>
      </c>
      <c r="F51" s="3272"/>
      <c r="G51" s="3262">
        <v>9.6000000000000002E-2</v>
      </c>
    </row>
    <row r="52" spans="1:7">
      <c r="A52" s="3271" t="s">
        <v>296</v>
      </c>
      <c r="B52" s="3260" t="s">
        <v>2940</v>
      </c>
      <c r="C52" s="3261">
        <v>7.3999999999999996E-2</v>
      </c>
      <c r="D52" s="3261">
        <v>9.6000000000000002E-2</v>
      </c>
      <c r="E52" s="3261">
        <v>0.05</v>
      </c>
      <c r="F52" s="3272"/>
      <c r="G52" s="3262">
        <v>9.8000000000000004E-2</v>
      </c>
    </row>
    <row r="53" spans="1:7">
      <c r="A53" s="3271" t="s">
        <v>296</v>
      </c>
      <c r="B53" s="3260" t="s">
        <v>2945</v>
      </c>
      <c r="C53" s="3261">
        <v>8.5999999999999993E-2</v>
      </c>
      <c r="D53" s="3272"/>
      <c r="E53" s="3261">
        <v>9.1999999999999998E-2</v>
      </c>
      <c r="F53" s="3272"/>
      <c r="G53" s="3273"/>
    </row>
    <row r="54" spans="1:7" ht="14.25" thickBot="1">
      <c r="A54" s="3274" t="s">
        <v>296</v>
      </c>
      <c r="B54" s="3264" t="s">
        <v>2948</v>
      </c>
      <c r="C54" s="3265">
        <v>9.6000000000000002E-2</v>
      </c>
      <c r="D54" s="3266"/>
      <c r="E54" s="3275"/>
      <c r="F54" s="3266"/>
      <c r="G54" s="3276"/>
    </row>
    <row r="55" spans="1:7">
      <c r="A55" s="3270" t="s">
        <v>110</v>
      </c>
      <c r="B55" s="3256" t="s">
        <v>2865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2946</v>
      </c>
      <c r="C78" s="3261">
        <v>0.1</v>
      </c>
      <c r="D78" s="3261">
        <v>8.5000000000000006E-2</v>
      </c>
      <c r="E78" s="3261">
        <v>9.6000000000000002E-2</v>
      </c>
      <c r="F78" s="3272"/>
      <c r="G78" s="3262">
        <v>9.6000000000000002E-2</v>
      </c>
    </row>
    <row r="79" spans="1:7">
      <c r="A79" s="3271" t="s">
        <v>110</v>
      </c>
      <c r="B79" s="3260" t="s">
        <v>2949</v>
      </c>
      <c r="C79" s="3261">
        <v>0.05</v>
      </c>
      <c r="D79" s="3261">
        <v>9.6000000000000002E-2</v>
      </c>
      <c r="E79" s="3261">
        <v>9.5000000000000001E-2</v>
      </c>
      <c r="F79" s="3272"/>
      <c r="G79" s="3262">
        <v>9.8000000000000004E-2</v>
      </c>
    </row>
    <row r="80" spans="1:7">
      <c r="A80" s="3271" t="s">
        <v>110</v>
      </c>
      <c r="B80" s="3260" t="s">
        <v>2953</v>
      </c>
      <c r="C80" s="3261">
        <v>8.5999999999999993E-2</v>
      </c>
      <c r="D80" s="3277"/>
      <c r="E80" s="3261">
        <v>0.1</v>
      </c>
      <c r="F80" s="3272"/>
      <c r="G80" s="3273"/>
    </row>
    <row r="81" spans="1:7">
      <c r="A81" s="3271" t="s">
        <v>110</v>
      </c>
      <c r="B81" s="3260" t="s">
        <v>2958</v>
      </c>
      <c r="C81" s="3261">
        <v>9.6000000000000002E-2</v>
      </c>
      <c r="D81" s="3272"/>
      <c r="E81" s="3261">
        <v>9.8000000000000004E-2</v>
      </c>
      <c r="F81" s="3272"/>
      <c r="G81" s="3273"/>
    </row>
    <row r="82" spans="1:7">
      <c r="A82" s="3271" t="s">
        <v>110</v>
      </c>
      <c r="B82" s="3260" t="s">
        <v>2965</v>
      </c>
      <c r="C82" s="3277"/>
      <c r="D82" s="3272"/>
      <c r="E82" s="3261">
        <v>7.6999999999999999E-2</v>
      </c>
      <c r="F82" s="3272"/>
      <c r="G82" s="3273"/>
    </row>
    <row r="83" spans="1:7">
      <c r="A83" s="3271" t="s">
        <v>110</v>
      </c>
      <c r="B83" s="3260" t="s">
        <v>2971</v>
      </c>
      <c r="C83" s="3272"/>
      <c r="D83" s="3272"/>
      <c r="E83" s="3272"/>
      <c r="F83" s="3261">
        <v>0.1</v>
      </c>
      <c r="G83" s="3278"/>
    </row>
    <row r="84" spans="1:7">
      <c r="A84" s="3271" t="s">
        <v>110</v>
      </c>
      <c r="B84" s="3260" t="s">
        <v>2978</v>
      </c>
      <c r="C84" s="3272"/>
      <c r="D84" s="3272"/>
      <c r="E84" s="3272"/>
      <c r="F84" s="3261">
        <v>0.1</v>
      </c>
      <c r="G84" s="3278"/>
    </row>
    <row r="85" spans="1:7">
      <c r="A85" s="3271" t="s">
        <v>110</v>
      </c>
      <c r="B85" s="3260" t="s">
        <v>2985</v>
      </c>
      <c r="C85" s="3272"/>
      <c r="D85" s="3272"/>
      <c r="E85" s="3272"/>
      <c r="F85" s="3261">
        <v>0.1</v>
      </c>
      <c r="G85" s="3278"/>
    </row>
    <row r="86" spans="1:7" ht="14.25" thickBot="1">
      <c r="A86" s="3274" t="s">
        <v>110</v>
      </c>
      <c r="B86" s="3264" t="s">
        <v>2990</v>
      </c>
      <c r="C86" s="3265">
        <v>9.8000000000000004E-2</v>
      </c>
      <c r="D86" s="3265">
        <v>9.8000000000000004E-2</v>
      </c>
      <c r="E86" s="3265">
        <v>9.6000000000000002E-2</v>
      </c>
      <c r="F86" s="3275"/>
      <c r="G86" s="3267">
        <v>0.1</v>
      </c>
    </row>
    <row r="87" spans="1:7">
      <c r="A87" s="3270" t="s">
        <v>303</v>
      </c>
      <c r="B87" s="3256" t="s">
        <v>2866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2959</v>
      </c>
      <c r="C113" s="3261">
        <v>0.1</v>
      </c>
      <c r="D113" s="3261">
        <v>0.1</v>
      </c>
      <c r="E113" s="3272"/>
      <c r="F113" s="3272"/>
      <c r="G113" s="3262">
        <v>0.1</v>
      </c>
    </row>
    <row r="114" spans="1:7">
      <c r="A114" s="3271" t="s">
        <v>303</v>
      </c>
      <c r="B114" s="3260" t="s">
        <v>2966</v>
      </c>
      <c r="C114" s="3261">
        <v>9.7000000000000003E-2</v>
      </c>
      <c r="D114" s="3261">
        <v>9.7000000000000003E-2</v>
      </c>
      <c r="E114" s="3272"/>
      <c r="F114" s="3272"/>
      <c r="G114" s="3262">
        <v>9.9000000000000005E-2</v>
      </c>
    </row>
    <row r="115" spans="1:7">
      <c r="A115" s="3271" t="s">
        <v>303</v>
      </c>
      <c r="B115" s="3260" t="s">
        <v>2972</v>
      </c>
      <c r="C115" s="3261">
        <v>0.1</v>
      </c>
      <c r="D115" s="3261">
        <v>0.1</v>
      </c>
      <c r="E115" s="3272"/>
      <c r="F115" s="3272"/>
      <c r="G115" s="3262">
        <v>0.1</v>
      </c>
    </row>
    <row r="116" spans="1:7">
      <c r="A116" s="3271" t="s">
        <v>303</v>
      </c>
      <c r="B116" s="3260" t="s">
        <v>2979</v>
      </c>
      <c r="C116" s="3261">
        <v>0.1</v>
      </c>
      <c r="D116" s="3261">
        <v>0.1</v>
      </c>
      <c r="E116" s="3272"/>
      <c r="F116" s="3272"/>
      <c r="G116" s="3262">
        <v>0.1</v>
      </c>
    </row>
    <row r="117" spans="1:7">
      <c r="A117" s="3271" t="s">
        <v>303</v>
      </c>
      <c r="B117" s="3260" t="s">
        <v>2986</v>
      </c>
      <c r="C117" s="3261">
        <v>9.7000000000000003E-2</v>
      </c>
      <c r="D117" s="3261">
        <v>9.7000000000000003E-2</v>
      </c>
      <c r="E117" s="3272"/>
      <c r="F117" s="3272"/>
      <c r="G117" s="3262">
        <v>9.7000000000000003E-2</v>
      </c>
    </row>
    <row r="118" spans="1:7">
      <c r="A118" s="3271" t="s">
        <v>303</v>
      </c>
      <c r="B118" s="3260" t="s">
        <v>2991</v>
      </c>
      <c r="C118" s="3261">
        <v>0.1</v>
      </c>
      <c r="D118" s="3261">
        <v>0.1</v>
      </c>
      <c r="E118" s="3272"/>
      <c r="F118" s="3272"/>
      <c r="G118" s="3262">
        <v>0.1</v>
      </c>
    </row>
    <row r="119" spans="1:7">
      <c r="A119" s="3271" t="s">
        <v>303</v>
      </c>
      <c r="B119" s="3260" t="s">
        <v>2995</v>
      </c>
      <c r="C119" s="3261">
        <v>5.0999999999999997E-2</v>
      </c>
      <c r="D119" s="3261">
        <v>5.1999999999999998E-2</v>
      </c>
      <c r="E119" s="3272"/>
      <c r="F119" s="3277"/>
      <c r="G119" s="3262">
        <v>0.06</v>
      </c>
    </row>
    <row r="120" spans="1:7">
      <c r="A120" s="3271" t="s">
        <v>303</v>
      </c>
      <c r="B120" s="3260" t="s">
        <v>2999</v>
      </c>
      <c r="C120" s="3272"/>
      <c r="D120" s="3272"/>
      <c r="E120" s="3272"/>
      <c r="F120" s="3261">
        <v>0.1</v>
      </c>
      <c r="G120" s="3278"/>
    </row>
    <row r="121" spans="1:7">
      <c r="A121" s="3271" t="s">
        <v>303</v>
      </c>
      <c r="B121" s="3260" t="s">
        <v>3004</v>
      </c>
      <c r="C121" s="3272"/>
      <c r="D121" s="3272"/>
      <c r="E121" s="3272"/>
      <c r="F121" s="3261">
        <v>0.1</v>
      </c>
      <c r="G121" s="3278"/>
    </row>
    <row r="122" spans="1:7">
      <c r="A122" s="3271" t="s">
        <v>303</v>
      </c>
      <c r="B122" s="3260" t="s">
        <v>3009</v>
      </c>
      <c r="C122" s="3261">
        <v>0.1</v>
      </c>
      <c r="D122" s="3261">
        <v>0.1</v>
      </c>
      <c r="E122" s="3261">
        <v>9.8000000000000004E-2</v>
      </c>
      <c r="F122" s="3261">
        <v>0.1</v>
      </c>
      <c r="G122" s="3262">
        <v>0.1</v>
      </c>
    </row>
    <row r="123" spans="1:7">
      <c r="A123" s="3271" t="s">
        <v>303</v>
      </c>
      <c r="B123" s="3260" t="s">
        <v>3014</v>
      </c>
      <c r="C123" s="3261">
        <v>0.1</v>
      </c>
      <c r="D123" s="3261">
        <v>0.1</v>
      </c>
      <c r="E123" s="3261">
        <v>9.8000000000000004E-2</v>
      </c>
      <c r="F123" s="3261">
        <v>0.1</v>
      </c>
      <c r="G123" s="3262">
        <v>0.1</v>
      </c>
    </row>
    <row r="124" spans="1:7">
      <c r="A124" s="3271" t="s">
        <v>303</v>
      </c>
      <c r="B124" s="3260" t="s">
        <v>3019</v>
      </c>
      <c r="C124" s="3261">
        <v>0.1</v>
      </c>
      <c r="D124" s="3261">
        <v>0.1</v>
      </c>
      <c r="E124" s="3261">
        <v>9.8000000000000004E-2</v>
      </c>
      <c r="F124" s="3277"/>
      <c r="G124" s="3262">
        <v>0.1</v>
      </c>
    </row>
    <row r="125" spans="1:7">
      <c r="A125" s="3271" t="s">
        <v>303</v>
      </c>
      <c r="B125" s="3260" t="s">
        <v>3024</v>
      </c>
      <c r="C125" s="3261">
        <v>9.8000000000000004E-2</v>
      </c>
      <c r="D125" s="3261">
        <v>9.8000000000000004E-2</v>
      </c>
      <c r="E125" s="3261">
        <v>9.6000000000000002E-2</v>
      </c>
      <c r="F125" s="3277"/>
      <c r="G125" s="3262">
        <v>0.1</v>
      </c>
    </row>
    <row r="126" spans="1:7" ht="14.25" thickBot="1">
      <c r="A126" s="3274" t="s">
        <v>303</v>
      </c>
      <c r="B126" s="3264" t="s">
        <v>3190</v>
      </c>
      <c r="C126" s="3265">
        <v>0.1</v>
      </c>
      <c r="D126" s="3265">
        <v>0.1</v>
      </c>
      <c r="E126" s="3265">
        <v>9.8000000000000004E-2</v>
      </c>
      <c r="F126" s="3265">
        <v>0.1</v>
      </c>
      <c r="G126" s="3267">
        <v>0.1</v>
      </c>
    </row>
    <row r="127" spans="1:7">
      <c r="A127" s="3270" t="s">
        <v>29</v>
      </c>
      <c r="B127" s="3256" t="s">
        <v>2867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2937</v>
      </c>
      <c r="C148" s="3261">
        <v>0.13</v>
      </c>
      <c r="D148" s="3261">
        <v>0.13</v>
      </c>
      <c r="E148" s="3261">
        <v>0.13</v>
      </c>
      <c r="F148" s="3272"/>
      <c r="G148" s="3262">
        <v>0.13</v>
      </c>
    </row>
    <row r="149" spans="1:7">
      <c r="A149" s="3271" t="s">
        <v>29</v>
      </c>
      <c r="B149" s="3260" t="s">
        <v>2941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2960</v>
      </c>
      <c r="C153" s="3261">
        <v>0.13</v>
      </c>
      <c r="D153" s="3261">
        <v>0.13</v>
      </c>
      <c r="E153" s="3261">
        <v>0.13</v>
      </c>
      <c r="F153" s="3261">
        <v>0.13</v>
      </c>
      <c r="G153" s="3262">
        <v>0.13</v>
      </c>
    </row>
    <row r="154" spans="1:7">
      <c r="A154" s="3271" t="s">
        <v>29</v>
      </c>
      <c r="B154" s="3260" t="s">
        <v>2967</v>
      </c>
      <c r="C154" s="3261">
        <v>0.121</v>
      </c>
      <c r="D154" s="3261">
        <v>0.121</v>
      </c>
      <c r="E154" s="3261">
        <v>0.105</v>
      </c>
      <c r="F154" s="3261">
        <v>0.121</v>
      </c>
      <c r="G154" s="3262">
        <v>0.123</v>
      </c>
    </row>
    <row r="155" spans="1:7">
      <c r="A155" s="3271" t="s">
        <v>29</v>
      </c>
      <c r="B155" s="3260" t="s">
        <v>2973</v>
      </c>
      <c r="C155" s="3261">
        <v>0.1</v>
      </c>
      <c r="D155" s="3261">
        <v>0.1</v>
      </c>
      <c r="E155" s="3261">
        <v>0.1</v>
      </c>
      <c r="F155" s="3261">
        <v>0.1</v>
      </c>
      <c r="G155" s="3262">
        <v>0.1</v>
      </c>
    </row>
    <row r="156" spans="1:7">
      <c r="A156" s="3271" t="s">
        <v>29</v>
      </c>
      <c r="B156" s="3260" t="s">
        <v>2980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3000</v>
      </c>
      <c r="C160" s="3261">
        <v>0.13</v>
      </c>
      <c r="D160" s="3261">
        <v>0.13</v>
      </c>
      <c r="E160" s="3261">
        <v>0.124</v>
      </c>
      <c r="F160" s="3261">
        <v>0.126</v>
      </c>
      <c r="G160" s="3262">
        <v>0.13</v>
      </c>
    </row>
    <row r="161" spans="1:7">
      <c r="A161" s="3271" t="s">
        <v>29</v>
      </c>
      <c r="B161" s="3260" t="s">
        <v>3005</v>
      </c>
      <c r="C161" s="3261">
        <v>0.13</v>
      </c>
      <c r="D161" s="3261">
        <v>0.13</v>
      </c>
      <c r="E161" s="3261">
        <v>0.124</v>
      </c>
      <c r="F161" s="3261">
        <v>0.127</v>
      </c>
      <c r="G161" s="3262">
        <v>0.13</v>
      </c>
    </row>
    <row r="162" spans="1:7">
      <c r="A162" s="3271" t="s">
        <v>29</v>
      </c>
      <c r="B162" s="3260" t="s">
        <v>3010</v>
      </c>
      <c r="C162" s="3261">
        <v>0.1</v>
      </c>
      <c r="D162" s="3261">
        <v>0.1</v>
      </c>
      <c r="E162" s="3261">
        <v>0.1</v>
      </c>
      <c r="F162" s="3261">
        <v>0.121</v>
      </c>
      <c r="G162" s="3262">
        <v>0.105</v>
      </c>
    </row>
    <row r="163" spans="1:7">
      <c r="A163" s="3271" t="s">
        <v>29</v>
      </c>
      <c r="B163" s="3260" t="s">
        <v>3015</v>
      </c>
      <c r="C163" s="3261">
        <v>0.1</v>
      </c>
      <c r="D163" s="3261">
        <v>0.1</v>
      </c>
      <c r="E163" s="3261">
        <v>0.1</v>
      </c>
      <c r="F163" s="3261">
        <v>0.1</v>
      </c>
      <c r="G163" s="3262">
        <v>0.1</v>
      </c>
    </row>
    <row r="164" spans="1:7">
      <c r="A164" s="3271" t="s">
        <v>29</v>
      </c>
      <c r="B164" s="3260" t="s">
        <v>3020</v>
      </c>
      <c r="C164" s="3277"/>
      <c r="D164" s="3277"/>
      <c r="E164" s="3277"/>
      <c r="F164" s="3261">
        <v>0.1</v>
      </c>
      <c r="G164" s="3273"/>
    </row>
    <row r="165" spans="1:7">
      <c r="A165" s="3271" t="s">
        <v>29</v>
      </c>
      <c r="B165" s="3260" t="s">
        <v>3191</v>
      </c>
      <c r="C165" s="3261">
        <v>0.126</v>
      </c>
      <c r="D165" s="3261">
        <v>0.126</v>
      </c>
      <c r="E165" s="3261">
        <v>0.11899999999999999</v>
      </c>
      <c r="F165" s="3261">
        <v>0.13</v>
      </c>
      <c r="G165" s="3262">
        <v>0.128</v>
      </c>
    </row>
    <row r="166" spans="1:7">
      <c r="A166" s="3271" t="s">
        <v>29</v>
      </c>
      <c r="B166" s="3260" t="s">
        <v>3030</v>
      </c>
      <c r="C166" s="3261">
        <v>0.129</v>
      </c>
      <c r="D166" s="3261">
        <v>0.129</v>
      </c>
      <c r="E166" s="3261">
        <v>0.123</v>
      </c>
      <c r="F166" s="3261">
        <v>0.128</v>
      </c>
      <c r="G166" s="3262">
        <v>0.13</v>
      </c>
    </row>
    <row r="167" spans="1:7">
      <c r="A167" s="3271" t="s">
        <v>29</v>
      </c>
      <c r="B167" s="3260" t="s">
        <v>3034</v>
      </c>
      <c r="C167" s="3261">
        <v>0.125</v>
      </c>
      <c r="D167" s="3261">
        <v>0.125</v>
      </c>
      <c r="E167" s="3261">
        <v>0.11700000000000001</v>
      </c>
      <c r="F167" s="3261">
        <v>0.13</v>
      </c>
      <c r="G167" s="3262">
        <v>0.126</v>
      </c>
    </row>
    <row r="168" spans="1:7">
      <c r="A168" s="3271" t="s">
        <v>29</v>
      </c>
      <c r="B168" s="3260" t="s">
        <v>3039</v>
      </c>
      <c r="C168" s="3261">
        <v>0.128</v>
      </c>
      <c r="D168" s="3261">
        <v>0.128</v>
      </c>
      <c r="E168" s="3261">
        <v>0.123</v>
      </c>
      <c r="F168" s="3272"/>
      <c r="G168" s="3262">
        <v>0.13</v>
      </c>
    </row>
    <row r="169" spans="1:7">
      <c r="A169" s="3271" t="s">
        <v>29</v>
      </c>
      <c r="B169" s="3260" t="s">
        <v>3192</v>
      </c>
      <c r="C169" s="3277"/>
      <c r="D169" s="3277"/>
      <c r="E169" s="3277"/>
      <c r="F169" s="3261">
        <v>0.05</v>
      </c>
      <c r="G169" s="3273"/>
    </row>
    <row r="170" spans="1:7">
      <c r="A170" s="3271" t="s">
        <v>29</v>
      </c>
      <c r="B170" s="3260" t="s">
        <v>3193</v>
      </c>
      <c r="C170" s="3277"/>
      <c r="D170" s="3277"/>
      <c r="E170" s="3277"/>
      <c r="F170" s="3261">
        <v>0.05</v>
      </c>
      <c r="G170" s="3273"/>
    </row>
    <row r="171" spans="1:7">
      <c r="A171" s="3271" t="s">
        <v>29</v>
      </c>
      <c r="B171" s="3260" t="s">
        <v>3194</v>
      </c>
      <c r="C171" s="3277"/>
      <c r="D171" s="3277"/>
      <c r="E171" s="3277"/>
      <c r="F171" s="3261">
        <v>0.05</v>
      </c>
      <c r="G171" s="3278"/>
    </row>
    <row r="172" spans="1:7">
      <c r="A172" s="3271" t="s">
        <v>29</v>
      </c>
      <c r="B172" s="3260" t="s">
        <v>3195</v>
      </c>
      <c r="C172" s="3277"/>
      <c r="D172" s="3277"/>
      <c r="E172" s="3277"/>
      <c r="F172" s="3261">
        <v>0.05</v>
      </c>
      <c r="G172" s="3278"/>
    </row>
    <row r="173" spans="1:7">
      <c r="A173" s="3271" t="s">
        <v>29</v>
      </c>
      <c r="B173" s="3260" t="s">
        <v>3196</v>
      </c>
      <c r="C173" s="3277"/>
      <c r="D173" s="3277"/>
      <c r="E173" s="3277"/>
      <c r="F173" s="3261">
        <v>0.05</v>
      </c>
      <c r="G173" s="3273"/>
    </row>
    <row r="174" spans="1:7">
      <c r="A174" s="3271" t="s">
        <v>29</v>
      </c>
      <c r="B174" s="3260" t="s">
        <v>3197</v>
      </c>
      <c r="C174" s="3277"/>
      <c r="D174" s="3277"/>
      <c r="E174" s="3277"/>
      <c r="F174" s="3261">
        <v>0.05</v>
      </c>
      <c r="G174" s="3273"/>
    </row>
    <row r="175" spans="1:7">
      <c r="A175" s="3271" t="s">
        <v>29</v>
      </c>
      <c r="B175" s="3260" t="s">
        <v>3198</v>
      </c>
      <c r="C175" s="3277"/>
      <c r="D175" s="3277"/>
      <c r="E175" s="3277"/>
      <c r="F175" s="3261">
        <v>0.05</v>
      </c>
      <c r="G175" s="3273"/>
    </row>
    <row r="176" spans="1:7">
      <c r="A176" s="3271" t="s">
        <v>29</v>
      </c>
      <c r="B176" s="3260" t="s">
        <v>3199</v>
      </c>
      <c r="C176" s="3277"/>
      <c r="D176" s="3277"/>
      <c r="E176" s="3277"/>
      <c r="F176" s="3261">
        <v>0.05</v>
      </c>
      <c r="G176" s="3273"/>
    </row>
    <row r="177" spans="1:7">
      <c r="A177" s="3271" t="s">
        <v>29</v>
      </c>
      <c r="B177" s="3260" t="s">
        <v>3200</v>
      </c>
      <c r="C177" s="3272"/>
      <c r="D177" s="3272"/>
      <c r="E177" s="3272"/>
      <c r="F177" s="3261">
        <v>0.05</v>
      </c>
      <c r="G177" s="3278"/>
    </row>
    <row r="178" spans="1:7">
      <c r="A178" s="3271" t="s">
        <v>29</v>
      </c>
      <c r="B178" s="3260" t="s">
        <v>3201</v>
      </c>
      <c r="C178" s="3272"/>
      <c r="D178" s="3272"/>
      <c r="E178" s="3272"/>
      <c r="F178" s="3261">
        <v>0.05</v>
      </c>
      <c r="G178" s="3278"/>
    </row>
    <row r="179" spans="1:7">
      <c r="A179" s="3271" t="s">
        <v>29</v>
      </c>
      <c r="B179" s="3260" t="s">
        <v>3202</v>
      </c>
      <c r="C179" s="3272"/>
      <c r="D179" s="3272"/>
      <c r="E179" s="3272"/>
      <c r="F179" s="3261">
        <v>0.05</v>
      </c>
      <c r="G179" s="3278"/>
    </row>
    <row r="180" spans="1:7">
      <c r="A180" s="3271" t="s">
        <v>29</v>
      </c>
      <c r="B180" s="3260" t="s">
        <v>3203</v>
      </c>
      <c r="C180" s="3272"/>
      <c r="D180" s="3272"/>
      <c r="E180" s="3272"/>
      <c r="F180" s="3261">
        <v>0.05</v>
      </c>
      <c r="G180" s="3278"/>
    </row>
    <row r="181" spans="1:7">
      <c r="A181" s="3271" t="s">
        <v>29</v>
      </c>
      <c r="B181" s="3260" t="s">
        <v>3204</v>
      </c>
      <c r="C181" s="3272"/>
      <c r="D181" s="3272"/>
      <c r="E181" s="3272"/>
      <c r="F181" s="3261">
        <v>0.05</v>
      </c>
      <c r="G181" s="3278"/>
    </row>
    <row r="182" spans="1:7">
      <c r="A182" s="3271" t="s">
        <v>29</v>
      </c>
      <c r="B182" s="3260" t="s">
        <v>3205</v>
      </c>
      <c r="C182" s="3272"/>
      <c r="D182" s="3272"/>
      <c r="E182" s="3272"/>
      <c r="F182" s="3261">
        <v>0.05</v>
      </c>
      <c r="G182" s="3278"/>
    </row>
    <row r="183" spans="1:7">
      <c r="A183" s="3271" t="s">
        <v>29</v>
      </c>
      <c r="B183" s="3260" t="s">
        <v>3206</v>
      </c>
      <c r="C183" s="3272"/>
      <c r="D183" s="3272"/>
      <c r="E183" s="3272"/>
      <c r="F183" s="3261">
        <v>0.05</v>
      </c>
      <c r="G183" s="3278"/>
    </row>
    <row r="184" spans="1:7">
      <c r="A184" s="3271" t="s">
        <v>29</v>
      </c>
      <c r="B184" s="3260" t="s">
        <v>3207</v>
      </c>
      <c r="C184" s="3272"/>
      <c r="D184" s="3272"/>
      <c r="E184" s="3272"/>
      <c r="F184" s="3261">
        <v>0.05</v>
      </c>
      <c r="G184" s="3278"/>
    </row>
    <row r="185" spans="1:7">
      <c r="A185" s="3271" t="s">
        <v>29</v>
      </c>
      <c r="B185" s="3260" t="s">
        <v>3208</v>
      </c>
      <c r="C185" s="3272"/>
      <c r="D185" s="3272"/>
      <c r="E185" s="3272"/>
      <c r="F185" s="3261">
        <v>0.05</v>
      </c>
      <c r="G185" s="3278"/>
    </row>
    <row r="186" spans="1:7">
      <c r="A186" s="3271" t="s">
        <v>29</v>
      </c>
      <c r="B186" s="3260" t="s">
        <v>3209</v>
      </c>
      <c r="C186" s="3272"/>
      <c r="D186" s="3272"/>
      <c r="E186" s="3272"/>
      <c r="F186" s="3261">
        <v>0.05</v>
      </c>
      <c r="G186" s="3278"/>
    </row>
    <row r="187" spans="1:7">
      <c r="A187" s="3271" t="s">
        <v>29</v>
      </c>
      <c r="B187" s="3260" t="s">
        <v>3210</v>
      </c>
      <c r="C187" s="3272"/>
      <c r="D187" s="3272"/>
      <c r="E187" s="3272"/>
      <c r="F187" s="3261">
        <v>0.05</v>
      </c>
      <c r="G187" s="3278"/>
    </row>
    <row r="188" spans="1:7">
      <c r="A188" s="3271" t="s">
        <v>29</v>
      </c>
      <c r="B188" s="3260" t="s">
        <v>3211</v>
      </c>
      <c r="C188" s="3272"/>
      <c r="D188" s="3272"/>
      <c r="E188" s="3272"/>
      <c r="F188" s="3261">
        <v>0.05</v>
      </c>
      <c r="G188" s="3278"/>
    </row>
    <row r="189" spans="1:7" ht="14.25" thickBot="1">
      <c r="A189" s="3274" t="s">
        <v>29</v>
      </c>
      <c r="B189" s="3264" t="s">
        <v>3212</v>
      </c>
      <c r="C189" s="3266"/>
      <c r="D189" s="3266"/>
      <c r="E189" s="3266"/>
      <c r="F189" s="3265">
        <v>0.05</v>
      </c>
      <c r="G189" s="3279"/>
    </row>
    <row r="190" spans="1:7">
      <c r="A190" s="3270" t="s">
        <v>304</v>
      </c>
      <c r="B190" s="3256" t="s">
        <v>2868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2904</v>
      </c>
      <c r="C199" s="3261">
        <v>0.13</v>
      </c>
      <c r="D199" s="3261">
        <v>0.13</v>
      </c>
      <c r="E199" s="3261">
        <v>0.13</v>
      </c>
      <c r="F199" s="3261">
        <v>0.13</v>
      </c>
      <c r="G199" s="3262">
        <v>0.13</v>
      </c>
    </row>
    <row r="200" spans="1:7">
      <c r="A200" s="3271" t="s">
        <v>304</v>
      </c>
      <c r="B200" s="3260" t="s">
        <v>2907</v>
      </c>
      <c r="C200" s="3277"/>
      <c r="D200" s="3277"/>
      <c r="E200" s="3277"/>
      <c r="F200" s="3261">
        <v>0.13</v>
      </c>
      <c r="G200" s="3273"/>
    </row>
    <row r="201" spans="1:7">
      <c r="A201" s="3271" t="s">
        <v>304</v>
      </c>
      <c r="B201" s="3260" t="s">
        <v>2912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2915</v>
      </c>
      <c r="C203" s="3261">
        <v>0.129</v>
      </c>
      <c r="D203" s="3261">
        <v>0.129</v>
      </c>
      <c r="E203" s="3261">
        <v>0.13</v>
      </c>
      <c r="F203" s="3261">
        <v>0.13</v>
      </c>
      <c r="G203" s="3262">
        <v>0.13</v>
      </c>
    </row>
    <row r="204" spans="1:7">
      <c r="A204" s="3271" t="s">
        <v>304</v>
      </c>
      <c r="B204" s="3260" t="s">
        <v>2918</v>
      </c>
      <c r="C204" s="3261">
        <v>0.129</v>
      </c>
      <c r="D204" s="3261">
        <v>0.129</v>
      </c>
      <c r="E204" s="3261">
        <v>0.123</v>
      </c>
      <c r="F204" s="3261">
        <v>0.13</v>
      </c>
      <c r="G204" s="3262">
        <v>0.13</v>
      </c>
    </row>
    <row r="205" spans="1:7">
      <c r="A205" s="3271" t="s">
        <v>304</v>
      </c>
      <c r="B205" s="3260" t="s">
        <v>2920</v>
      </c>
      <c r="C205" s="3261">
        <v>0.13</v>
      </c>
      <c r="D205" s="3261">
        <v>0.13</v>
      </c>
      <c r="E205" s="3261">
        <v>0.13</v>
      </c>
      <c r="F205" s="3261">
        <v>0.13</v>
      </c>
      <c r="G205" s="3262">
        <v>0.13</v>
      </c>
    </row>
    <row r="206" spans="1:7">
      <c r="A206" s="3271" t="s">
        <v>304</v>
      </c>
      <c r="B206" s="3260" t="s">
        <v>2923</v>
      </c>
      <c r="C206" s="3261">
        <v>0.13</v>
      </c>
      <c r="D206" s="3261">
        <v>0.13</v>
      </c>
      <c r="E206" s="3261">
        <v>0.13</v>
      </c>
      <c r="F206" s="3261">
        <v>0.128</v>
      </c>
      <c r="G206" s="3262">
        <v>0.13</v>
      </c>
    </row>
    <row r="207" spans="1:7">
      <c r="A207" s="3271" t="s">
        <v>304</v>
      </c>
      <c r="B207" s="3260" t="s">
        <v>2925</v>
      </c>
      <c r="C207" s="3261">
        <v>0.13</v>
      </c>
      <c r="D207" s="3261">
        <v>0.13</v>
      </c>
      <c r="E207" s="3261">
        <v>0.13</v>
      </c>
      <c r="F207" s="3261">
        <v>0.13</v>
      </c>
      <c r="G207" s="3262">
        <v>0.13</v>
      </c>
    </row>
    <row r="208" spans="1:7">
      <c r="A208" s="3271" t="s">
        <v>304</v>
      </c>
      <c r="B208" s="3260" t="s">
        <v>2928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2935</v>
      </c>
      <c r="C210" s="3261">
        <v>0.121</v>
      </c>
      <c r="D210" s="3261">
        <v>0.121</v>
      </c>
      <c r="E210" s="3261">
        <v>0.125</v>
      </c>
      <c r="F210" s="3261">
        <v>0.13</v>
      </c>
      <c r="G210" s="3262">
        <v>0.123</v>
      </c>
    </row>
    <row r="211" spans="1:7">
      <c r="A211" s="3271" t="s">
        <v>304</v>
      </c>
      <c r="B211" s="3260" t="s">
        <v>2938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2950</v>
      </c>
      <c r="C214" s="3261">
        <v>0.128</v>
      </c>
      <c r="D214" s="3261">
        <v>0.128</v>
      </c>
      <c r="E214" s="3261">
        <v>0.13</v>
      </c>
      <c r="F214" s="3261">
        <v>0.13</v>
      </c>
      <c r="G214" s="3262">
        <v>0.13</v>
      </c>
    </row>
    <row r="215" spans="1:7">
      <c r="A215" s="3271" t="s">
        <v>304</v>
      </c>
      <c r="B215" s="3260" t="s">
        <v>2954</v>
      </c>
      <c r="C215" s="3261">
        <v>0.13</v>
      </c>
      <c r="D215" s="3261">
        <v>0.13</v>
      </c>
      <c r="E215" s="3261">
        <v>0.13</v>
      </c>
      <c r="F215" s="3261">
        <v>0.129</v>
      </c>
      <c r="G215" s="3262">
        <v>0.13</v>
      </c>
    </row>
    <row r="216" spans="1:7">
      <c r="A216" s="3271" t="s">
        <v>304</v>
      </c>
      <c r="B216" s="3260" t="s">
        <v>2961</v>
      </c>
      <c r="C216" s="3261">
        <v>0.13</v>
      </c>
      <c r="D216" s="3261">
        <v>0.13</v>
      </c>
      <c r="E216" s="3261">
        <v>0.13</v>
      </c>
      <c r="F216" s="3261">
        <v>0.13</v>
      </c>
      <c r="G216" s="3262">
        <v>0.13</v>
      </c>
    </row>
    <row r="217" spans="1:7">
      <c r="A217" s="3271" t="s">
        <v>304</v>
      </c>
      <c r="B217" s="3260" t="s">
        <v>2968</v>
      </c>
      <c r="C217" s="3261">
        <v>0.129</v>
      </c>
      <c r="D217" s="3261">
        <v>0.129</v>
      </c>
      <c r="E217" s="3261">
        <v>0.13</v>
      </c>
      <c r="F217" s="3261">
        <v>0.13</v>
      </c>
      <c r="G217" s="3262">
        <v>0.13</v>
      </c>
    </row>
    <row r="218" spans="1:7">
      <c r="A218" s="3271" t="s">
        <v>304</v>
      </c>
      <c r="B218" s="3260" t="s">
        <v>2974</v>
      </c>
      <c r="C218" s="3272"/>
      <c r="D218" s="3272"/>
      <c r="E218" s="3272"/>
      <c r="F218" s="3261">
        <v>0.05</v>
      </c>
      <c r="G218" s="3278"/>
    </row>
    <row r="219" spans="1:7">
      <c r="A219" s="3271" t="s">
        <v>304</v>
      </c>
      <c r="B219" s="3260" t="s">
        <v>2981</v>
      </c>
      <c r="C219" s="3272"/>
      <c r="D219" s="3272"/>
      <c r="E219" s="3272"/>
      <c r="F219" s="3261">
        <v>0.05</v>
      </c>
      <c r="G219" s="3278"/>
    </row>
    <row r="220" spans="1:7">
      <c r="A220" s="3271" t="s">
        <v>304</v>
      </c>
      <c r="B220" s="3260" t="s">
        <v>2987</v>
      </c>
      <c r="C220" s="3272"/>
      <c r="D220" s="3272"/>
      <c r="E220" s="3272"/>
      <c r="F220" s="3261">
        <v>0.05</v>
      </c>
      <c r="G220" s="3278"/>
    </row>
    <row r="221" spans="1:7">
      <c r="A221" s="3271" t="s">
        <v>304</v>
      </c>
      <c r="B221" s="3260" t="s">
        <v>2992</v>
      </c>
      <c r="C221" s="3272"/>
      <c r="D221" s="3272"/>
      <c r="E221" s="3272"/>
      <c r="F221" s="3261">
        <v>0.05</v>
      </c>
      <c r="G221" s="3278"/>
    </row>
    <row r="222" spans="1:7">
      <c r="A222" s="3271" t="s">
        <v>304</v>
      </c>
      <c r="B222" s="3260" t="s">
        <v>2996</v>
      </c>
      <c r="C222" s="3272"/>
      <c r="D222" s="3272"/>
      <c r="E222" s="3272"/>
      <c r="F222" s="3261">
        <v>0.05</v>
      </c>
      <c r="G222" s="3278"/>
    </row>
    <row r="223" spans="1:7">
      <c r="A223" s="3271" t="s">
        <v>304</v>
      </c>
      <c r="B223" s="3260" t="s">
        <v>3001</v>
      </c>
      <c r="C223" s="3272"/>
      <c r="D223" s="3272"/>
      <c r="E223" s="3272"/>
      <c r="F223" s="3261">
        <v>0.05</v>
      </c>
      <c r="G223" s="3278"/>
    </row>
    <row r="224" spans="1:7">
      <c r="A224" s="3271" t="s">
        <v>304</v>
      </c>
      <c r="B224" s="3260" t="s">
        <v>3006</v>
      </c>
      <c r="C224" s="3272"/>
      <c r="D224" s="3272"/>
      <c r="E224" s="3272"/>
      <c r="F224" s="3261">
        <v>0.05</v>
      </c>
      <c r="G224" s="3278"/>
    </row>
    <row r="225" spans="1:7">
      <c r="A225" s="3271" t="s">
        <v>304</v>
      </c>
      <c r="B225" s="3260" t="s">
        <v>3011</v>
      </c>
      <c r="C225" s="3272"/>
      <c r="D225" s="3272"/>
      <c r="E225" s="3272"/>
      <c r="F225" s="3261">
        <v>0.05</v>
      </c>
      <c r="G225" s="3278"/>
    </row>
    <row r="226" spans="1:7">
      <c r="A226" s="3271" t="s">
        <v>304</v>
      </c>
      <c r="B226" s="3260" t="s">
        <v>3213</v>
      </c>
      <c r="C226" s="3272"/>
      <c r="D226" s="3272"/>
      <c r="E226" s="3272"/>
      <c r="F226" s="3261">
        <v>0.05</v>
      </c>
      <c r="G226" s="3278"/>
    </row>
    <row r="227" spans="1:7">
      <c r="A227" s="3271" t="s">
        <v>304</v>
      </c>
      <c r="B227" s="3260" t="s">
        <v>3214</v>
      </c>
      <c r="C227" s="3272"/>
      <c r="D227" s="3272"/>
      <c r="E227" s="3272"/>
      <c r="F227" s="3261">
        <v>0.05</v>
      </c>
      <c r="G227" s="3278"/>
    </row>
    <row r="228" spans="1:7">
      <c r="A228" s="3271" t="s">
        <v>304</v>
      </c>
      <c r="B228" s="3260" t="s">
        <v>3215</v>
      </c>
      <c r="C228" s="3272"/>
      <c r="D228" s="3272"/>
      <c r="E228" s="3272"/>
      <c r="F228" s="3261">
        <v>0.05</v>
      </c>
      <c r="G228" s="3278"/>
    </row>
    <row r="229" spans="1:7">
      <c r="A229" s="3271" t="s">
        <v>304</v>
      </c>
      <c r="B229" s="3260" t="s">
        <v>3216</v>
      </c>
      <c r="C229" s="3272"/>
      <c r="D229" s="3272"/>
      <c r="E229" s="3272"/>
      <c r="F229" s="3261">
        <v>0.05</v>
      </c>
      <c r="G229" s="3278"/>
    </row>
    <row r="230" spans="1:7">
      <c r="A230" s="3271" t="s">
        <v>304</v>
      </c>
      <c r="B230" s="3260" t="s">
        <v>3217</v>
      </c>
      <c r="C230" s="3272"/>
      <c r="D230" s="3272"/>
      <c r="E230" s="3272"/>
      <c r="F230" s="3261">
        <v>0.05</v>
      </c>
      <c r="G230" s="3278"/>
    </row>
    <row r="231" spans="1:7">
      <c r="A231" s="3271" t="s">
        <v>304</v>
      </c>
      <c r="B231" s="3260" t="s">
        <v>3218</v>
      </c>
      <c r="C231" s="3272"/>
      <c r="D231" s="3272"/>
      <c r="E231" s="3272"/>
      <c r="F231" s="3261">
        <v>0.05</v>
      </c>
      <c r="G231" s="3278"/>
    </row>
    <row r="232" spans="1:7">
      <c r="A232" s="3271" t="s">
        <v>304</v>
      </c>
      <c r="B232" s="3260" t="s">
        <v>3219</v>
      </c>
      <c r="C232" s="3272"/>
      <c r="D232" s="3272"/>
      <c r="E232" s="3272"/>
      <c r="F232" s="3261">
        <v>0.05</v>
      </c>
      <c r="G232" s="3278"/>
    </row>
    <row r="233" spans="1:7" ht="14.25" thickBot="1">
      <c r="A233" s="3274" t="s">
        <v>304</v>
      </c>
      <c r="B233" s="3264" t="s">
        <v>3220</v>
      </c>
      <c r="C233" s="3266"/>
      <c r="D233" s="3266"/>
      <c r="E233" s="3266"/>
      <c r="F233" s="3265">
        <v>0.05</v>
      </c>
      <c r="G233" s="3279"/>
    </row>
    <row r="234" spans="1:7">
      <c r="A234" s="3270" t="s">
        <v>305</v>
      </c>
      <c r="B234" s="3256" t="s">
        <v>2869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2889</v>
      </c>
      <c r="C238" s="3261">
        <v>0.14899999999999999</v>
      </c>
      <c r="D238" s="3261">
        <v>0.14899999999999999</v>
      </c>
      <c r="E238" s="3261">
        <v>0.15</v>
      </c>
      <c r="F238" s="3261">
        <v>0.15</v>
      </c>
      <c r="G238" s="3262">
        <v>0.15</v>
      </c>
    </row>
    <row r="239" spans="1:7">
      <c r="A239" s="3271" t="s">
        <v>305</v>
      </c>
      <c r="B239" s="3260" t="s">
        <v>2893</v>
      </c>
      <c r="C239" s="3261">
        <v>0.15</v>
      </c>
      <c r="D239" s="3261">
        <v>0.15</v>
      </c>
      <c r="E239" s="3261">
        <v>0.15</v>
      </c>
      <c r="F239" s="3261">
        <v>0.15</v>
      </c>
      <c r="G239" s="3262">
        <v>0.15</v>
      </c>
    </row>
    <row r="240" spans="1:7">
      <c r="A240" s="3271" t="s">
        <v>305</v>
      </c>
      <c r="B240" s="3260" t="s">
        <v>2898</v>
      </c>
      <c r="C240" s="3261">
        <v>0.15</v>
      </c>
      <c r="D240" s="3261">
        <v>0.15</v>
      </c>
      <c r="E240" s="3261">
        <v>0.15</v>
      </c>
      <c r="F240" s="3261">
        <v>0.15</v>
      </c>
      <c r="G240" s="3262">
        <v>0.15</v>
      </c>
    </row>
    <row r="241" spans="1:7">
      <c r="A241" s="3271" t="s">
        <v>305</v>
      </c>
      <c r="B241" s="3260" t="s">
        <v>2902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2951</v>
      </c>
      <c r="C258" s="3261">
        <v>0.14299999999999999</v>
      </c>
      <c r="D258" s="3261">
        <v>0.14299999999999999</v>
      </c>
      <c r="E258" s="3261">
        <v>0.15</v>
      </c>
      <c r="F258" s="3261">
        <v>0.14799999999999999</v>
      </c>
      <c r="G258" s="3262">
        <v>0.14599999999999999</v>
      </c>
    </row>
    <row r="259" spans="1:7">
      <c r="A259" s="3271" t="s">
        <v>305</v>
      </c>
      <c r="B259" s="3260" t="s">
        <v>2955</v>
      </c>
      <c r="C259" s="3261">
        <v>0.14399999999999999</v>
      </c>
      <c r="D259" s="3261">
        <v>0.14399999999999999</v>
      </c>
      <c r="E259" s="3261">
        <v>0.14899999999999999</v>
      </c>
      <c r="F259" s="3261">
        <v>0.14699999999999999</v>
      </c>
      <c r="G259" s="3262">
        <v>0.14599999999999999</v>
      </c>
    </row>
    <row r="260" spans="1:7">
      <c r="A260" s="3271" t="s">
        <v>305</v>
      </c>
      <c r="B260" s="3260" t="s">
        <v>2962</v>
      </c>
      <c r="C260" s="3261">
        <v>0.109</v>
      </c>
      <c r="D260" s="3261">
        <v>0.111</v>
      </c>
      <c r="E260" s="3261">
        <v>0.13100000000000001</v>
      </c>
      <c r="F260" s="3261">
        <v>0.126</v>
      </c>
      <c r="G260" s="3262">
        <v>0.11899999999999999</v>
      </c>
    </row>
    <row r="261" spans="1:7">
      <c r="A261" s="3271" t="s">
        <v>305</v>
      </c>
      <c r="B261" s="3260" t="s">
        <v>2969</v>
      </c>
      <c r="C261" s="3261">
        <v>0.1</v>
      </c>
      <c r="D261" s="3261">
        <v>0.1</v>
      </c>
      <c r="E261" s="3261">
        <v>0.11799999999999999</v>
      </c>
      <c r="F261" s="3261">
        <v>0.108</v>
      </c>
      <c r="G261" s="3262">
        <v>0.107</v>
      </c>
    </row>
    <row r="262" spans="1:7">
      <c r="A262" s="3271" t="s">
        <v>305</v>
      </c>
      <c r="B262" s="3260" t="s">
        <v>2975</v>
      </c>
      <c r="C262" s="3261">
        <v>0.1</v>
      </c>
      <c r="D262" s="3261">
        <v>0.1</v>
      </c>
      <c r="E262" s="3261">
        <v>0.1</v>
      </c>
      <c r="F262" s="3261">
        <v>0.14099999999999999</v>
      </c>
      <c r="G262" s="3262">
        <v>0.1</v>
      </c>
    </row>
    <row r="263" spans="1:7">
      <c r="A263" s="3271" t="s">
        <v>305</v>
      </c>
      <c r="B263" s="3260" t="s">
        <v>2982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2993</v>
      </c>
      <c r="C265" s="3272"/>
      <c r="D265" s="3272"/>
      <c r="E265" s="3272"/>
      <c r="F265" s="3261">
        <v>0.05</v>
      </c>
      <c r="G265" s="3278"/>
    </row>
    <row r="266" spans="1:7">
      <c r="A266" s="3271" t="s">
        <v>305</v>
      </c>
      <c r="B266" s="3260" t="s">
        <v>2997</v>
      </c>
      <c r="C266" s="3272"/>
      <c r="D266" s="3272"/>
      <c r="E266" s="3272"/>
      <c r="F266" s="3261">
        <v>0.05</v>
      </c>
      <c r="G266" s="3278"/>
    </row>
    <row r="267" spans="1:7">
      <c r="A267" s="3271" t="s">
        <v>305</v>
      </c>
      <c r="B267" s="3260" t="s">
        <v>3002</v>
      </c>
      <c r="C267" s="3272"/>
      <c r="D267" s="3272"/>
      <c r="E267" s="3272"/>
      <c r="F267" s="3261">
        <v>0.05</v>
      </c>
      <c r="G267" s="3278"/>
    </row>
    <row r="268" spans="1:7">
      <c r="A268" s="3271" t="s">
        <v>305</v>
      </c>
      <c r="B268" s="3260" t="s">
        <v>3007</v>
      </c>
      <c r="C268" s="3272"/>
      <c r="D268" s="3272"/>
      <c r="E268" s="3272"/>
      <c r="F268" s="3261">
        <v>0.05</v>
      </c>
      <c r="G268" s="3278"/>
    </row>
    <row r="269" spans="1:7">
      <c r="A269" s="3271" t="s">
        <v>305</v>
      </c>
      <c r="B269" s="3260" t="s">
        <v>3012</v>
      </c>
      <c r="C269" s="3272"/>
      <c r="D269" s="3272"/>
      <c r="E269" s="3272"/>
      <c r="F269" s="3261">
        <v>0.05</v>
      </c>
      <c r="G269" s="3278"/>
    </row>
    <row r="270" spans="1:7">
      <c r="A270" s="3271" t="s">
        <v>305</v>
      </c>
      <c r="B270" s="3260" t="s">
        <v>3017</v>
      </c>
      <c r="C270" s="3272"/>
      <c r="D270" s="3272"/>
      <c r="E270" s="3272"/>
      <c r="F270" s="3261">
        <v>0.05</v>
      </c>
      <c r="G270" s="3278"/>
    </row>
    <row r="271" spans="1:7">
      <c r="A271" s="3271" t="s">
        <v>305</v>
      </c>
      <c r="B271" s="3260" t="s">
        <v>3221</v>
      </c>
      <c r="C271" s="3272"/>
      <c r="D271" s="3272"/>
      <c r="E271" s="3272"/>
      <c r="F271" s="3261">
        <v>0.05</v>
      </c>
      <c r="G271" s="3278"/>
    </row>
    <row r="272" spans="1:7">
      <c r="A272" s="3271" t="s">
        <v>305</v>
      </c>
      <c r="B272" s="3260" t="s">
        <v>3222</v>
      </c>
      <c r="C272" s="3272"/>
      <c r="D272" s="3272"/>
      <c r="E272" s="3272"/>
      <c r="F272" s="3261">
        <v>0.05</v>
      </c>
      <c r="G272" s="3278"/>
    </row>
    <row r="273" spans="1:7">
      <c r="A273" s="3271" t="s">
        <v>305</v>
      </c>
      <c r="B273" s="3260" t="s">
        <v>3223</v>
      </c>
      <c r="C273" s="3272"/>
      <c r="D273" s="3272"/>
      <c r="E273" s="3272"/>
      <c r="F273" s="3261">
        <v>0.05</v>
      </c>
      <c r="G273" s="3278"/>
    </row>
    <row r="274" spans="1:7">
      <c r="A274" s="3271" t="s">
        <v>305</v>
      </c>
      <c r="B274" s="3260" t="s">
        <v>3224</v>
      </c>
      <c r="C274" s="3272"/>
      <c r="D274" s="3272"/>
      <c r="E274" s="3272"/>
      <c r="F274" s="3261">
        <v>0.05</v>
      </c>
      <c r="G274" s="3278"/>
    </row>
    <row r="275" spans="1:7">
      <c r="A275" s="3271" t="s">
        <v>305</v>
      </c>
      <c r="B275" s="3260" t="s">
        <v>3225</v>
      </c>
      <c r="C275" s="3272"/>
      <c r="D275" s="3272"/>
      <c r="E275" s="3272"/>
      <c r="F275" s="3261">
        <v>0.05</v>
      </c>
      <c r="G275" s="3278"/>
    </row>
    <row r="276" spans="1:7" ht="14.25" thickBot="1">
      <c r="A276" s="3274" t="s">
        <v>305</v>
      </c>
      <c r="B276" s="3264" t="s">
        <v>3226</v>
      </c>
      <c r="C276" s="3266"/>
      <c r="D276" s="3266"/>
      <c r="E276" s="3266"/>
      <c r="F276" s="3265">
        <v>0.05</v>
      </c>
      <c r="G276" s="3279"/>
    </row>
    <row r="277" spans="1:7">
      <c r="A277" s="3270" t="s">
        <v>306</v>
      </c>
      <c r="B277" s="3256" t="s">
        <v>2870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2882</v>
      </c>
      <c r="C279" s="3261">
        <v>0.15</v>
      </c>
      <c r="D279" s="3261">
        <v>0.15</v>
      </c>
      <c r="E279" s="3261">
        <v>0.15</v>
      </c>
      <c r="F279" s="3261">
        <v>0.15</v>
      </c>
      <c r="G279" s="3262">
        <v>0.15</v>
      </c>
    </row>
    <row r="280" spans="1:7">
      <c r="A280" s="3271" t="s">
        <v>306</v>
      </c>
      <c r="B280" s="3260" t="s">
        <v>2886</v>
      </c>
      <c r="C280" s="3261">
        <v>0.15</v>
      </c>
      <c r="D280" s="3261">
        <v>0.15</v>
      </c>
      <c r="E280" s="3261">
        <v>0.15</v>
      </c>
      <c r="F280" s="3261">
        <v>0.15</v>
      </c>
      <c r="G280" s="3262">
        <v>0.15</v>
      </c>
    </row>
    <row r="281" spans="1:7">
      <c r="A281" s="3271" t="s">
        <v>306</v>
      </c>
      <c r="B281" s="3260" t="s">
        <v>2890</v>
      </c>
      <c r="C281" s="3261">
        <v>0.15</v>
      </c>
      <c r="D281" s="3261">
        <v>0.15</v>
      </c>
      <c r="E281" s="3261">
        <v>0.15</v>
      </c>
      <c r="F281" s="3261">
        <v>0.15</v>
      </c>
      <c r="G281" s="3262">
        <v>0.15</v>
      </c>
    </row>
    <row r="282" spans="1:7">
      <c r="A282" s="3271" t="s">
        <v>306</v>
      </c>
      <c r="B282" s="3260" t="s">
        <v>2894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2924</v>
      </c>
      <c r="C293" s="3261">
        <v>0.15</v>
      </c>
      <c r="D293" s="3261">
        <v>0.15</v>
      </c>
      <c r="E293" s="3261">
        <v>0.15</v>
      </c>
      <c r="F293" s="3261">
        <v>0.14499999999999999</v>
      </c>
      <c r="G293" s="3262">
        <v>0.15</v>
      </c>
    </row>
    <row r="294" spans="1:7">
      <c r="A294" s="3271" t="s">
        <v>306</v>
      </c>
      <c r="B294" s="3260" t="s">
        <v>2926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2956</v>
      </c>
      <c r="C302" s="3261">
        <v>0.15</v>
      </c>
      <c r="D302" s="3261">
        <v>0.15</v>
      </c>
      <c r="E302" s="3261">
        <v>0.15</v>
      </c>
      <c r="F302" s="3261">
        <v>0.14699999999999999</v>
      </c>
      <c r="G302" s="3262">
        <v>0.15</v>
      </c>
    </row>
    <row r="303" spans="1:7">
      <c r="A303" s="3271" t="s">
        <v>306</v>
      </c>
      <c r="B303" s="3260" t="s">
        <v>2963</v>
      </c>
      <c r="C303" s="3261">
        <v>0.15</v>
      </c>
      <c r="D303" s="3261">
        <v>0.15</v>
      </c>
      <c r="E303" s="3261">
        <v>0.15</v>
      </c>
      <c r="F303" s="3261">
        <v>0.14199999999999999</v>
      </c>
      <c r="G303" s="3262">
        <v>0.15</v>
      </c>
    </row>
    <row r="304" spans="1:7">
      <c r="A304" s="3271" t="s">
        <v>306</v>
      </c>
      <c r="B304" s="3260" t="s">
        <v>2970</v>
      </c>
      <c r="C304" s="3261">
        <v>0.15</v>
      </c>
      <c r="D304" s="3261">
        <v>0.15</v>
      </c>
      <c r="E304" s="3261">
        <v>0.15</v>
      </c>
      <c r="F304" s="3261">
        <v>0.14499999999999999</v>
      </c>
      <c r="G304" s="3262">
        <v>0.15</v>
      </c>
    </row>
    <row r="305" spans="1:7">
      <c r="A305" s="3271" t="s">
        <v>306</v>
      </c>
      <c r="B305" s="3260" t="s">
        <v>2976</v>
      </c>
      <c r="C305" s="3261">
        <v>0.15</v>
      </c>
      <c r="D305" s="3261">
        <v>0.15</v>
      </c>
      <c r="E305" s="3261">
        <v>0.15</v>
      </c>
      <c r="F305" s="3261">
        <v>0.111</v>
      </c>
      <c r="G305" s="3262">
        <v>0.15</v>
      </c>
    </row>
    <row r="306" spans="1:7">
      <c r="A306" s="3271" t="s">
        <v>306</v>
      </c>
      <c r="B306" s="3260" t="s">
        <v>2983</v>
      </c>
      <c r="C306" s="3261">
        <v>0.15</v>
      </c>
      <c r="D306" s="3261">
        <v>0.15</v>
      </c>
      <c r="E306" s="3261">
        <v>0.15</v>
      </c>
      <c r="F306" s="3261">
        <v>0.126</v>
      </c>
      <c r="G306" s="3262">
        <v>0.15</v>
      </c>
    </row>
    <row r="307" spans="1:7">
      <c r="A307" s="3271" t="s">
        <v>306</v>
      </c>
      <c r="B307" s="3260" t="s">
        <v>2988</v>
      </c>
      <c r="C307" s="3261">
        <v>0.15</v>
      </c>
      <c r="D307" s="3261">
        <v>0.15</v>
      </c>
      <c r="E307" s="3261">
        <v>0.15</v>
      </c>
      <c r="F307" s="3261">
        <v>0.12</v>
      </c>
      <c r="G307" s="3262">
        <v>0.15</v>
      </c>
    </row>
    <row r="308" spans="1:7">
      <c r="A308" s="3271" t="s">
        <v>306</v>
      </c>
      <c r="B308" s="3260" t="s">
        <v>2994</v>
      </c>
      <c r="C308" s="3261">
        <v>0.15</v>
      </c>
      <c r="D308" s="3261">
        <v>0.15</v>
      </c>
      <c r="E308" s="3261">
        <v>0.15</v>
      </c>
      <c r="F308" s="3261">
        <v>0.13</v>
      </c>
      <c r="G308" s="3262">
        <v>0.15</v>
      </c>
    </row>
    <row r="309" spans="1:7">
      <c r="A309" s="3271" t="s">
        <v>306</v>
      </c>
      <c r="B309" s="3260" t="s">
        <v>2998</v>
      </c>
      <c r="C309" s="3261">
        <v>0.15</v>
      </c>
      <c r="D309" s="3261">
        <v>0.15</v>
      </c>
      <c r="E309" s="3261">
        <v>0.15</v>
      </c>
      <c r="F309" s="3261">
        <v>0.14099999999999999</v>
      </c>
      <c r="G309" s="3262">
        <v>0.15</v>
      </c>
    </row>
    <row r="310" spans="1:7">
      <c r="A310" s="3271" t="s">
        <v>306</v>
      </c>
      <c r="B310" s="3260" t="s">
        <v>3003</v>
      </c>
      <c r="C310" s="3261">
        <v>0.15</v>
      </c>
      <c r="D310" s="3261">
        <v>0.15</v>
      </c>
      <c r="E310" s="3261">
        <v>0.15</v>
      </c>
      <c r="F310" s="3261">
        <v>0.15</v>
      </c>
      <c r="G310" s="3262">
        <v>0.15</v>
      </c>
    </row>
    <row r="311" spans="1:7">
      <c r="A311" s="3271" t="s">
        <v>306</v>
      </c>
      <c r="B311" s="3260" t="s">
        <v>3008</v>
      </c>
      <c r="C311" s="3261">
        <v>0.13200000000000001</v>
      </c>
      <c r="D311" s="3261">
        <v>0.13300000000000001</v>
      </c>
      <c r="E311" s="3261">
        <v>0.14499999999999999</v>
      </c>
      <c r="F311" s="3261">
        <v>0.14199999999999999</v>
      </c>
      <c r="G311" s="3262">
        <v>0.14000000000000001</v>
      </c>
    </row>
    <row r="312" spans="1:7">
      <c r="A312" s="3271" t="s">
        <v>306</v>
      </c>
      <c r="B312" s="3260" t="s">
        <v>3013</v>
      </c>
      <c r="C312" s="3261">
        <v>0.13800000000000001</v>
      </c>
      <c r="D312" s="3261">
        <v>0.14000000000000001</v>
      </c>
      <c r="E312" s="3261">
        <v>0.14599999999999999</v>
      </c>
      <c r="F312" s="3261">
        <v>0.14899999999999999</v>
      </c>
      <c r="G312" s="3262">
        <v>0.14199999999999999</v>
      </c>
    </row>
    <row r="313" spans="1:7">
      <c r="A313" s="3271" t="s">
        <v>306</v>
      </c>
      <c r="B313" s="3260" t="s">
        <v>3018</v>
      </c>
      <c r="C313" s="3261">
        <v>0.125</v>
      </c>
      <c r="D313" s="3261">
        <v>0.127</v>
      </c>
      <c r="E313" s="3261">
        <v>0.14399999999999999</v>
      </c>
      <c r="F313" s="3261">
        <v>0.115</v>
      </c>
      <c r="G313" s="3262">
        <v>0.13600000000000001</v>
      </c>
    </row>
    <row r="314" spans="1:7">
      <c r="A314" s="3271" t="s">
        <v>306</v>
      </c>
      <c r="B314" s="3260" t="s">
        <v>3227</v>
      </c>
      <c r="C314" s="3277"/>
      <c r="D314" s="3277"/>
      <c r="E314" s="3277"/>
      <c r="F314" s="3261">
        <v>0.05</v>
      </c>
      <c r="G314" s="3278"/>
    </row>
    <row r="315" spans="1:7">
      <c r="A315" s="3271" t="s">
        <v>306</v>
      </c>
      <c r="B315" s="3260" t="s">
        <v>3228</v>
      </c>
      <c r="C315" s="3277"/>
      <c r="D315" s="3277"/>
      <c r="E315" s="3277"/>
      <c r="F315" s="3261">
        <v>0.05</v>
      </c>
      <c r="G315" s="3278"/>
    </row>
    <row r="316" spans="1:7">
      <c r="A316" s="3271" t="s">
        <v>306</v>
      </c>
      <c r="B316" s="3260" t="s">
        <v>3229</v>
      </c>
      <c r="C316" s="3272"/>
      <c r="D316" s="3272"/>
      <c r="E316" s="3272"/>
      <c r="F316" s="3261">
        <v>0.05</v>
      </c>
      <c r="G316" s="3278"/>
    </row>
    <row r="317" spans="1:7">
      <c r="A317" s="3271" t="s">
        <v>306</v>
      </c>
      <c r="B317" s="3260" t="s">
        <v>3230</v>
      </c>
      <c r="C317" s="3272"/>
      <c r="D317" s="3272"/>
      <c r="E317" s="3272"/>
      <c r="F317" s="3261">
        <v>0.05</v>
      </c>
      <c r="G317" s="3278"/>
    </row>
    <row r="318" spans="1:7">
      <c r="A318" s="3271" t="s">
        <v>306</v>
      </c>
      <c r="B318" s="3260" t="s">
        <v>3231</v>
      </c>
      <c r="C318" s="3272"/>
      <c r="D318" s="3272"/>
      <c r="E318" s="3272"/>
      <c r="F318" s="3261">
        <v>0.05</v>
      </c>
      <c r="G318" s="3278"/>
    </row>
    <row r="319" spans="1:7">
      <c r="A319" s="3271" t="s">
        <v>306</v>
      </c>
      <c r="B319" s="3260" t="s">
        <v>3232</v>
      </c>
      <c r="C319" s="3272"/>
      <c r="D319" s="3272"/>
      <c r="E319" s="3272"/>
      <c r="F319" s="3261">
        <v>0.05</v>
      </c>
      <c r="G319" s="3278"/>
    </row>
    <row r="320" spans="1:7">
      <c r="A320" s="3271" t="s">
        <v>306</v>
      </c>
      <c r="B320" s="3260" t="s">
        <v>3233</v>
      </c>
      <c r="C320" s="3272"/>
      <c r="D320" s="3272"/>
      <c r="E320" s="3272"/>
      <c r="F320" s="3261">
        <v>0.05</v>
      </c>
      <c r="G320" s="3278"/>
    </row>
    <row r="321" spans="1:7">
      <c r="A321" s="3271" t="s">
        <v>306</v>
      </c>
      <c r="B321" s="3260" t="s">
        <v>3234</v>
      </c>
      <c r="C321" s="3272"/>
      <c r="D321" s="3272"/>
      <c r="E321" s="3272"/>
      <c r="F321" s="3261">
        <v>0.05</v>
      </c>
      <c r="G321" s="3278"/>
    </row>
    <row r="322" spans="1:7">
      <c r="A322" s="3271" t="s">
        <v>306</v>
      </c>
      <c r="B322" s="3260" t="s">
        <v>3235</v>
      </c>
      <c r="C322" s="3272"/>
      <c r="D322" s="3272"/>
      <c r="E322" s="3272"/>
      <c r="F322" s="3261">
        <v>0.05</v>
      </c>
      <c r="G322" s="3278"/>
    </row>
    <row r="323" spans="1:7">
      <c r="A323" s="3271" t="s">
        <v>306</v>
      </c>
      <c r="B323" s="3260" t="s">
        <v>3236</v>
      </c>
      <c r="C323" s="3272"/>
      <c r="D323" s="3272"/>
      <c r="E323" s="3272"/>
      <c r="F323" s="3261">
        <v>0.05</v>
      </c>
      <c r="G323" s="3278"/>
    </row>
    <row r="324" spans="1:7">
      <c r="A324" s="3271" t="s">
        <v>306</v>
      </c>
      <c r="B324" s="3260" t="s">
        <v>3237</v>
      </c>
      <c r="C324" s="3272"/>
      <c r="D324" s="3272"/>
      <c r="E324" s="3272"/>
      <c r="F324" s="3261">
        <v>0.05</v>
      </c>
      <c r="G324" s="3278"/>
    </row>
    <row r="325" spans="1:7">
      <c r="A325" s="3271" t="s">
        <v>306</v>
      </c>
      <c r="B325" s="3260" t="s">
        <v>3238</v>
      </c>
      <c r="C325" s="3272"/>
      <c r="D325" s="3272"/>
      <c r="E325" s="3272"/>
      <c r="F325" s="3261">
        <v>0.05</v>
      </c>
      <c r="G325" s="3278"/>
    </row>
    <row r="326" spans="1:7" ht="14.25" thickBot="1">
      <c r="A326" s="3274" t="s">
        <v>306</v>
      </c>
      <c r="B326" s="3264" t="s">
        <v>3239</v>
      </c>
      <c r="C326" s="3266"/>
      <c r="D326" s="3266"/>
      <c r="E326" s="3266"/>
      <c r="F326" s="3265">
        <v>0.05</v>
      </c>
      <c r="G326" s="3279"/>
    </row>
    <row r="327" spans="1:7">
      <c r="A327" s="3270" t="s">
        <v>307</v>
      </c>
      <c r="B327" s="3256" t="s">
        <v>2871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2883</v>
      </c>
      <c r="C329" s="3261">
        <v>0.15</v>
      </c>
      <c r="D329" s="3261">
        <v>0.15</v>
      </c>
      <c r="E329" s="3261">
        <v>0.15</v>
      </c>
      <c r="F329" s="3261">
        <v>0.15</v>
      </c>
      <c r="G329" s="3262">
        <v>0.15</v>
      </c>
    </row>
    <row r="330" spans="1:7">
      <c r="A330" s="3271" t="s">
        <v>307</v>
      </c>
      <c r="B330" s="3260" t="s">
        <v>2887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2895</v>
      </c>
      <c r="C332" s="3261">
        <v>0.15</v>
      </c>
      <c r="D332" s="3261">
        <v>0.15</v>
      </c>
      <c r="E332" s="3261">
        <v>0.15</v>
      </c>
      <c r="F332" s="3261">
        <v>0.15</v>
      </c>
      <c r="G332" s="3262">
        <v>0.15</v>
      </c>
    </row>
    <row r="333" spans="1:7">
      <c r="A333" s="3271" t="s">
        <v>307</v>
      </c>
      <c r="B333" s="3260" t="s">
        <v>2899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2905</v>
      </c>
      <c r="C336" s="3261">
        <v>0.15</v>
      </c>
      <c r="D336" s="3261">
        <v>0.15</v>
      </c>
      <c r="E336" s="3261">
        <v>0.15</v>
      </c>
      <c r="F336" s="3261">
        <v>0.14199999999999999</v>
      </c>
      <c r="G336" s="3262">
        <v>0.15</v>
      </c>
    </row>
    <row r="337" spans="1:7">
      <c r="A337" s="3271" t="s">
        <v>307</v>
      </c>
      <c r="B337" s="3260" t="s">
        <v>2910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2930</v>
      </c>
      <c r="C345" s="3261">
        <v>0.15</v>
      </c>
      <c r="D345" s="3261">
        <v>0.15</v>
      </c>
      <c r="E345" s="3261">
        <v>0.15</v>
      </c>
      <c r="F345" s="3261">
        <v>0.13800000000000001</v>
      </c>
      <c r="G345" s="3262">
        <v>0.15</v>
      </c>
    </row>
    <row r="346" spans="1:7">
      <c r="A346" s="3271" t="s">
        <v>307</v>
      </c>
      <c r="B346" s="3260" t="s">
        <v>2932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2939</v>
      </c>
      <c r="C348" s="3261">
        <v>0.15</v>
      </c>
      <c r="D348" s="3261">
        <v>0.15</v>
      </c>
      <c r="E348" s="3261">
        <v>0.15</v>
      </c>
      <c r="F348" s="3261">
        <v>0.14399999999999999</v>
      </c>
      <c r="G348" s="3262">
        <v>0.15</v>
      </c>
    </row>
    <row r="349" spans="1:7">
      <c r="A349" s="3271" t="s">
        <v>307</v>
      </c>
      <c r="B349" s="3260" t="s">
        <v>2944</v>
      </c>
      <c r="C349" s="3261">
        <v>0.15</v>
      </c>
      <c r="D349" s="3261">
        <v>0.15</v>
      </c>
      <c r="E349" s="3261">
        <v>0.15</v>
      </c>
      <c r="F349" s="3261">
        <v>0.15</v>
      </c>
      <c r="G349" s="3262">
        <v>0.15</v>
      </c>
    </row>
    <row r="350" spans="1:7">
      <c r="A350" s="3271" t="s">
        <v>307</v>
      </c>
      <c r="B350" s="3260" t="s">
        <v>2947</v>
      </c>
      <c r="C350" s="3261">
        <v>0.15</v>
      </c>
      <c r="D350" s="3261">
        <v>0.15</v>
      </c>
      <c r="E350" s="3261">
        <v>0.15</v>
      </c>
      <c r="F350" s="3261">
        <v>0.14699999999999999</v>
      </c>
      <c r="G350" s="3262">
        <v>0.15</v>
      </c>
    </row>
    <row r="351" spans="1:7">
      <c r="A351" s="3271" t="s">
        <v>307</v>
      </c>
      <c r="B351" s="3260" t="s">
        <v>2952</v>
      </c>
      <c r="C351" s="3261">
        <v>0.15</v>
      </c>
      <c r="D351" s="3261">
        <v>0.15</v>
      </c>
      <c r="E351" s="3261">
        <v>0.15</v>
      </c>
      <c r="F351" s="3261">
        <v>0.13</v>
      </c>
      <c r="G351" s="3262">
        <v>0.15</v>
      </c>
    </row>
    <row r="352" spans="1:7">
      <c r="A352" s="3271" t="s">
        <v>307</v>
      </c>
      <c r="B352" s="3260" t="s">
        <v>2957</v>
      </c>
      <c r="C352" s="3261">
        <v>0.15</v>
      </c>
      <c r="D352" s="3261">
        <v>0.15</v>
      </c>
      <c r="E352" s="3261">
        <v>0.15</v>
      </c>
      <c r="F352" s="3261">
        <v>0.14599999999999999</v>
      </c>
      <c r="G352" s="3262">
        <v>0.15</v>
      </c>
    </row>
    <row r="353" spans="1:7">
      <c r="A353" s="3271" t="s">
        <v>307</v>
      </c>
      <c r="B353" s="3260" t="s">
        <v>2964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2977</v>
      </c>
      <c r="C355" s="3261">
        <v>0.15</v>
      </c>
      <c r="D355" s="3261">
        <v>0.15</v>
      </c>
      <c r="E355" s="3261">
        <v>0.15</v>
      </c>
      <c r="F355" s="3261">
        <v>0.15</v>
      </c>
      <c r="G355" s="3262">
        <v>0.15</v>
      </c>
    </row>
    <row r="356" spans="1:7">
      <c r="A356" s="3271" t="s">
        <v>307</v>
      </c>
      <c r="B356" s="3260" t="s">
        <v>2984</v>
      </c>
      <c r="C356" s="3261">
        <v>0.15</v>
      </c>
      <c r="D356" s="3261">
        <v>0.15</v>
      </c>
      <c r="E356" s="3261">
        <v>0.15</v>
      </c>
      <c r="F356" s="3261">
        <v>0.15</v>
      </c>
      <c r="G356" s="3262">
        <v>0.15</v>
      </c>
    </row>
    <row r="357" spans="1:7" ht="14.25" thickBot="1">
      <c r="A357" s="3274" t="s">
        <v>307</v>
      </c>
      <c r="B357" s="3264" t="s">
        <v>2989</v>
      </c>
      <c r="C357" s="3265">
        <v>0.126</v>
      </c>
      <c r="D357" s="3265">
        <v>0.127</v>
      </c>
      <c r="E357" s="3265">
        <v>0.14299999999999999</v>
      </c>
      <c r="F357" s="3265">
        <v>0.125</v>
      </c>
      <c r="G357" s="3267">
        <v>0.129</v>
      </c>
    </row>
    <row r="358" spans="1:7">
      <c r="A358" s="3270" t="s">
        <v>2858</v>
      </c>
      <c r="B358" s="3256" t="s">
        <v>2872</v>
      </c>
      <c r="C358" s="3257">
        <v>0.15</v>
      </c>
      <c r="D358" s="3257">
        <v>0.15</v>
      </c>
      <c r="E358" s="3257">
        <v>0.15</v>
      </c>
      <c r="F358" s="3257">
        <v>0.15</v>
      </c>
      <c r="G358" s="3258">
        <v>0.15</v>
      </c>
    </row>
    <row r="359" spans="1:7">
      <c r="A359" s="3271" t="s">
        <v>2858</v>
      </c>
      <c r="B359" s="3260" t="s">
        <v>2878</v>
      </c>
      <c r="C359" s="3261">
        <v>0.1</v>
      </c>
      <c r="D359" s="3261">
        <v>0.1</v>
      </c>
      <c r="E359" s="3261">
        <v>0.1</v>
      </c>
      <c r="F359" s="3261">
        <v>0.1</v>
      </c>
      <c r="G359" s="3262">
        <v>0.1</v>
      </c>
    </row>
    <row r="360" spans="1:7">
      <c r="A360" s="3271" t="s">
        <v>2858</v>
      </c>
      <c r="B360" s="3260" t="s">
        <v>2884</v>
      </c>
      <c r="C360" s="3261">
        <v>0.15</v>
      </c>
      <c r="D360" s="3261">
        <v>0.15</v>
      </c>
      <c r="E360" s="3261">
        <v>0.15</v>
      </c>
      <c r="F360" s="3261">
        <v>0.14899999999999999</v>
      </c>
      <c r="G360" s="3262">
        <v>0.15</v>
      </c>
    </row>
    <row r="361" spans="1:7">
      <c r="A361" s="3271" t="s">
        <v>2858</v>
      </c>
      <c r="B361" s="3260" t="s">
        <v>153</v>
      </c>
      <c r="C361" s="3261">
        <v>0.15</v>
      </c>
      <c r="D361" s="3261">
        <v>0.15</v>
      </c>
      <c r="E361" s="3261">
        <v>0.15</v>
      </c>
      <c r="F361" s="3261">
        <v>0.115</v>
      </c>
      <c r="G361" s="3262">
        <v>0.15</v>
      </c>
    </row>
    <row r="362" spans="1:7">
      <c r="A362" s="3271" t="s">
        <v>2858</v>
      </c>
      <c r="B362" s="3260" t="s">
        <v>2891</v>
      </c>
      <c r="C362" s="3261">
        <v>0.15</v>
      </c>
      <c r="D362" s="3261">
        <v>0.15</v>
      </c>
      <c r="E362" s="3261">
        <v>0.15</v>
      </c>
      <c r="F362" s="3261">
        <v>0.106</v>
      </c>
      <c r="G362" s="3262">
        <v>0.15</v>
      </c>
    </row>
    <row r="363" spans="1:7">
      <c r="A363" s="3271" t="s">
        <v>2858</v>
      </c>
      <c r="B363" s="3260" t="s">
        <v>2896</v>
      </c>
      <c r="C363" s="3261">
        <v>0.15</v>
      </c>
      <c r="D363" s="3261">
        <v>0.15</v>
      </c>
      <c r="E363" s="3261">
        <v>0.15</v>
      </c>
      <c r="F363" s="3261">
        <v>0.14699999999999999</v>
      </c>
      <c r="G363" s="3262">
        <v>0.15</v>
      </c>
    </row>
    <row r="364" spans="1:7">
      <c r="A364" s="3271" t="s">
        <v>2858</v>
      </c>
      <c r="B364" s="3260" t="s">
        <v>2900</v>
      </c>
      <c r="C364" s="3261">
        <v>0.15</v>
      </c>
      <c r="D364" s="3261">
        <v>0.15</v>
      </c>
      <c r="E364" s="3261">
        <v>0.15</v>
      </c>
      <c r="F364" s="3261">
        <v>0.14799999999999999</v>
      </c>
      <c r="G364" s="3262">
        <v>0.15</v>
      </c>
    </row>
    <row r="365" spans="1:7">
      <c r="A365" s="3271" t="s">
        <v>2858</v>
      </c>
      <c r="B365" s="3260" t="s">
        <v>200</v>
      </c>
      <c r="C365" s="3261">
        <v>0.15</v>
      </c>
      <c r="D365" s="3261">
        <v>0.15</v>
      </c>
      <c r="E365" s="3261">
        <v>0.15</v>
      </c>
      <c r="F365" s="3261">
        <v>0.15</v>
      </c>
      <c r="G365" s="3262">
        <v>0.15</v>
      </c>
    </row>
    <row r="366" spans="1:7">
      <c r="A366" s="3271" t="s">
        <v>2858</v>
      </c>
      <c r="B366" s="3260" t="s">
        <v>2903</v>
      </c>
      <c r="C366" s="3261">
        <v>0.15</v>
      </c>
      <c r="D366" s="3261">
        <v>0.15</v>
      </c>
      <c r="E366" s="3261">
        <v>0.15</v>
      </c>
      <c r="F366" s="3261">
        <v>0.15</v>
      </c>
      <c r="G366" s="3262">
        <v>0.15</v>
      </c>
    </row>
    <row r="367" spans="1:7">
      <c r="A367" s="3271" t="s">
        <v>2858</v>
      </c>
      <c r="B367" s="3260" t="s">
        <v>2906</v>
      </c>
      <c r="C367" s="3261">
        <v>0.15</v>
      </c>
      <c r="D367" s="3261">
        <v>0.15</v>
      </c>
      <c r="E367" s="3261">
        <v>0.15</v>
      </c>
      <c r="F367" s="3261">
        <v>0.14699999999999999</v>
      </c>
      <c r="G367" s="3262">
        <v>0.15</v>
      </c>
    </row>
    <row r="368" spans="1:7">
      <c r="A368" s="3271" t="s">
        <v>2858</v>
      </c>
      <c r="B368" s="3260" t="s">
        <v>2911</v>
      </c>
      <c r="C368" s="3261">
        <v>0.15</v>
      </c>
      <c r="D368" s="3261">
        <v>0.15</v>
      </c>
      <c r="E368" s="3261">
        <v>0.15</v>
      </c>
      <c r="F368" s="3261">
        <v>0.13600000000000001</v>
      </c>
      <c r="G368" s="3262">
        <v>0.15</v>
      </c>
    </row>
    <row r="369" spans="1:7">
      <c r="A369" s="3271" t="s">
        <v>2858</v>
      </c>
      <c r="B369" s="3260" t="s">
        <v>214</v>
      </c>
      <c r="C369" s="3261">
        <v>0.15</v>
      </c>
      <c r="D369" s="3261">
        <v>0.15</v>
      </c>
      <c r="E369" s="3261">
        <v>0.15</v>
      </c>
      <c r="F369" s="3261">
        <v>0.14399999999999999</v>
      </c>
      <c r="G369" s="3262">
        <v>0.15</v>
      </c>
    </row>
    <row r="370" spans="1:7">
      <c r="A370" s="3271" t="s">
        <v>2858</v>
      </c>
      <c r="B370" s="3260" t="s">
        <v>221</v>
      </c>
      <c r="C370" s="3261">
        <v>0.15</v>
      </c>
      <c r="D370" s="3261">
        <v>0.15</v>
      </c>
      <c r="E370" s="3261">
        <v>0.15</v>
      </c>
      <c r="F370" s="3261">
        <v>0.14599999999999999</v>
      </c>
      <c r="G370" s="3262">
        <v>0.15</v>
      </c>
    </row>
    <row r="371" spans="1:7">
      <c r="A371" s="3271" t="s">
        <v>2858</v>
      </c>
      <c r="B371" s="3260" t="s">
        <v>229</v>
      </c>
      <c r="C371" s="3261">
        <v>0.15</v>
      </c>
      <c r="D371" s="3261">
        <v>0.15</v>
      </c>
      <c r="E371" s="3261">
        <v>0.15</v>
      </c>
      <c r="F371" s="3261">
        <v>0.12</v>
      </c>
      <c r="G371" s="3262">
        <v>0.15</v>
      </c>
    </row>
    <row r="372" spans="1:7">
      <c r="A372" s="3271" t="s">
        <v>2858</v>
      </c>
      <c r="B372" s="3260" t="s">
        <v>2919</v>
      </c>
      <c r="C372" s="3261">
        <v>0.15</v>
      </c>
      <c r="D372" s="3261">
        <v>0.15</v>
      </c>
      <c r="E372" s="3261">
        <v>0.15</v>
      </c>
      <c r="F372" s="3261">
        <v>0.14299999999999999</v>
      </c>
      <c r="G372" s="3262">
        <v>0.15</v>
      </c>
    </row>
    <row r="373" spans="1:7">
      <c r="A373" s="3271" t="s">
        <v>2858</v>
      </c>
      <c r="B373" s="3260" t="s">
        <v>258</v>
      </c>
      <c r="C373" s="3261">
        <v>0.15</v>
      </c>
      <c r="D373" s="3261">
        <v>0.15</v>
      </c>
      <c r="E373" s="3261">
        <v>0.15</v>
      </c>
      <c r="F373" s="3261">
        <v>0.14599999999999999</v>
      </c>
      <c r="G373" s="3262">
        <v>0.15</v>
      </c>
    </row>
    <row r="374" spans="1:7">
      <c r="A374" s="3271" t="s">
        <v>2858</v>
      </c>
      <c r="B374" s="3260" t="s">
        <v>266</v>
      </c>
      <c r="C374" s="3261">
        <v>0.15</v>
      </c>
      <c r="D374" s="3261">
        <v>0.15</v>
      </c>
      <c r="E374" s="3261">
        <v>0.15</v>
      </c>
      <c r="F374" s="3261">
        <v>0.14399999999999999</v>
      </c>
      <c r="G374" s="3262">
        <v>0.15</v>
      </c>
    </row>
    <row r="375" spans="1:7">
      <c r="A375" s="3271" t="s">
        <v>2858</v>
      </c>
      <c r="B375" s="3260" t="s">
        <v>2927</v>
      </c>
      <c r="C375" s="3261">
        <v>0.15</v>
      </c>
      <c r="D375" s="3261">
        <v>0.15</v>
      </c>
      <c r="E375" s="3261">
        <v>0.15</v>
      </c>
      <c r="F375" s="3261">
        <v>0.13</v>
      </c>
      <c r="G375" s="3262">
        <v>0.15</v>
      </c>
    </row>
    <row r="376" spans="1:7">
      <c r="A376" s="3271" t="s">
        <v>2858</v>
      </c>
      <c r="B376" s="3260" t="s">
        <v>277</v>
      </c>
      <c r="C376" s="3261">
        <v>0.15</v>
      </c>
      <c r="D376" s="3261">
        <v>0.15</v>
      </c>
      <c r="E376" s="3261">
        <v>0.15</v>
      </c>
      <c r="F376" s="3261">
        <v>0.14199999999999999</v>
      </c>
      <c r="G376" s="3262">
        <v>0.15</v>
      </c>
    </row>
    <row r="377" spans="1:7" ht="14.25" thickBot="1">
      <c r="A377" s="3274" t="s">
        <v>2858</v>
      </c>
      <c r="B377" s="3264" t="s">
        <v>2933</v>
      </c>
      <c r="C377" s="3265">
        <v>0.15</v>
      </c>
      <c r="D377" s="3265">
        <v>0.15</v>
      </c>
      <c r="E377" s="3265">
        <v>0.15</v>
      </c>
      <c r="F377" s="3265">
        <v>0.14000000000000001</v>
      </c>
      <c r="G377" s="3267">
        <v>0.15</v>
      </c>
    </row>
    <row r="378" spans="1:7">
      <c r="A378" s="3270" t="s">
        <v>2859</v>
      </c>
      <c r="B378" s="3256" t="s">
        <v>2873</v>
      </c>
      <c r="C378" s="3257">
        <v>0.15</v>
      </c>
      <c r="D378" s="3257">
        <v>0.15</v>
      </c>
      <c r="E378" s="3257">
        <v>0.15</v>
      </c>
      <c r="F378" s="3257">
        <v>0.107</v>
      </c>
      <c r="G378" s="3258">
        <v>0.15</v>
      </c>
    </row>
    <row r="379" spans="1:7">
      <c r="A379" s="3271" t="s">
        <v>2859</v>
      </c>
      <c r="B379" s="3260" t="s">
        <v>2879</v>
      </c>
      <c r="C379" s="3261">
        <v>0.15</v>
      </c>
      <c r="D379" s="3261">
        <v>0.15</v>
      </c>
      <c r="E379" s="3261">
        <v>0.15</v>
      </c>
      <c r="F379" s="3261">
        <v>0.115</v>
      </c>
      <c r="G379" s="3262">
        <v>0.14899999999999999</v>
      </c>
    </row>
    <row r="380" spans="1:7">
      <c r="A380" s="3271" t="s">
        <v>2859</v>
      </c>
      <c r="B380" s="3260" t="s">
        <v>2885</v>
      </c>
      <c r="C380" s="3261">
        <v>0.15</v>
      </c>
      <c r="D380" s="3261">
        <v>0.15</v>
      </c>
      <c r="E380" s="3261">
        <v>0.15</v>
      </c>
      <c r="F380" s="3261">
        <v>0.1</v>
      </c>
      <c r="G380" s="3262">
        <v>0.14799999999999999</v>
      </c>
    </row>
    <row r="381" spans="1:7">
      <c r="A381" s="3271" t="s">
        <v>2859</v>
      </c>
      <c r="B381" s="3260" t="s">
        <v>2888</v>
      </c>
      <c r="C381" s="3261">
        <v>0.15</v>
      </c>
      <c r="D381" s="3261">
        <v>0.15</v>
      </c>
      <c r="E381" s="3261">
        <v>0.15</v>
      </c>
      <c r="F381" s="3261">
        <v>0.126</v>
      </c>
      <c r="G381" s="3262">
        <v>0.15</v>
      </c>
    </row>
    <row r="382" spans="1:7">
      <c r="A382" s="3271" t="s">
        <v>2859</v>
      </c>
      <c r="B382" s="3260" t="s">
        <v>2892</v>
      </c>
      <c r="C382" s="3261">
        <v>0.15</v>
      </c>
      <c r="D382" s="3261">
        <v>0.15</v>
      </c>
      <c r="E382" s="3261">
        <v>0.15</v>
      </c>
      <c r="F382" s="3261">
        <v>0.15</v>
      </c>
      <c r="G382" s="3262">
        <v>0.15</v>
      </c>
    </row>
    <row r="383" spans="1:7">
      <c r="A383" s="3271" t="s">
        <v>2859</v>
      </c>
      <c r="B383" s="3260" t="s">
        <v>2897</v>
      </c>
      <c r="C383" s="3261">
        <v>0.15</v>
      </c>
      <c r="D383" s="3261">
        <v>0.15</v>
      </c>
      <c r="E383" s="3261">
        <v>0.15</v>
      </c>
      <c r="F383" s="3261">
        <v>0.14699999999999999</v>
      </c>
      <c r="G383" s="3262">
        <v>0.15</v>
      </c>
    </row>
    <row r="384" spans="1:7" ht="14.25" thickBot="1">
      <c r="A384" s="3281" t="s">
        <v>2859</v>
      </c>
      <c r="B384" s="3282" t="s">
        <v>2901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61" t="s">
        <v>3240</v>
      </c>
      <c r="B1" s="3861"/>
      <c r="C1" s="3861"/>
      <c r="D1" s="3861"/>
      <c r="E1" s="3861"/>
      <c r="F1" s="3862"/>
    </row>
    <row r="2" spans="1:6">
      <c r="A2" s="3287" t="s">
        <v>3241</v>
      </c>
      <c r="B2" s="3288"/>
      <c r="C2" s="3288"/>
      <c r="D2" s="3288"/>
      <c r="E2" s="3288"/>
      <c r="F2" s="3288"/>
    </row>
    <row r="3" spans="1:6">
      <c r="A3" s="3287" t="s">
        <v>3242</v>
      </c>
      <c r="B3" s="3288"/>
      <c r="C3" s="3288"/>
      <c r="D3" s="3288"/>
      <c r="E3" s="3288"/>
      <c r="F3" s="3289" t="s">
        <v>3243</v>
      </c>
    </row>
    <row r="4" spans="1:6">
      <c r="A4" s="3290" t="s">
        <v>672</v>
      </c>
      <c r="B4" s="3290" t="s">
        <v>673</v>
      </c>
      <c r="C4" s="3290" t="s">
        <v>21</v>
      </c>
      <c r="D4" s="3290" t="s">
        <v>674</v>
      </c>
      <c r="E4" s="3290" t="s">
        <v>3</v>
      </c>
      <c r="F4" s="3290" t="s">
        <v>3244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N40" sqref="N40"/>
    </sheetView>
  </sheetViews>
  <sheetFormatPr defaultRowHeight="13.5"/>
  <cols>
    <col min="1" max="1" width="13.875" customWidth="1"/>
  </cols>
  <sheetData>
    <row r="1" spans="1:30">
      <c r="A1" s="3217">
        <f>基准地价修正!G23</f>
        <v>45001</v>
      </c>
      <c r="B1" s="3206" t="s">
        <v>2846</v>
      </c>
      <c r="C1" s="3207"/>
      <c r="D1" s="3207"/>
      <c r="E1" s="3207"/>
      <c r="F1" s="3207"/>
      <c r="G1" s="3207"/>
      <c r="H1" s="3207"/>
      <c r="I1" s="3207"/>
      <c r="J1" s="3160"/>
      <c r="K1" s="3207" t="s">
        <v>454</v>
      </c>
      <c r="L1" s="3207"/>
      <c r="M1" s="3207"/>
      <c r="N1" s="3207"/>
      <c r="O1" s="3207"/>
      <c r="P1" s="3207"/>
      <c r="Q1" s="3160"/>
      <c r="R1" s="3863" t="s">
        <v>456</v>
      </c>
      <c r="S1" s="3864"/>
      <c r="T1" s="3864"/>
      <c r="U1" s="3864"/>
      <c r="V1" s="3864"/>
      <c r="W1" s="3864"/>
      <c r="X1" s="3160"/>
      <c r="Y1" s="3863" t="s">
        <v>457</v>
      </c>
      <c r="Z1" s="3864"/>
      <c r="AA1" s="3864"/>
      <c r="AB1" s="3864"/>
      <c r="AC1" s="3864"/>
      <c r="AD1" s="3864"/>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ROUND(AVERAGEIF(D4:D13,"&lt;&gt;0"),2)</f>
        <v>0.84</v>
      </c>
      <c r="E3" s="3146">
        <f t="shared" ref="E3:H3" si="0">ROUND(AVERAGEIF(E4:E13,"&lt;&gt;0"),2)</f>
        <v>0.35</v>
      </c>
      <c r="F3" s="3146">
        <f t="shared" si="0"/>
        <v>0.15</v>
      </c>
      <c r="G3" s="3146">
        <f t="shared" si="0"/>
        <v>0.92</v>
      </c>
      <c r="H3" s="3146">
        <f t="shared" si="0"/>
        <v>0.68</v>
      </c>
      <c r="I3" s="3146">
        <f>F3</f>
        <v>0.15</v>
      </c>
      <c r="J3" s="3147"/>
      <c r="K3" s="3148">
        <f>ROUND(AVERAGEIF(K4:K13,"&lt;&gt;0"),4)</f>
        <v>8.3999999999999995E-3</v>
      </c>
      <c r="L3" s="3149">
        <f t="shared" ref="L3:O3" si="1">ROUND(AVERAGEIF(L4:L13,"&lt;&gt;0"),4)</f>
        <v>3.5000000000000001E-3</v>
      </c>
      <c r="M3" s="3149">
        <f t="shared" si="1"/>
        <v>1.5E-3</v>
      </c>
      <c r="N3" s="3149">
        <f t="shared" si="1"/>
        <v>9.1999999999999998E-3</v>
      </c>
      <c r="O3" s="3149">
        <f t="shared" si="1"/>
        <v>6.7999999999999996E-3</v>
      </c>
      <c r="P3" s="3149">
        <f>M3</f>
        <v>1.5E-3</v>
      </c>
      <c r="Q3" s="3147"/>
      <c r="R3" s="3150">
        <f>ROUND(SUMPRODUCT(PRODUCT(1+K4:K13)),4)</f>
        <v>1.0602</v>
      </c>
      <c r="S3" s="3151">
        <f t="shared" ref="S3:V3" si="2">ROUND(SUMPRODUCT(PRODUCT(1+L4:L13)),4)</f>
        <v>1.0246</v>
      </c>
      <c r="T3" s="3151">
        <f t="shared" si="2"/>
        <v>1.0107999999999999</v>
      </c>
      <c r="U3" s="3151">
        <f t="shared" si="2"/>
        <v>1.0662</v>
      </c>
      <c r="V3" s="3151">
        <f t="shared" si="2"/>
        <v>1.0485</v>
      </c>
      <c r="W3" s="3150">
        <f>T3</f>
        <v>1.0107999999999999</v>
      </c>
      <c r="X3" s="3147"/>
      <c r="Y3" s="3152">
        <f>ROUND(AVERAGEIF(Y5:Y13,"&lt;&gt;0"),4)</f>
        <v>8.8000000000000005E-3</v>
      </c>
      <c r="Z3" s="3153">
        <f t="shared" ref="Z3:AC3" si="3">ROUND(AVERAGEIF(Z5:Z13,"&lt;&gt;0"),4)</f>
        <v>3.5999999999999999E-3</v>
      </c>
      <c r="AA3" s="3154">
        <f t="shared" si="3"/>
        <v>8.0000000000000004E-4</v>
      </c>
      <c r="AB3" s="3152">
        <f t="shared" si="3"/>
        <v>9.5999999999999992E-3</v>
      </c>
      <c r="AC3" s="3155">
        <f t="shared" si="3"/>
        <v>6.1000000000000004E-3</v>
      </c>
      <c r="AD3" s="3152">
        <f>AA3</f>
        <v>8.0000000000000004E-4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2822</v>
      </c>
      <c r="B5" s="3172">
        <v>2023</v>
      </c>
      <c r="C5" s="3173">
        <v>1</v>
      </c>
      <c r="D5" s="3174">
        <v>0</v>
      </c>
      <c r="E5" s="3174">
        <v>0</v>
      </c>
      <c r="F5" s="3174">
        <v>0</v>
      </c>
      <c r="G5" s="3174">
        <v>0</v>
      </c>
      <c r="H5" s="3174">
        <v>0</v>
      </c>
      <c r="I5" s="3175">
        <f t="shared" ref="I5:I13" si="4">F5</f>
        <v>0</v>
      </c>
      <c r="J5" s="3176"/>
      <c r="K5" s="3177">
        <f t="shared" ref="K5:O13" si="5">D5/100</f>
        <v>0</v>
      </c>
      <c r="L5" s="3167">
        <f t="shared" si="5"/>
        <v>0</v>
      </c>
      <c r="M5" s="3167">
        <f t="shared" si="5"/>
        <v>0</v>
      </c>
      <c r="N5" s="3167">
        <f t="shared" si="5"/>
        <v>0</v>
      </c>
      <c r="O5" s="3167">
        <f t="shared" si="5"/>
        <v>0</v>
      </c>
      <c r="P5" s="3167">
        <f>M5</f>
        <v>0</v>
      </c>
      <c r="Q5" s="3176"/>
      <c r="R5" s="3178">
        <f>ROUND(IF([4]项目基本情况!B8="出让",SUMPRODUCT(PRODUCT(1+K5:K13)),SUMPRODUCT(PRODUCT(1+K5:K12))),4)</f>
        <v>1.05</v>
      </c>
      <c r="S5" s="3178">
        <f>ROUND(IF([4]项目基本情况!B8="出让",SUMPRODUCT(PRODUCT(1+L5:L13)),SUMPRODUCT(PRODUCT(1+L5:L12))),4)</f>
        <v>1.0229999999999999</v>
      </c>
      <c r="T5" s="3178">
        <f>ROUND(IF([4]项目基本情况!B8="出让",SUMPRODUCT(PRODUCT(1+M5:M13)),SUMPRODUCT(PRODUCT(1+M5:M12))),4)</f>
        <v>1.0134000000000001</v>
      </c>
      <c r="U5" s="3178">
        <f>ROUND(IF([4]项目基本情况!B8="出让",SUMPRODUCT(PRODUCT(1+N5:N13)),SUMPRODUCT(PRODUCT(1+N5:N12))),4)</f>
        <v>1.0545</v>
      </c>
      <c r="V5" s="3178">
        <f>ROUND(IF([4]项目基本情况!B8="出让",SUMPRODUCT(PRODUCT(1+O5:O13)),SUMPRODUCT(PRODUCT(1+O5:O12))),4)</f>
        <v>1.0447</v>
      </c>
      <c r="W5" s="3178">
        <f>T5</f>
        <v>1.0134000000000001</v>
      </c>
      <c r="X5" s="3176"/>
      <c r="Y5" s="3179">
        <f>IF(D5=0,0,ROUND(AVERAGE(D5:D13)/100,4))</f>
        <v>0</v>
      </c>
      <c r="Z5" s="3179">
        <f t="shared" ref="Z5:AC5" si="6">IF(E5=0,0,ROUND(AVERAGE(E5:E13)/100,4))</f>
        <v>0</v>
      </c>
      <c r="AA5" s="3179">
        <f t="shared" si="6"/>
        <v>0</v>
      </c>
      <c r="AB5" s="3179">
        <f t="shared" si="6"/>
        <v>0</v>
      </c>
      <c r="AC5" s="3179">
        <f t="shared" si="6"/>
        <v>0</v>
      </c>
      <c r="AD5" s="3179">
        <f t="shared" ref="AD5:AD12" si="7">AA5</f>
        <v>0</v>
      </c>
    </row>
    <row r="6" spans="1:30" s="3181" customFormat="1" ht="12.75">
      <c r="A6" s="3171" t="s">
        <v>2823</v>
      </c>
      <c r="B6" s="3172">
        <v>2022</v>
      </c>
      <c r="C6" s="3173">
        <v>4</v>
      </c>
      <c r="D6" s="3174">
        <v>0</v>
      </c>
      <c r="E6" s="3174">
        <v>0</v>
      </c>
      <c r="F6" s="3174">
        <v>0</v>
      </c>
      <c r="G6" s="3174">
        <v>0</v>
      </c>
      <c r="H6" s="3174">
        <v>0</v>
      </c>
      <c r="I6" s="3175">
        <f t="shared" si="4"/>
        <v>0</v>
      </c>
      <c r="J6" s="3176"/>
      <c r="K6" s="3177">
        <f t="shared" si="5"/>
        <v>0</v>
      </c>
      <c r="L6" s="3167">
        <f t="shared" si="5"/>
        <v>0</v>
      </c>
      <c r="M6" s="3167">
        <f t="shared" si="5"/>
        <v>0</v>
      </c>
      <c r="N6" s="3167">
        <f t="shared" si="5"/>
        <v>0</v>
      </c>
      <c r="O6" s="3167">
        <f t="shared" si="5"/>
        <v>0</v>
      </c>
      <c r="P6" s="3167">
        <f t="shared" ref="P6:P13" si="8">M6</f>
        <v>0</v>
      </c>
      <c r="Q6" s="3176"/>
      <c r="R6" s="3178">
        <f>ROUND(IF([4]项目基本情况!B8="出让",SUMPRODUCT(PRODUCT(1+K6:K13)),SUMPRODUCT(PRODUCT(1+K6:K12))),4)</f>
        <v>1.05</v>
      </c>
      <c r="S6" s="3178">
        <f>ROUND(IF([4]项目基本情况!B8="出让",SUMPRODUCT(PRODUCT(1+L6:L13)),SUMPRODUCT(PRODUCT(1+L6:L12))),4)</f>
        <v>1.0229999999999999</v>
      </c>
      <c r="T6" s="3178">
        <f>ROUND(IF([4]项目基本情况!B8="出让",SUMPRODUCT(PRODUCT(1+M6:M13)),SUMPRODUCT(PRODUCT(1+M6:M12))),4)</f>
        <v>1.0134000000000001</v>
      </c>
      <c r="U6" s="3178">
        <f>ROUND(IF([4]项目基本情况!B8="出让",SUMPRODUCT(PRODUCT(1+N6:N13)),SUMPRODUCT(PRODUCT(1+N6:N12))),4)</f>
        <v>1.0545</v>
      </c>
      <c r="V6" s="3178">
        <f>ROUND(IF([4]项目基本情况!B8="出让",SUMPRODUCT(PRODUCT(1+O6:O13)),SUMPRODUCT(PRODUCT(1+O6:O12))),4)</f>
        <v>1.0447</v>
      </c>
      <c r="W6" s="3178">
        <f t="shared" ref="W6:W13" si="9">T6</f>
        <v>1.0134000000000001</v>
      </c>
      <c r="X6" s="3176"/>
      <c r="Y6" s="3179">
        <f>IF(D6=0,0,ROUND(AVERAGE(D6:D14)/100,4))</f>
        <v>0</v>
      </c>
      <c r="Z6" s="3179">
        <f t="shared" ref="Z6:AC6" si="10">IF(E6=0,0,ROUND(AVERAGE(E6:E13)/100,4))</f>
        <v>0</v>
      </c>
      <c r="AA6" s="3179">
        <f t="shared" si="10"/>
        <v>0</v>
      </c>
      <c r="AB6" s="3179">
        <f t="shared" si="10"/>
        <v>0</v>
      </c>
      <c r="AC6" s="3179">
        <f t="shared" si="10"/>
        <v>0</v>
      </c>
      <c r="AD6" s="3179">
        <f t="shared" si="7"/>
        <v>0</v>
      </c>
    </row>
    <row r="7" spans="1:30" s="3191" customFormat="1" ht="12.75">
      <c r="A7" s="3182" t="s">
        <v>3362</v>
      </c>
      <c r="B7" s="3183">
        <v>2022</v>
      </c>
      <c r="C7" s="3184">
        <v>3</v>
      </c>
      <c r="D7" s="3185">
        <v>0.66</v>
      </c>
      <c r="E7" s="3185">
        <v>0.32</v>
      </c>
      <c r="F7" s="3185">
        <v>0.23</v>
      </c>
      <c r="G7" s="3185">
        <v>0.72</v>
      </c>
      <c r="H7" s="3186">
        <v>0.63</v>
      </c>
      <c r="I7" s="3187">
        <f t="shared" si="4"/>
        <v>0.23</v>
      </c>
      <c r="J7" s="3188"/>
      <c r="K7" s="3189">
        <f t="shared" si="5"/>
        <v>6.6E-3</v>
      </c>
      <c r="L7" s="3190">
        <f t="shared" si="5"/>
        <v>3.2000000000000002E-3</v>
      </c>
      <c r="M7" s="3190">
        <f t="shared" si="5"/>
        <v>2.3E-3</v>
      </c>
      <c r="N7" s="3190">
        <f t="shared" si="5"/>
        <v>7.1999999999999998E-3</v>
      </c>
      <c r="O7" s="3190">
        <f t="shared" si="5"/>
        <v>6.3E-3</v>
      </c>
      <c r="P7" s="3190">
        <f t="shared" si="8"/>
        <v>2.3E-3</v>
      </c>
      <c r="Q7" s="3188"/>
      <c r="R7" s="3188">
        <f>ROUND(IF([4]项目基本情况!B8="出让",SUMPRODUCT(PRODUCT(1+K7:K13)),SUMPRODUCT(PRODUCT(1+K7:K12))),4)</f>
        <v>1.05</v>
      </c>
      <c r="S7" s="3188">
        <f>ROUND(IF([4]项目基本情况!B8="出让",SUMPRODUCT(PRODUCT(1+L7:L13)),SUMPRODUCT(PRODUCT(1+L7:L12))),4)</f>
        <v>1.0229999999999999</v>
      </c>
      <c r="T7" s="3188">
        <f>ROUND(IF([4]项目基本情况!B8="出让",SUMPRODUCT(PRODUCT(1+M7:M13)),SUMPRODUCT(PRODUCT(1+M7:M12))),4)</f>
        <v>1.0134000000000001</v>
      </c>
      <c r="U7" s="3188">
        <f>ROUND(IF([4]项目基本情况!B8="出让",SUMPRODUCT(PRODUCT(1+N7:N13)),SUMPRODUCT(PRODUCT(1+N7:N12))),4)</f>
        <v>1.0545</v>
      </c>
      <c r="V7" s="3188">
        <f>ROUND(IF([4]项目基本情况!B8="出让",SUMPRODUCT(PRODUCT(1+O7:O13)),SUMPRODUCT(PRODUCT(1+O7:O12))),4)</f>
        <v>1.0447</v>
      </c>
      <c r="W7" s="3188">
        <f t="shared" si="9"/>
        <v>1.0134000000000001</v>
      </c>
      <c r="X7" s="3188"/>
      <c r="Y7" s="3190">
        <f>IF(D7=0,0,ROUND(AVERAGE(D7:D13)/100,4))</f>
        <v>8.3999999999999995E-3</v>
      </c>
      <c r="Z7" s="3190">
        <f t="shared" ref="Z7:AC7" si="11">IF(E7=0,0,ROUND(AVERAGE(E7:E13)/100,4))</f>
        <v>3.5000000000000001E-3</v>
      </c>
      <c r="AA7" s="3190">
        <f t="shared" si="11"/>
        <v>1.5E-3</v>
      </c>
      <c r="AB7" s="3190">
        <f t="shared" si="11"/>
        <v>9.1999999999999998E-3</v>
      </c>
      <c r="AC7" s="3190">
        <f t="shared" si="11"/>
        <v>6.7999999999999996E-3</v>
      </c>
      <c r="AD7" s="3190">
        <f t="shared" si="7"/>
        <v>1.5E-3</v>
      </c>
    </row>
    <row r="8" spans="1:30" s="3180" customFormat="1" ht="12.75">
      <c r="A8" s="3171" t="s">
        <v>3363</v>
      </c>
      <c r="B8" s="3172">
        <v>2022</v>
      </c>
      <c r="C8" s="3173">
        <v>2</v>
      </c>
      <c r="D8" s="3174">
        <v>0.93</v>
      </c>
      <c r="E8" s="3174">
        <v>0.15</v>
      </c>
      <c r="F8" s="3174">
        <v>0.01</v>
      </c>
      <c r="G8" s="3174">
        <v>1.05</v>
      </c>
      <c r="H8" s="3192">
        <v>1.08</v>
      </c>
      <c r="I8" s="3175">
        <f t="shared" si="4"/>
        <v>0.01</v>
      </c>
      <c r="J8" s="3176"/>
      <c r="K8" s="3177">
        <f t="shared" si="5"/>
        <v>9.300000000000001E-3</v>
      </c>
      <c r="L8" s="3167">
        <f t="shared" si="5"/>
        <v>1.5E-3</v>
      </c>
      <c r="M8" s="3167">
        <f t="shared" si="5"/>
        <v>1E-4</v>
      </c>
      <c r="N8" s="3167">
        <f t="shared" si="5"/>
        <v>1.0500000000000001E-2</v>
      </c>
      <c r="O8" s="3167">
        <f t="shared" si="5"/>
        <v>1.0800000000000001E-2</v>
      </c>
      <c r="P8" s="3167">
        <f t="shared" si="8"/>
        <v>1E-4</v>
      </c>
      <c r="Q8" s="3176"/>
      <c r="R8" s="3178">
        <f>ROUND(IF([4]项目基本情况!B8="出让",SUMPRODUCT(PRODUCT(1+K8:K13)),SUMPRODUCT(PRODUCT(1+K8:K12))),4)</f>
        <v>1.0430999999999999</v>
      </c>
      <c r="S8" s="3178">
        <f>ROUND(IF([4]项目基本情况!B8="出让",SUMPRODUCT(PRODUCT(1+L8:L13)),SUMPRODUCT(PRODUCT(1+L8:L12))),4)</f>
        <v>1.0197000000000001</v>
      </c>
      <c r="T8" s="3178">
        <f>ROUND(IF([4]项目基本情况!B8="出让",SUMPRODUCT(PRODUCT(1+M8:M13)),SUMPRODUCT(PRODUCT(1+M8:M12))),4)</f>
        <v>1.0109999999999999</v>
      </c>
      <c r="U8" s="3178">
        <f>ROUND(IF([4]项目基本情况!B8="出让",SUMPRODUCT(PRODUCT(1+N8:N13)),SUMPRODUCT(PRODUCT(1+N8:N12))),4)</f>
        <v>1.0468999999999999</v>
      </c>
      <c r="V8" s="3178">
        <f>ROUND(IF([4]项目基本情况!B8="出让",SUMPRODUCT(PRODUCT(1+O8:O13)),SUMPRODUCT(PRODUCT(1+O8:O12))),4)</f>
        <v>1.0382</v>
      </c>
      <c r="W8" s="3178">
        <f t="shared" si="9"/>
        <v>1.0109999999999999</v>
      </c>
      <c r="X8" s="3176"/>
      <c r="Y8" s="3179">
        <f>IF(D8=0,0,ROUND(AVERAGE(D8:D13)/100,4))</f>
        <v>8.6999999999999994E-3</v>
      </c>
      <c r="Z8" s="3179">
        <f t="shared" ref="Z8:AC8" si="12">IF(E8=0,0,ROUND(AVERAGE(E8:E13)/100,4))</f>
        <v>3.5000000000000001E-3</v>
      </c>
      <c r="AA8" s="3179">
        <f t="shared" si="12"/>
        <v>1.4E-3</v>
      </c>
      <c r="AB8" s="3179">
        <f t="shared" si="12"/>
        <v>9.4999999999999998E-3</v>
      </c>
      <c r="AC8" s="3179">
        <f t="shared" si="12"/>
        <v>6.8999999999999999E-3</v>
      </c>
      <c r="AD8" s="3179">
        <f t="shared" si="7"/>
        <v>1.4E-3</v>
      </c>
    </row>
    <row r="9" spans="1:30" s="3180" customFormat="1" ht="12.75">
      <c r="A9" s="3171" t="s">
        <v>2824</v>
      </c>
      <c r="B9" s="3172">
        <v>2022</v>
      </c>
      <c r="C9" s="3173">
        <v>1</v>
      </c>
      <c r="D9" s="3174">
        <v>0.89</v>
      </c>
      <c r="E9" s="3174">
        <v>0.44</v>
      </c>
      <c r="F9" s="3174">
        <v>0.37</v>
      </c>
      <c r="G9" s="3174">
        <v>0.96</v>
      </c>
      <c r="H9" s="3192">
        <v>0.64</v>
      </c>
      <c r="I9" s="3175">
        <f t="shared" si="4"/>
        <v>0.37</v>
      </c>
      <c r="J9" s="3176"/>
      <c r="K9" s="3177">
        <f t="shared" si="5"/>
        <v>8.8999999999999999E-3</v>
      </c>
      <c r="L9" s="3167">
        <f t="shared" si="5"/>
        <v>4.4000000000000003E-3</v>
      </c>
      <c r="M9" s="3167">
        <f t="shared" si="5"/>
        <v>3.7000000000000002E-3</v>
      </c>
      <c r="N9" s="3167">
        <f t="shared" si="5"/>
        <v>9.5999999999999992E-3</v>
      </c>
      <c r="O9" s="3167">
        <f t="shared" si="5"/>
        <v>6.4000000000000003E-3</v>
      </c>
      <c r="P9" s="3167">
        <f t="shared" si="8"/>
        <v>3.7000000000000002E-3</v>
      </c>
      <c r="Q9" s="3176"/>
      <c r="R9" s="3178">
        <f>ROUND(IF([4]项目基本情况!B8="出让",SUMPRODUCT(PRODUCT(1+K9:K13)),SUMPRODUCT(PRODUCT(1+K9:K12))),4)</f>
        <v>1.0335000000000001</v>
      </c>
      <c r="S9" s="3178">
        <f>ROUND(IF([4]项目基本情况!B8="出让",SUMPRODUCT(PRODUCT(1+L9:L13)),SUMPRODUCT(PRODUCT(1+L9:L12))),4)</f>
        <v>1.0182</v>
      </c>
      <c r="T9" s="3178">
        <f>ROUND(IF([4]项目基本情况!B8="出让",SUMPRODUCT(PRODUCT(1+M9:M13)),SUMPRODUCT(PRODUCT(1+M9:M12))),4)</f>
        <v>1.0108999999999999</v>
      </c>
      <c r="U9" s="3178">
        <f>ROUND(IF([4]项目基本情况!B8="出让",SUMPRODUCT(PRODUCT(1+N9:N13)),SUMPRODUCT(PRODUCT(1+N9:N12))),4)</f>
        <v>1.0361</v>
      </c>
      <c r="V9" s="3178">
        <f>ROUND(IF([4]项目基本情况!B8="出让",SUMPRODUCT(PRODUCT(1+O9:O13)),SUMPRODUCT(PRODUCT(1+O9:O12))),4)</f>
        <v>1.0270999999999999</v>
      </c>
      <c r="W9" s="3178">
        <f t="shared" si="9"/>
        <v>1.0108999999999999</v>
      </c>
      <c r="X9" s="3176"/>
      <c r="Y9" s="3179">
        <f>IF(D9=0,0,ROUND(AVERAGE(D9:D13)/100,4))</f>
        <v>8.6E-3</v>
      </c>
      <c r="Z9" s="3179">
        <f t="shared" ref="Z9:AC9" si="13">IF(E9=0,0,ROUND(AVERAGE(E9:E13)/100,4))</f>
        <v>3.8999999999999998E-3</v>
      </c>
      <c r="AA9" s="3179">
        <f t="shared" si="13"/>
        <v>1.6999999999999999E-3</v>
      </c>
      <c r="AB9" s="3179">
        <f t="shared" si="13"/>
        <v>9.2999999999999992E-3</v>
      </c>
      <c r="AC9" s="3179">
        <f t="shared" si="13"/>
        <v>6.1000000000000004E-3</v>
      </c>
      <c r="AD9" s="3179">
        <f t="shared" si="7"/>
        <v>1.6999999999999999E-3</v>
      </c>
    </row>
    <row r="10" spans="1:30" s="3180" customFormat="1" ht="12.75">
      <c r="A10" s="3171" t="s">
        <v>2825</v>
      </c>
      <c r="B10" s="3172">
        <v>2021</v>
      </c>
      <c r="C10" s="3173">
        <v>4</v>
      </c>
      <c r="D10" s="3174">
        <v>1.03</v>
      </c>
      <c r="E10" s="3174">
        <v>0.24</v>
      </c>
      <c r="F10" s="3174">
        <v>7.0000000000000007E-2</v>
      </c>
      <c r="G10" s="3174">
        <v>1.17</v>
      </c>
      <c r="H10" s="3192">
        <v>0.55000000000000004</v>
      </c>
      <c r="I10" s="3175">
        <f t="shared" si="4"/>
        <v>7.0000000000000007E-2</v>
      </c>
      <c r="J10" s="3176"/>
      <c r="K10" s="3177">
        <f t="shared" si="5"/>
        <v>1.03E-2</v>
      </c>
      <c r="L10" s="3167">
        <f t="shared" si="5"/>
        <v>2.3999999999999998E-3</v>
      </c>
      <c r="M10" s="3167">
        <f t="shared" si="5"/>
        <v>7.000000000000001E-4</v>
      </c>
      <c r="N10" s="3167">
        <f t="shared" si="5"/>
        <v>1.1699999999999999E-2</v>
      </c>
      <c r="O10" s="3167">
        <f t="shared" si="5"/>
        <v>5.5000000000000005E-3</v>
      </c>
      <c r="P10" s="3167">
        <f t="shared" si="8"/>
        <v>7.000000000000001E-4</v>
      </c>
      <c r="Q10" s="3176"/>
      <c r="R10" s="3178">
        <f>ROUND(IF([4]项目基本情况!B8="出让",SUMPRODUCT(PRODUCT(1+K10:K13)),SUMPRODUCT(PRODUCT(1+K10:K12))),4)</f>
        <v>1.0244</v>
      </c>
      <c r="S10" s="3178">
        <f>ROUND(IF([4]项目基本情况!B8="出让",SUMPRODUCT(PRODUCT(1+L10:L13)),SUMPRODUCT(PRODUCT(1+L10:L12))),4)</f>
        <v>1.0138</v>
      </c>
      <c r="T10" s="3178">
        <f>ROUND(IF([4]项目基本情况!B8="出让",SUMPRODUCT(PRODUCT(1+M10:M13)),SUMPRODUCT(PRODUCT(1+M10:M12))),4)</f>
        <v>1.0072000000000001</v>
      </c>
      <c r="U10" s="3178">
        <f>ROUND(IF([4]项目基本情况!B8="出让",SUMPRODUCT(PRODUCT(1+N10:N13)),SUMPRODUCT(PRODUCT(1+N10:N12))),4)</f>
        <v>1.0262</v>
      </c>
      <c r="V10" s="3178">
        <f>ROUND(IF([4]项目基本情况!B8="出让",SUMPRODUCT(PRODUCT(1+O10:O13)),SUMPRODUCT(PRODUCT(1+O10:O12))),4)</f>
        <v>1.0205</v>
      </c>
      <c r="W10" s="3178">
        <f t="shared" si="9"/>
        <v>1.0072000000000001</v>
      </c>
      <c r="X10" s="3176"/>
      <c r="Y10" s="3179">
        <f>IF(D10=0,0,ROUND(AVERAGE(D10:D13)/100,4))</f>
        <v>8.5000000000000006E-3</v>
      </c>
      <c r="Z10" s="3179">
        <f t="shared" ref="Z10:AC10" si="14">IF(E10=0,0,ROUND(AVERAGE(E10:E13)/100,4))</f>
        <v>3.8E-3</v>
      </c>
      <c r="AA10" s="3179">
        <f t="shared" si="14"/>
        <v>1.1999999999999999E-3</v>
      </c>
      <c r="AB10" s="3179">
        <f t="shared" si="14"/>
        <v>9.2999999999999992E-3</v>
      </c>
      <c r="AC10" s="3179">
        <f t="shared" si="14"/>
        <v>6.0000000000000001E-3</v>
      </c>
      <c r="AD10" s="3179">
        <f t="shared" si="7"/>
        <v>1.1999999999999999E-3</v>
      </c>
    </row>
    <row r="11" spans="1:30" s="3180" customFormat="1" ht="12.75">
      <c r="A11" s="3171" t="s">
        <v>2826</v>
      </c>
      <c r="B11" s="3172">
        <v>2021</v>
      </c>
      <c r="C11" s="3173">
        <v>3</v>
      </c>
      <c r="D11" s="3174">
        <v>0.47</v>
      </c>
      <c r="E11" s="3174">
        <v>0.41</v>
      </c>
      <c r="F11" s="3174">
        <v>0.24</v>
      </c>
      <c r="G11" s="3174">
        <v>0.48</v>
      </c>
      <c r="H11" s="3192">
        <v>0.48</v>
      </c>
      <c r="I11" s="3175">
        <f t="shared" si="4"/>
        <v>0.24</v>
      </c>
      <c r="J11" s="3176"/>
      <c r="K11" s="3177">
        <f t="shared" si="5"/>
        <v>4.6999999999999993E-3</v>
      </c>
      <c r="L11" s="3167">
        <f t="shared" si="5"/>
        <v>4.0999999999999995E-3</v>
      </c>
      <c r="M11" s="3167">
        <f t="shared" si="5"/>
        <v>2.3999999999999998E-3</v>
      </c>
      <c r="N11" s="3167">
        <f t="shared" si="5"/>
        <v>4.7999999999999996E-3</v>
      </c>
      <c r="O11" s="3167">
        <f t="shared" si="5"/>
        <v>4.7999999999999996E-3</v>
      </c>
      <c r="P11" s="3167">
        <f t="shared" si="8"/>
        <v>2.3999999999999998E-3</v>
      </c>
      <c r="Q11" s="3176"/>
      <c r="R11" s="3178">
        <f>ROUND(IF([4]项目基本情况!B8="出让",SUMPRODUCT(PRODUCT(1+K11:K13)),SUMPRODUCT(PRODUCT(1+K11:K12))),4)</f>
        <v>1.0139</v>
      </c>
      <c r="S11" s="3178">
        <f>ROUND(IF([4]项目基本情况!B8="出让",SUMPRODUCT(PRODUCT(1+L11:L13)),SUMPRODUCT(PRODUCT(1+L11:L12))),4)</f>
        <v>1.0113000000000001</v>
      </c>
      <c r="T11" s="3178">
        <f>ROUND(IF([4]项目基本情况!B8="出让",SUMPRODUCT(PRODUCT(1+M11:M13)),SUMPRODUCT(PRODUCT(1+M11:M12))),4)</f>
        <v>1.0065</v>
      </c>
      <c r="U11" s="3178">
        <f>ROUND(IF([4]项目基本情况!B8="出让",SUMPRODUCT(PRODUCT(1+N11:N13)),SUMPRODUCT(PRODUCT(1+N11:N12))),4)</f>
        <v>1.0143</v>
      </c>
      <c r="V11" s="3178">
        <f>ROUND(IF([4]项目基本情况!B8="出让",SUMPRODUCT(PRODUCT(1+O11:O13)),SUMPRODUCT(PRODUCT(1+O11:O12))),4)</f>
        <v>1.0148999999999999</v>
      </c>
      <c r="W11" s="3178">
        <f t="shared" si="9"/>
        <v>1.0065</v>
      </c>
      <c r="X11" s="3176"/>
      <c r="Y11" s="3179">
        <f>IF(D11=0,0,ROUND(AVERAGE(D11:D13)/100,4))</f>
        <v>7.9000000000000008E-3</v>
      </c>
      <c r="Z11" s="3179">
        <f>IF(E11=0,0,ROUND(AVERAGE(E11:E13)/100,4))</f>
        <v>4.3E-3</v>
      </c>
      <c r="AA11" s="3179">
        <f>IF(F11=0,0,ROUND(AVERAGE(F11:F13)/100,4))</f>
        <v>1.2999999999999999E-3</v>
      </c>
      <c r="AB11" s="3179">
        <f>IF(G11=0,0,ROUND(AVERAGE(G11:G13)/100,4))</f>
        <v>8.5000000000000006E-3</v>
      </c>
      <c r="AC11" s="3179">
        <f>IF(H11=0,0,ROUND(AVERAGE(H11:H13)/100,4))</f>
        <v>6.1999999999999998E-3</v>
      </c>
      <c r="AD11" s="3179">
        <f t="shared" si="7"/>
        <v>1.2999999999999999E-3</v>
      </c>
    </row>
    <row r="12" spans="1:30" s="3180" customFormat="1" ht="12.75">
      <c r="A12" s="3171" t="s">
        <v>2827</v>
      </c>
      <c r="B12" s="3172">
        <v>2021</v>
      </c>
      <c r="C12" s="3173">
        <v>2</v>
      </c>
      <c r="D12" s="3174">
        <v>0.92</v>
      </c>
      <c r="E12" s="3174">
        <v>0.72</v>
      </c>
      <c r="F12" s="3174">
        <v>0.41</v>
      </c>
      <c r="G12" s="3174">
        <v>0.95</v>
      </c>
      <c r="H12" s="3192">
        <v>1.01</v>
      </c>
      <c r="I12" s="3175">
        <f t="shared" si="4"/>
        <v>0.41</v>
      </c>
      <c r="J12" s="3176"/>
      <c r="K12" s="3177">
        <f t="shared" si="5"/>
        <v>9.1999999999999998E-3</v>
      </c>
      <c r="L12" s="3167">
        <f t="shared" si="5"/>
        <v>7.1999999999999998E-3</v>
      </c>
      <c r="M12" s="3167">
        <f t="shared" si="5"/>
        <v>4.0999999999999995E-3</v>
      </c>
      <c r="N12" s="3167">
        <f t="shared" si="5"/>
        <v>9.4999999999999998E-3</v>
      </c>
      <c r="O12" s="3167">
        <f t="shared" si="5"/>
        <v>1.01E-2</v>
      </c>
      <c r="P12" s="3167">
        <f t="shared" si="8"/>
        <v>4.0999999999999995E-3</v>
      </c>
      <c r="Q12" s="3176"/>
      <c r="R12" s="3178">
        <f>ROUND(IF([4]项目基本情况!B8="出让",SUMPRODUCT(PRODUCT(1+K12:K13)),SUMPRODUCT(PRODUCT(1+K12:K12))),4)</f>
        <v>1.0092000000000001</v>
      </c>
      <c r="S12" s="3178">
        <f>ROUND(IF([4]项目基本情况!B8="出让",SUMPRODUCT(PRODUCT(1+L12:L13)),SUMPRODUCT(PRODUCT(1+L12:L12))),4)</f>
        <v>1.0072000000000001</v>
      </c>
      <c r="T12" s="3178">
        <f>ROUND(IF([4]项目基本情况!B8="出让",SUMPRODUCT(PRODUCT(1+M12:M13)),SUMPRODUCT(PRODUCT(1+M12:M12))),4)</f>
        <v>1.0041</v>
      </c>
      <c r="U12" s="3178">
        <f>ROUND(IF([4]项目基本情况!B8="出让",SUMPRODUCT(PRODUCT(1+N12:N13)),SUMPRODUCT(PRODUCT(1+N12:N12))),4)</f>
        <v>1.0095000000000001</v>
      </c>
      <c r="V12" s="3178">
        <f>ROUND(IF([4]项目基本情况!B8="出让",SUMPRODUCT(PRODUCT(1+O12:O13)),SUMPRODUCT(PRODUCT(1+O12:O12))),4)</f>
        <v>1.0101</v>
      </c>
      <c r="W12" s="3178">
        <f t="shared" si="9"/>
        <v>1.0041</v>
      </c>
      <c r="X12" s="3176"/>
      <c r="Y12" s="3179">
        <f>IF(D12=0,0,ROUND(AVERAGE(D12:D13)/100,4))</f>
        <v>9.4999999999999998E-3</v>
      </c>
      <c r="Z12" s="3179">
        <f>IF(E12=0,0,ROUND(AVERAGE(E12:E13)/100,4))</f>
        <v>4.4000000000000003E-3</v>
      </c>
      <c r="AA12" s="3179">
        <f>IF(F12=0,0,ROUND(AVERAGE(F12:F13)/100,4))</f>
        <v>8.0000000000000004E-4</v>
      </c>
      <c r="AB12" s="3179">
        <f>IF(G12=0,0,ROUND(AVERAGE(G12:G13)/100,4))</f>
        <v>1.03E-2</v>
      </c>
      <c r="AC12" s="3179">
        <f>IF(H12=0,0,ROUND(AVERAGE(H12:H13)/100,4))</f>
        <v>6.8999999999999999E-3</v>
      </c>
      <c r="AD12" s="3179">
        <f t="shared" si="7"/>
        <v>8.0000000000000004E-4</v>
      </c>
    </row>
    <row r="13" spans="1:30" s="3203" customFormat="1" thickBot="1">
      <c r="A13" s="3193" t="s">
        <v>2828</v>
      </c>
      <c r="B13" s="3194">
        <v>2021</v>
      </c>
      <c r="C13" s="3195">
        <v>1</v>
      </c>
      <c r="D13" s="3196">
        <v>0.97</v>
      </c>
      <c r="E13" s="3196">
        <v>0.16</v>
      </c>
      <c r="F13" s="3196">
        <v>-0.25</v>
      </c>
      <c r="G13" s="3196">
        <v>1.1100000000000001</v>
      </c>
      <c r="H13" s="3197">
        <v>0.36</v>
      </c>
      <c r="I13" s="3198">
        <f t="shared" si="4"/>
        <v>-0.25</v>
      </c>
      <c r="J13" s="3199"/>
      <c r="K13" s="3200">
        <f t="shared" si="5"/>
        <v>9.7000000000000003E-3</v>
      </c>
      <c r="L13" s="3201">
        <f t="shared" si="5"/>
        <v>1.6000000000000001E-3</v>
      </c>
      <c r="M13" s="3201">
        <f>F13/100</f>
        <v>-2.5000000000000001E-3</v>
      </c>
      <c r="N13" s="3201">
        <f t="shared" si="5"/>
        <v>1.11E-2</v>
      </c>
      <c r="O13" s="3201">
        <f t="shared" si="5"/>
        <v>3.5999999999999999E-3</v>
      </c>
      <c r="P13" s="3201">
        <f t="shared" si="8"/>
        <v>-2.5000000000000001E-3</v>
      </c>
      <c r="Q13" s="3199"/>
      <c r="R13" s="3202">
        <v>1</v>
      </c>
      <c r="S13" s="3202">
        <v>1</v>
      </c>
      <c r="T13" s="3202">
        <v>1</v>
      </c>
      <c r="U13" s="3202">
        <v>1</v>
      </c>
      <c r="V13" s="3202">
        <v>1</v>
      </c>
      <c r="W13" s="3202">
        <f t="shared" si="9"/>
        <v>1</v>
      </c>
      <c r="X13" s="3199"/>
      <c r="Y13" s="3201">
        <f>IF(D13=0,0,ROUND(AVERAGE(D13:D13)/100,4))</f>
        <v>9.7000000000000003E-3</v>
      </c>
      <c r="Z13" s="3201">
        <f>IF(E13=0,0,ROUND(AVERAGE(E13:E13)/100,4))</f>
        <v>1.6000000000000001E-3</v>
      </c>
      <c r="AA13" s="3201">
        <f>IF(F13=0,0,ROUND(AVERAGE(F13:F13)/100,4))</f>
        <v>-2.5000000000000001E-3</v>
      </c>
      <c r="AB13" s="3201">
        <f>IF(G13=0,0,ROUND(AVERAGE(G13:G13)/100,4))</f>
        <v>1.11E-2</v>
      </c>
      <c r="AC13" s="3201">
        <f>IF(H13=0,0,ROUND(AVERAGE(H13:H13)/100,4))</f>
        <v>3.5999999999999999E-3</v>
      </c>
      <c r="AD13" s="3201">
        <f>AA13</f>
        <v>-2.5000000000000001E-3</v>
      </c>
    </row>
    <row r="14" spans="1:30" s="3004" customFormat="1" ht="14.25" thickTop="1"/>
    <row r="15" spans="1:30" s="3004" customFormat="1"/>
    <row r="16" spans="1:30" s="3004" customFormat="1">
      <c r="I16" s="3204" t="s">
        <v>2829</v>
      </c>
    </row>
    <row r="17" spans="1:30" s="3004" customFormat="1"/>
    <row r="18" spans="1:30" s="3205" customFormat="1" ht="12.75">
      <c r="B18" s="3206" t="s">
        <v>2830</v>
      </c>
      <c r="C18" s="3207"/>
      <c r="D18" s="3207"/>
      <c r="E18" s="3207"/>
      <c r="F18" s="3207"/>
      <c r="G18" s="3207"/>
      <c r="H18" s="3207"/>
      <c r="I18" s="3207"/>
      <c r="J18" s="3160"/>
      <c r="K18" s="3207" t="s">
        <v>2831</v>
      </c>
      <c r="L18" s="3207"/>
      <c r="M18" s="3207"/>
      <c r="N18" s="3207"/>
      <c r="O18" s="3207"/>
      <c r="P18" s="3207"/>
      <c r="Q18" s="3160"/>
      <c r="R18" s="3863" t="s">
        <v>2832</v>
      </c>
      <c r="S18" s="3864"/>
      <c r="T18" s="3864"/>
      <c r="U18" s="3864"/>
      <c r="V18" s="3864"/>
      <c r="W18" s="3864"/>
      <c r="X18" s="3160"/>
      <c r="Y18" s="3863" t="s">
        <v>2833</v>
      </c>
      <c r="Z18" s="3864"/>
      <c r="AA18" s="3864"/>
      <c r="AB18" s="3864"/>
      <c r="AC18" s="3864"/>
      <c r="AD18" s="3864"/>
    </row>
    <row r="19" spans="1:30" s="3138" customFormat="1" ht="14.25" thickBot="1">
      <c r="B19" s="3139"/>
      <c r="C19" s="3140"/>
      <c r="D19" s="3141" t="s">
        <v>2834</v>
      </c>
      <c r="E19" s="3142" t="s">
        <v>2835</v>
      </c>
      <c r="F19" s="3142" t="s">
        <v>2836</v>
      </c>
      <c r="G19" s="3142" t="s">
        <v>2837</v>
      </c>
      <c r="H19" s="3142"/>
      <c r="I19" s="3142" t="s">
        <v>2838</v>
      </c>
      <c r="J19" s="3143"/>
      <c r="K19" s="3141" t="s">
        <v>2834</v>
      </c>
      <c r="L19" s="3142" t="s">
        <v>2835</v>
      </c>
      <c r="M19" s="3142" t="s">
        <v>2836</v>
      </c>
      <c r="N19" s="3142" t="s">
        <v>2837</v>
      </c>
      <c r="O19" s="3142"/>
      <c r="P19" s="3142" t="s">
        <v>2838</v>
      </c>
      <c r="Q19" s="3143"/>
      <c r="R19" s="3141" t="s">
        <v>2834</v>
      </c>
      <c r="S19" s="3142" t="s">
        <v>2835</v>
      </c>
      <c r="T19" s="3142" t="s">
        <v>2836</v>
      </c>
      <c r="U19" s="3142" t="s">
        <v>2837</v>
      </c>
      <c r="V19" s="3142"/>
      <c r="W19" s="3142" t="s">
        <v>2838</v>
      </c>
      <c r="X19" s="3143"/>
      <c r="Y19" s="3141" t="s">
        <v>2834</v>
      </c>
      <c r="Z19" s="3142" t="s">
        <v>2835</v>
      </c>
      <c r="AA19" s="3142" t="s">
        <v>2836</v>
      </c>
      <c r="AB19" s="3142" t="s">
        <v>2837</v>
      </c>
      <c r="AC19" s="3142"/>
      <c r="AD19" s="3142" t="s">
        <v>2838</v>
      </c>
    </row>
    <row r="20" spans="1:30" s="3156" customFormat="1" ht="12.75">
      <c r="A20" s="3144" t="s">
        <v>2839</v>
      </c>
      <c r="B20" s="3145"/>
      <c r="C20" s="3146"/>
      <c r="D20" s="3146"/>
      <c r="E20" s="3146">
        <f t="shared" ref="E20:G20" si="15">ROUND(AVERAGEIF(E21:E30,"&lt;&gt;0"),2)</f>
        <v>0.4</v>
      </c>
      <c r="F20" s="3146">
        <f t="shared" si="15"/>
        <v>0.26</v>
      </c>
      <c r="G20" s="3146">
        <f t="shared" si="15"/>
        <v>0.74</v>
      </c>
      <c r="H20" s="3146"/>
      <c r="I20" s="3146">
        <f>F20</f>
        <v>0.26</v>
      </c>
      <c r="J20" s="3147"/>
      <c r="K20" s="3148"/>
      <c r="L20" s="3149">
        <f t="shared" ref="L20:N20" si="16">ROUND(AVERAGEIF(L21:L30,"&lt;&gt;0"),4)</f>
        <v>4.0000000000000001E-3</v>
      </c>
      <c r="M20" s="3149">
        <f t="shared" si="16"/>
        <v>2.5999999999999999E-3</v>
      </c>
      <c r="N20" s="3149">
        <f t="shared" si="16"/>
        <v>7.4000000000000003E-3</v>
      </c>
      <c r="O20" s="3149"/>
      <c r="P20" s="3149">
        <f>M20</f>
        <v>2.5999999999999999E-3</v>
      </c>
      <c r="Q20" s="3147"/>
      <c r="R20" s="3150"/>
      <c r="S20" s="3151">
        <f>ROUND(SUMPRODUCT(PRODUCT(1+L21:L30)),4)</f>
        <v>1.0323</v>
      </c>
      <c r="T20" s="3151">
        <f t="shared" ref="T20:U20" si="17">ROUND(SUMPRODUCT(PRODUCT(1+M21:M30)),4)</f>
        <v>1.0213000000000001</v>
      </c>
      <c r="U20" s="3151">
        <f t="shared" si="17"/>
        <v>1.0609</v>
      </c>
      <c r="V20" s="3151"/>
      <c r="W20" s="3150">
        <f>T20</f>
        <v>1.0213000000000001</v>
      </c>
      <c r="X20" s="3147"/>
      <c r="Y20" s="3152"/>
      <c r="Z20" s="3153">
        <f t="shared" ref="Z20:AB20" si="18">ROUND(AVERAGEIF(Z21:Z30,"&lt;&gt;0"),4)</f>
        <v>4.3E-3</v>
      </c>
      <c r="AA20" s="3154">
        <f t="shared" si="18"/>
        <v>3.5999999999999999E-3</v>
      </c>
      <c r="AB20" s="3152">
        <f t="shared" si="18"/>
        <v>8.8999999999999999E-3</v>
      </c>
      <c r="AC20" s="3155"/>
      <c r="AD20" s="3152">
        <f>AA20</f>
        <v>3.5999999999999999E-3</v>
      </c>
    </row>
    <row r="21" spans="1:30" s="3157" customFormat="1" ht="12.75">
      <c r="B21" s="3158"/>
      <c r="C21" s="3159"/>
      <c r="D21" s="3159"/>
      <c r="E21" s="3159"/>
      <c r="F21" s="3159"/>
      <c r="G21" s="3159"/>
      <c r="H21" s="3159"/>
      <c r="I21" s="3159"/>
      <c r="J21" s="3160"/>
      <c r="K21" s="3161"/>
      <c r="L21" s="3162"/>
      <c r="M21" s="3162"/>
      <c r="N21" s="3162"/>
      <c r="O21" s="3162"/>
      <c r="P21" s="3162"/>
      <c r="Q21" s="3160"/>
      <c r="R21" s="3163"/>
      <c r="S21" s="3164"/>
      <c r="T21" s="3165"/>
      <c r="U21" s="3163"/>
      <c r="V21" s="3166"/>
      <c r="W21" s="3163"/>
      <c r="X21" s="3160"/>
      <c r="Y21" s="3167"/>
      <c r="Z21" s="3168"/>
      <c r="AA21" s="3169"/>
      <c r="AB21" s="3167"/>
      <c r="AC21" s="3170"/>
      <c r="AD21" s="3167"/>
    </row>
    <row r="22" spans="1:30" s="3180" customFormat="1" ht="12.75">
      <c r="A22" s="3171" t="s">
        <v>2840</v>
      </c>
      <c r="B22" s="3172">
        <v>2023</v>
      </c>
      <c r="C22" s="3173">
        <v>1</v>
      </c>
      <c r="D22" s="3174"/>
      <c r="E22" s="3174">
        <v>0</v>
      </c>
      <c r="F22" s="3174">
        <v>0</v>
      </c>
      <c r="G22" s="3174">
        <v>0</v>
      </c>
      <c r="H22" s="3174"/>
      <c r="I22" s="3175">
        <f t="shared" ref="I22:I30" si="19">F22</f>
        <v>0</v>
      </c>
      <c r="J22" s="3176"/>
      <c r="K22" s="3177"/>
      <c r="L22" s="3167">
        <f t="shared" ref="L22:N30" si="20">E22/100</f>
        <v>0</v>
      </c>
      <c r="M22" s="3167">
        <f t="shared" si="20"/>
        <v>0</v>
      </c>
      <c r="N22" s="3167">
        <f t="shared" si="20"/>
        <v>0</v>
      </c>
      <c r="O22" s="3167"/>
      <c r="P22" s="3167">
        <f>M22</f>
        <v>0</v>
      </c>
      <c r="Q22" s="3176"/>
      <c r="R22" s="3178"/>
      <c r="S22" s="3178">
        <f>ROUND(IF([4]项目基本情况!$B$8="出让",SUMPRODUCT(PRODUCT(1+L22:L$30)),SUMPRODUCT(PRODUCT(1+L22:L$29))),4)</f>
        <v>1.0286999999999999</v>
      </c>
      <c r="T22" s="3178">
        <f>ROUND(IF([4]项目基本情况!$B$8="出让",SUMPRODUCT(PRODUCT(1+M22:M$30)),SUMPRODUCT(PRODUCT(1+M22:M$29))),4)</f>
        <v>1.0164</v>
      </c>
      <c r="U22" s="3178">
        <f>ROUND(IF([4]项目基本情况!$B$8="出让",SUMPRODUCT(PRODUCT(1+N22:N$30)),SUMPRODUCT(PRODUCT(1+N22:N$29))),4)</f>
        <v>1.0506</v>
      </c>
      <c r="V22" s="3178"/>
      <c r="W22" s="3178">
        <f>T22</f>
        <v>1.0164</v>
      </c>
      <c r="X22" s="3176"/>
      <c r="Y22" s="3179"/>
      <c r="Z22" s="3208">
        <f>IF(E22=0,0,ROUND(AVERAGE(E22:E30)/100,4))</f>
        <v>0</v>
      </c>
      <c r="AA22" s="3208">
        <f>IF(F22=0,0,ROUND(AVERAGE(F22:F30)/100,4))</f>
        <v>0</v>
      </c>
      <c r="AB22" s="3208">
        <f>IF(G22=0,0,ROUND(AVERAGE(G22:G30)/100,4))</f>
        <v>0</v>
      </c>
      <c r="AC22" s="3209"/>
      <c r="AD22" s="3179">
        <f>IF(I22=0,0,ROUND(AVERAGE(I22:I30)/100,4))</f>
        <v>0</v>
      </c>
    </row>
    <row r="23" spans="1:30" s="3181" customFormat="1" ht="12.75">
      <c r="A23" s="3171" t="s">
        <v>2841</v>
      </c>
      <c r="B23" s="3172">
        <v>2022</v>
      </c>
      <c r="C23" s="3173">
        <v>4</v>
      </c>
      <c r="D23" s="3174"/>
      <c r="E23" s="3506">
        <v>0.45</v>
      </c>
      <c r="F23" s="3506">
        <v>0.2</v>
      </c>
      <c r="G23" s="3506">
        <v>0.38</v>
      </c>
      <c r="H23" s="3174"/>
      <c r="I23" s="3175">
        <f t="shared" si="19"/>
        <v>0.2</v>
      </c>
      <c r="J23" s="3176"/>
      <c r="K23" s="3177"/>
      <c r="L23" s="3167">
        <f t="shared" si="20"/>
        <v>4.5000000000000005E-3</v>
      </c>
      <c r="M23" s="3167">
        <f t="shared" si="20"/>
        <v>2E-3</v>
      </c>
      <c r="N23" s="3167">
        <f t="shared" si="20"/>
        <v>3.8E-3</v>
      </c>
      <c r="O23" s="3167"/>
      <c r="P23" s="3167">
        <f t="shared" ref="P23:P30" si="21">M23</f>
        <v>2E-3</v>
      </c>
      <c r="Q23" s="3176"/>
      <c r="R23" s="3178"/>
      <c r="S23" s="3178">
        <f>ROUND(IF([4]项目基本情况!$B$8="出让",SUMPRODUCT(PRODUCT(1+L23:L$30)),SUMPRODUCT(PRODUCT(1+L23:L$29))),4)</f>
        <v>1.0286999999999999</v>
      </c>
      <c r="T23" s="3178">
        <f>ROUND(IF([4]项目基本情况!$B$8="出让",SUMPRODUCT(PRODUCT(1+M23:M$30)),SUMPRODUCT(PRODUCT(1+M23:M$29))),4)</f>
        <v>1.0164</v>
      </c>
      <c r="U23" s="3178">
        <f>ROUND(IF([4]项目基本情况!$B$8="出让",SUMPRODUCT(PRODUCT(1+N23:N$30)),SUMPRODUCT(PRODUCT(1+N23:N$29))),4)</f>
        <v>1.0506</v>
      </c>
      <c r="V23" s="3178"/>
      <c r="W23" s="3178">
        <f t="shared" ref="W23:W30" si="22">T23</f>
        <v>1.0164</v>
      </c>
      <c r="X23" s="3176"/>
      <c r="Y23" s="3179"/>
      <c r="Z23" s="3208">
        <f t="shared" ref="Z23:AD30" si="23">IF(E23=0,0,ROUND(AVERAGE(E23:E31)/100,4))</f>
        <v>4.0000000000000001E-3</v>
      </c>
      <c r="AA23" s="3210">
        <f t="shared" si="23"/>
        <v>2.5999999999999999E-3</v>
      </c>
      <c r="AB23" s="3179">
        <f t="shared" si="23"/>
        <v>7.4000000000000003E-3</v>
      </c>
      <c r="AC23" s="3209"/>
      <c r="AD23" s="3179">
        <f t="shared" si="23"/>
        <v>2.5999999999999999E-3</v>
      </c>
    </row>
    <row r="24" spans="1:30" s="3191" customFormat="1" ht="12.75">
      <c r="A24" s="3182" t="s">
        <v>3364</v>
      </c>
      <c r="B24" s="3183">
        <v>2022</v>
      </c>
      <c r="C24" s="3184">
        <v>3</v>
      </c>
      <c r="D24" s="3185"/>
      <c r="E24" s="3185">
        <v>0.3</v>
      </c>
      <c r="F24" s="3185">
        <v>0.28999999999999998</v>
      </c>
      <c r="G24" s="3185">
        <v>0.83</v>
      </c>
      <c r="H24" s="3186"/>
      <c r="I24" s="3187">
        <f t="shared" si="19"/>
        <v>0.28999999999999998</v>
      </c>
      <c r="J24" s="3188"/>
      <c r="K24" s="3189"/>
      <c r="L24" s="3190">
        <f t="shared" si="20"/>
        <v>3.0000000000000001E-3</v>
      </c>
      <c r="M24" s="3190">
        <f t="shared" si="20"/>
        <v>2.8999999999999998E-3</v>
      </c>
      <c r="N24" s="3190">
        <f t="shared" si="20"/>
        <v>8.3000000000000001E-3</v>
      </c>
      <c r="O24" s="3190"/>
      <c r="P24" s="3190">
        <f t="shared" si="21"/>
        <v>2.8999999999999998E-3</v>
      </c>
      <c r="Q24" s="3188"/>
      <c r="R24" s="3188"/>
      <c r="S24" s="3188">
        <f>ROUND(IF([4]项目基本情况!$B$8="出让",SUMPRODUCT(PRODUCT(1+L24:L$30)),SUMPRODUCT(PRODUCT(1+L24:L$29))),4)</f>
        <v>1.0241</v>
      </c>
      <c r="T24" s="3188">
        <f>ROUND(IF([4]项目基本情况!$B$8="出让",SUMPRODUCT(PRODUCT(1+M24:M$30)),SUMPRODUCT(PRODUCT(1+M24:M$29))),4)</f>
        <v>1.0144</v>
      </c>
      <c r="U24" s="3188">
        <f>ROUND(IF([4]项目基本情况!$B$8="出让",SUMPRODUCT(PRODUCT(1+N24:N$30)),SUMPRODUCT(PRODUCT(1+N24:N$29))),4)</f>
        <v>1.0467</v>
      </c>
      <c r="V24" s="3188"/>
      <c r="W24" s="3188">
        <f t="shared" si="22"/>
        <v>1.0144</v>
      </c>
      <c r="X24" s="3188"/>
      <c r="Y24" s="3190"/>
      <c r="Z24" s="3211">
        <f t="shared" si="23"/>
        <v>3.8999999999999998E-3</v>
      </c>
      <c r="AA24" s="3212">
        <f t="shared" si="23"/>
        <v>2.7000000000000001E-3</v>
      </c>
      <c r="AB24" s="3190">
        <f t="shared" si="23"/>
        <v>7.9000000000000008E-3</v>
      </c>
      <c r="AC24" s="3213"/>
      <c r="AD24" s="3190">
        <f t="shared" si="23"/>
        <v>2.7000000000000001E-3</v>
      </c>
    </row>
    <row r="25" spans="1:30" s="3180" customFormat="1" ht="12.75">
      <c r="A25" s="3171" t="s">
        <v>3363</v>
      </c>
      <c r="B25" s="3172">
        <v>2022</v>
      </c>
      <c r="C25" s="3173">
        <v>2</v>
      </c>
      <c r="D25" s="3174"/>
      <c r="E25" s="3174">
        <v>-0.11</v>
      </c>
      <c r="F25" s="3174">
        <v>-0.13</v>
      </c>
      <c r="G25" s="3174">
        <v>0.53</v>
      </c>
      <c r="H25" s="3192"/>
      <c r="I25" s="3175">
        <f t="shared" si="19"/>
        <v>-0.13</v>
      </c>
      <c r="J25" s="3176"/>
      <c r="K25" s="3177"/>
      <c r="L25" s="3167">
        <f t="shared" si="20"/>
        <v>-1.1000000000000001E-3</v>
      </c>
      <c r="M25" s="3167">
        <f t="shared" si="20"/>
        <v>-1.2999999999999999E-3</v>
      </c>
      <c r="N25" s="3167">
        <f t="shared" si="20"/>
        <v>5.3E-3</v>
      </c>
      <c r="O25" s="3167"/>
      <c r="P25" s="3167">
        <f t="shared" si="21"/>
        <v>-1.2999999999999999E-3</v>
      </c>
      <c r="Q25" s="3176"/>
      <c r="R25" s="3178"/>
      <c r="S25" s="3178">
        <f>ROUND(IF([4]项目基本情况!$B$8="出让",SUMPRODUCT(PRODUCT(1+L25:L$30)),SUMPRODUCT(PRODUCT(1+L25:L$29))),4)</f>
        <v>1.0210999999999999</v>
      </c>
      <c r="T25" s="3178">
        <f>ROUND(IF([4]项目基本情况!$B$8="出让",SUMPRODUCT(PRODUCT(1+M25:M$30)),SUMPRODUCT(PRODUCT(1+M25:M$29))),4)</f>
        <v>1.0114000000000001</v>
      </c>
      <c r="U25" s="3178">
        <f>ROUND(IF([4]项目基本情况!$B$8="出让",SUMPRODUCT(PRODUCT(1+N25:N$30)),SUMPRODUCT(PRODUCT(1+N25:N$29))),4)</f>
        <v>1.0381</v>
      </c>
      <c r="V25" s="3178"/>
      <c r="W25" s="3178">
        <f t="shared" si="22"/>
        <v>1.0114000000000001</v>
      </c>
      <c r="X25" s="3176"/>
      <c r="Y25" s="3179"/>
      <c r="Z25" s="3208">
        <f t="shared" si="23"/>
        <v>4.1000000000000003E-3</v>
      </c>
      <c r="AA25" s="3210">
        <f t="shared" si="23"/>
        <v>2.7000000000000001E-3</v>
      </c>
      <c r="AB25" s="3179">
        <f t="shared" si="23"/>
        <v>7.9000000000000008E-3</v>
      </c>
      <c r="AC25" s="3209"/>
      <c r="AD25" s="3179">
        <f t="shared" si="23"/>
        <v>2.7000000000000001E-3</v>
      </c>
    </row>
    <row r="26" spans="1:30" s="3180" customFormat="1" ht="12.75">
      <c r="A26" s="3171" t="s">
        <v>2842</v>
      </c>
      <c r="B26" s="3172">
        <v>2022</v>
      </c>
      <c r="C26" s="3173">
        <v>1</v>
      </c>
      <c r="D26" s="3174"/>
      <c r="E26" s="3174">
        <v>0.6</v>
      </c>
      <c r="F26" s="3174">
        <v>0.45</v>
      </c>
      <c r="G26" s="3174">
        <v>0.53</v>
      </c>
      <c r="H26" s="3192"/>
      <c r="I26" s="3175">
        <f t="shared" si="19"/>
        <v>0.45</v>
      </c>
      <c r="J26" s="3176"/>
      <c r="K26" s="3177"/>
      <c r="L26" s="3167">
        <f t="shared" si="20"/>
        <v>6.0000000000000001E-3</v>
      </c>
      <c r="M26" s="3167">
        <f t="shared" si="20"/>
        <v>4.5000000000000005E-3</v>
      </c>
      <c r="N26" s="3167">
        <f t="shared" si="20"/>
        <v>5.3E-3</v>
      </c>
      <c r="O26" s="3167"/>
      <c r="P26" s="3167">
        <f t="shared" si="21"/>
        <v>4.5000000000000005E-3</v>
      </c>
      <c r="Q26" s="3176"/>
      <c r="R26" s="3178"/>
      <c r="S26" s="3178">
        <f>ROUND(IF([4]项目基本情况!$B$8="出让",SUMPRODUCT(PRODUCT(1+L26:L$30)),SUMPRODUCT(PRODUCT(1+L26:L$29))),4)</f>
        <v>1.0222</v>
      </c>
      <c r="T26" s="3178">
        <f>ROUND(IF([4]项目基本情况!$B$8="出让",SUMPRODUCT(PRODUCT(1+M26:M$30)),SUMPRODUCT(PRODUCT(1+M26:M$29))),4)</f>
        <v>1.0127999999999999</v>
      </c>
      <c r="U26" s="3178">
        <f>ROUND(IF([4]项目基本情况!$B$8="出让",SUMPRODUCT(PRODUCT(1+N26:N$30)),SUMPRODUCT(PRODUCT(1+N26:N$29))),4)</f>
        <v>1.0326</v>
      </c>
      <c r="V26" s="3178"/>
      <c r="W26" s="3178">
        <f t="shared" si="22"/>
        <v>1.0127999999999999</v>
      </c>
      <c r="X26" s="3176"/>
      <c r="Y26" s="3179"/>
      <c r="Z26" s="3208">
        <f t="shared" si="23"/>
        <v>5.1000000000000004E-3</v>
      </c>
      <c r="AA26" s="3210">
        <f t="shared" si="23"/>
        <v>3.5000000000000001E-3</v>
      </c>
      <c r="AB26" s="3179">
        <f t="shared" si="23"/>
        <v>8.3999999999999995E-3</v>
      </c>
      <c r="AC26" s="3209"/>
      <c r="AD26" s="3179">
        <f t="shared" si="23"/>
        <v>3.5000000000000001E-3</v>
      </c>
    </row>
    <row r="27" spans="1:30" s="3180" customFormat="1" ht="12.75">
      <c r="A27" s="3171" t="s">
        <v>2843</v>
      </c>
      <c r="B27" s="3172">
        <v>2021</v>
      </c>
      <c r="C27" s="3173">
        <v>4</v>
      </c>
      <c r="D27" s="3174"/>
      <c r="E27" s="3174">
        <v>0.57999999999999996</v>
      </c>
      <c r="F27" s="3174">
        <v>0.08</v>
      </c>
      <c r="G27" s="3174">
        <v>0.68</v>
      </c>
      <c r="H27" s="3192"/>
      <c r="I27" s="3175">
        <f t="shared" si="19"/>
        <v>0.08</v>
      </c>
      <c r="J27" s="3176"/>
      <c r="K27" s="3177"/>
      <c r="L27" s="3167">
        <f t="shared" si="20"/>
        <v>5.7999999999999996E-3</v>
      </c>
      <c r="M27" s="3167">
        <f t="shared" si="20"/>
        <v>8.0000000000000004E-4</v>
      </c>
      <c r="N27" s="3167">
        <f t="shared" si="20"/>
        <v>6.8000000000000005E-3</v>
      </c>
      <c r="O27" s="3167"/>
      <c r="P27" s="3167">
        <f t="shared" si="21"/>
        <v>8.0000000000000004E-4</v>
      </c>
      <c r="Q27" s="3176"/>
      <c r="R27" s="3178"/>
      <c r="S27" s="3178">
        <f>ROUND(IF([4]项目基本情况!$B$8="出让",SUMPRODUCT(PRODUCT(1+L27:L$30)),SUMPRODUCT(PRODUCT(1+L27:L$29))),4)</f>
        <v>1.0161</v>
      </c>
      <c r="T27" s="3178">
        <f>ROUND(IF([4]项目基本情况!$B$8="出让",SUMPRODUCT(PRODUCT(1+M27:M$30)),SUMPRODUCT(PRODUCT(1+M27:M$29))),4)</f>
        <v>1.0082</v>
      </c>
      <c r="U27" s="3178">
        <f>ROUND(IF([4]项目基本情况!$B$8="出让",SUMPRODUCT(PRODUCT(1+N27:N$30)),SUMPRODUCT(PRODUCT(1+N27:N$29))),4)</f>
        <v>1.0270999999999999</v>
      </c>
      <c r="V27" s="3178"/>
      <c r="W27" s="3178">
        <f t="shared" si="22"/>
        <v>1.0082</v>
      </c>
      <c r="X27" s="3176"/>
      <c r="Y27" s="3179"/>
      <c r="Z27" s="3208">
        <f t="shared" si="23"/>
        <v>4.8999999999999998E-3</v>
      </c>
      <c r="AA27" s="3210">
        <f t="shared" si="23"/>
        <v>3.3E-3</v>
      </c>
      <c r="AB27" s="3179">
        <f t="shared" si="23"/>
        <v>9.1999999999999998E-3</v>
      </c>
      <c r="AC27" s="3209"/>
      <c r="AD27" s="3179">
        <f t="shared" si="23"/>
        <v>3.3E-3</v>
      </c>
    </row>
    <row r="28" spans="1:30" s="3180" customFormat="1" ht="12.75">
      <c r="A28" s="3171" t="s">
        <v>2844</v>
      </c>
      <c r="B28" s="3172">
        <v>2021</v>
      </c>
      <c r="C28" s="3173">
        <v>3</v>
      </c>
      <c r="D28" s="3174"/>
      <c r="E28" s="3174">
        <v>0.47</v>
      </c>
      <c r="F28" s="3174">
        <v>0.28000000000000003</v>
      </c>
      <c r="G28" s="3174">
        <v>0.91</v>
      </c>
      <c r="H28" s="3192"/>
      <c r="I28" s="3175">
        <f t="shared" si="19"/>
        <v>0.28000000000000003</v>
      </c>
      <c r="J28" s="3176"/>
      <c r="K28" s="3177"/>
      <c r="L28" s="3167">
        <f t="shared" si="20"/>
        <v>4.6999999999999993E-3</v>
      </c>
      <c r="M28" s="3167">
        <f t="shared" si="20"/>
        <v>2.8000000000000004E-3</v>
      </c>
      <c r="N28" s="3167">
        <f t="shared" si="20"/>
        <v>9.1000000000000004E-3</v>
      </c>
      <c r="O28" s="3167"/>
      <c r="P28" s="3167">
        <f t="shared" si="21"/>
        <v>2.8000000000000004E-3</v>
      </c>
      <c r="Q28" s="3176"/>
      <c r="R28" s="3178"/>
      <c r="S28" s="3178">
        <f>ROUND(IF([4]项目基本情况!$B$8="出让",SUMPRODUCT(PRODUCT(1+L28:L$30)),SUMPRODUCT(PRODUCT(1+L28:L$29))),4)</f>
        <v>1.0102</v>
      </c>
      <c r="T28" s="3178">
        <f>ROUND(IF([4]项目基本情况!$B$8="出让",SUMPRODUCT(PRODUCT(1+M28:M$30)),SUMPRODUCT(PRODUCT(1+M28:M$29))),4)</f>
        <v>1.0074000000000001</v>
      </c>
      <c r="U28" s="3178">
        <f>ROUND(IF([4]项目基本情况!$B$8="出让",SUMPRODUCT(PRODUCT(1+N28:N$30)),SUMPRODUCT(PRODUCT(1+N28:N$29))),4)</f>
        <v>1.0202</v>
      </c>
      <c r="V28" s="3178"/>
      <c r="W28" s="3178">
        <f t="shared" si="22"/>
        <v>1.0074000000000001</v>
      </c>
      <c r="X28" s="3176"/>
      <c r="Y28" s="3179"/>
      <c r="Z28" s="3208">
        <f t="shared" si="23"/>
        <v>4.5999999999999999E-3</v>
      </c>
      <c r="AA28" s="3210">
        <f t="shared" si="23"/>
        <v>4.1000000000000003E-3</v>
      </c>
      <c r="AB28" s="3179">
        <f t="shared" si="23"/>
        <v>0.01</v>
      </c>
      <c r="AC28" s="3209"/>
      <c r="AD28" s="3179">
        <f t="shared" si="23"/>
        <v>4.1000000000000003E-3</v>
      </c>
    </row>
    <row r="29" spans="1:30" s="3180" customFormat="1" ht="12.75">
      <c r="A29" s="3171" t="s">
        <v>2845</v>
      </c>
      <c r="B29" s="3172">
        <v>2021</v>
      </c>
      <c r="C29" s="3173">
        <v>2</v>
      </c>
      <c r="D29" s="3174"/>
      <c r="E29" s="3174">
        <v>0.55000000000000004</v>
      </c>
      <c r="F29" s="3174">
        <v>0.46</v>
      </c>
      <c r="G29" s="3174">
        <v>1.1000000000000001</v>
      </c>
      <c r="H29" s="3192"/>
      <c r="I29" s="3175">
        <f t="shared" si="19"/>
        <v>0.46</v>
      </c>
      <c r="J29" s="3176"/>
      <c r="K29" s="3177"/>
      <c r="L29" s="3167">
        <f t="shared" si="20"/>
        <v>5.5000000000000005E-3</v>
      </c>
      <c r="M29" s="3167">
        <f t="shared" si="20"/>
        <v>4.5999999999999999E-3</v>
      </c>
      <c r="N29" s="3167">
        <f t="shared" si="20"/>
        <v>1.1000000000000001E-2</v>
      </c>
      <c r="O29" s="3167"/>
      <c r="P29" s="3167">
        <f t="shared" si="21"/>
        <v>4.5999999999999999E-3</v>
      </c>
      <c r="Q29" s="3176"/>
      <c r="R29" s="3178"/>
      <c r="S29" s="3178">
        <f>ROUND(IF([4]项目基本情况!$B$8="出让",SUMPRODUCT(PRODUCT(1+L29:L$30)),SUMPRODUCT(PRODUCT(1+L29:L$29))),4)</f>
        <v>1.0055000000000001</v>
      </c>
      <c r="T29" s="3178">
        <f>ROUND(IF([4]项目基本情况!$B$8="出让",SUMPRODUCT(PRODUCT(1+M29:M$30)),SUMPRODUCT(PRODUCT(1+M29:M$29))),4)</f>
        <v>1.0045999999999999</v>
      </c>
      <c r="U29" s="3178">
        <f>ROUND(IF([4]项目基本情况!$B$8="出让",SUMPRODUCT(PRODUCT(1+N29:N$30)),SUMPRODUCT(PRODUCT(1+N29:N$29))),4)</f>
        <v>1.0109999999999999</v>
      </c>
      <c r="V29" s="3178"/>
      <c r="W29" s="3178">
        <f t="shared" si="22"/>
        <v>1.0045999999999999</v>
      </c>
      <c r="X29" s="3176"/>
      <c r="Y29" s="3179"/>
      <c r="Z29" s="3208">
        <f t="shared" si="23"/>
        <v>4.4999999999999997E-3</v>
      </c>
      <c r="AA29" s="3210">
        <f t="shared" si="23"/>
        <v>4.7000000000000002E-3</v>
      </c>
      <c r="AB29" s="3179">
        <f t="shared" si="23"/>
        <v>1.04E-2</v>
      </c>
      <c r="AC29" s="3209"/>
      <c r="AD29" s="3179">
        <f t="shared" si="23"/>
        <v>4.7000000000000002E-3</v>
      </c>
    </row>
    <row r="30" spans="1:30" s="3203" customFormat="1" thickBot="1">
      <c r="A30" s="3193" t="s">
        <v>2828</v>
      </c>
      <c r="B30" s="3194">
        <v>2021</v>
      </c>
      <c r="C30" s="3195">
        <v>1</v>
      </c>
      <c r="D30" s="3196"/>
      <c r="E30" s="3196">
        <v>0.35</v>
      </c>
      <c r="F30" s="3196">
        <v>0.48</v>
      </c>
      <c r="G30" s="3196">
        <v>0.98</v>
      </c>
      <c r="H30" s="3197"/>
      <c r="I30" s="3198">
        <f t="shared" si="19"/>
        <v>0.48</v>
      </c>
      <c r="J30" s="3199"/>
      <c r="K30" s="3200"/>
      <c r="L30" s="3201">
        <f t="shared" si="20"/>
        <v>3.4999999999999996E-3</v>
      </c>
      <c r="M30" s="3201">
        <f>F30/100</f>
        <v>4.7999999999999996E-3</v>
      </c>
      <c r="N30" s="3201">
        <f t="shared" si="20"/>
        <v>9.7999999999999997E-3</v>
      </c>
      <c r="O30" s="3201"/>
      <c r="P30" s="3201">
        <f t="shared" si="21"/>
        <v>4.7999999999999996E-3</v>
      </c>
      <c r="Q30" s="3199"/>
      <c r="R30" s="3202"/>
      <c r="S30" s="3202">
        <v>1</v>
      </c>
      <c r="T30" s="3202">
        <v>1</v>
      </c>
      <c r="U30" s="3202">
        <v>1</v>
      </c>
      <c r="V30" s="3202"/>
      <c r="W30" s="3202">
        <f t="shared" si="22"/>
        <v>1</v>
      </c>
      <c r="X30" s="3199"/>
      <c r="Y30" s="3201"/>
      <c r="Z30" s="3214">
        <f t="shared" si="23"/>
        <v>3.5000000000000001E-3</v>
      </c>
      <c r="AA30" s="3215">
        <f t="shared" si="23"/>
        <v>4.7999999999999996E-3</v>
      </c>
      <c r="AB30" s="3201">
        <f t="shared" si="23"/>
        <v>9.7999999999999997E-3</v>
      </c>
      <c r="AC30" s="3216"/>
      <c r="AD30" s="3201">
        <f t="shared" si="23"/>
        <v>4.7999999999999996E-3</v>
      </c>
    </row>
    <row r="31" spans="1:30" ht="14.25" thickTop="1"/>
  </sheetData>
  <mergeCells count="4">
    <mergeCell ref="R18:W18"/>
    <mergeCell ref="Y18:AD18"/>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70" t="s">
        <v>452</v>
      </c>
      <c r="C1" s="3870"/>
      <c r="D1" s="3870"/>
      <c r="E1" s="3870"/>
      <c r="F1" s="3870"/>
      <c r="G1" s="3866" t="s">
        <v>453</v>
      </c>
      <c r="H1" s="3866"/>
      <c r="I1" s="3866"/>
      <c r="J1" s="3866"/>
      <c r="K1" s="3866"/>
      <c r="L1" s="3866"/>
      <c r="N1" s="3866" t="s">
        <v>454</v>
      </c>
      <c r="O1" s="3866"/>
      <c r="P1" s="3866"/>
      <c r="Q1" s="3866"/>
      <c r="S1" s="3866" t="s">
        <v>455</v>
      </c>
      <c r="T1" s="3866"/>
      <c r="U1" s="3866"/>
      <c r="V1" s="3866"/>
      <c r="X1" s="3865" t="s">
        <v>456</v>
      </c>
      <c r="Y1" s="3866"/>
      <c r="Z1" s="3866"/>
      <c r="AA1" s="3866"/>
      <c r="AB1" s="3866"/>
      <c r="AD1" s="3865" t="s">
        <v>457</v>
      </c>
      <c r="AE1" s="3866"/>
      <c r="AF1" s="3866"/>
      <c r="AG1" s="3866"/>
      <c r="AH1" s="386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7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45001</v>
      </c>
      <c r="D1" s="1300" t="s">
        <v>603</v>
      </c>
      <c r="E1" s="1295">
        <f>'数据-取费表'!B22</f>
        <v>3</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44795</v>
      </c>
      <c r="D13" s="2817">
        <v>3.65</v>
      </c>
      <c r="E13" s="2817">
        <f>D13</f>
        <v>3.65</v>
      </c>
      <c r="F13" s="2817">
        <f>D13</f>
        <v>3.65</v>
      </c>
      <c r="G13" s="2817">
        <f>D13</f>
        <v>3.65</v>
      </c>
      <c r="H13" s="2817">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44701</v>
      </c>
      <c r="D14" s="2812">
        <v>3.7</v>
      </c>
      <c r="E14" s="2812">
        <f>D14</f>
        <v>3.7</v>
      </c>
      <c r="F14" s="2812">
        <f>D14</f>
        <v>3.7</v>
      </c>
      <c r="G14" s="2812">
        <f>D14</f>
        <v>3.7</v>
      </c>
      <c r="H14" s="2812">
        <v>4.45</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44581</v>
      </c>
      <c r="D15" s="2812">
        <v>3.7</v>
      </c>
      <c r="E15" s="2812">
        <f>D15</f>
        <v>3.7</v>
      </c>
      <c r="F15" s="2812">
        <f>D15</f>
        <v>3.7</v>
      </c>
      <c r="G15" s="2812">
        <f>D15</f>
        <v>3.7</v>
      </c>
      <c r="H15" s="2812">
        <v>4.5999999999999996</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3">
        <v>44550</v>
      </c>
      <c r="D16" s="2812">
        <v>3.8</v>
      </c>
      <c r="E16" s="2812">
        <f>D16</f>
        <v>3.8</v>
      </c>
      <c r="F16" s="2812">
        <f>D16</f>
        <v>3.8</v>
      </c>
      <c r="G16" s="2812">
        <f>D16</f>
        <v>3.8</v>
      </c>
      <c r="H16" s="2812">
        <v>4.6500000000000004</v>
      </c>
      <c r="I16" s="2812"/>
      <c r="J16" s="2817"/>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3">
        <v>43941</v>
      </c>
      <c r="D17" s="2812">
        <v>3.85</v>
      </c>
      <c r="E17" s="2812">
        <v>3.85</v>
      </c>
      <c r="F17" s="2812">
        <v>3.85</v>
      </c>
      <c r="G17" s="2812">
        <v>3.85</v>
      </c>
      <c r="H17" s="2812">
        <v>4.6500000000000004</v>
      </c>
      <c r="I17" s="2812"/>
      <c r="J17" s="2812"/>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43789</v>
      </c>
      <c r="D19" s="2812">
        <v>4.1500000000000004</v>
      </c>
      <c r="E19" s="2812">
        <v>4.1500000000000004</v>
      </c>
      <c r="F19" s="2812">
        <v>4.1500000000000004</v>
      </c>
      <c r="G19" s="2812">
        <v>4.1500000000000004</v>
      </c>
      <c r="H19" s="2812">
        <v>4.8</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43728</v>
      </c>
      <c r="D20" s="2812">
        <v>4.2</v>
      </c>
      <c r="E20" s="2812">
        <v>4.2</v>
      </c>
      <c r="F20" s="2812">
        <v>4.2</v>
      </c>
      <c r="G20" s="2812">
        <v>4.2</v>
      </c>
      <c r="H20" s="2812">
        <v>4.8499999999999996</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t="s">
        <v>2312</v>
      </c>
      <c r="C21" s="2814">
        <v>43697</v>
      </c>
      <c r="D21" s="2815">
        <v>4.25</v>
      </c>
      <c r="E21" s="2815">
        <v>4.25</v>
      </c>
      <c r="F21" s="2815">
        <v>4.25</v>
      </c>
      <c r="G21" s="2815">
        <v>4.25</v>
      </c>
      <c r="H21" s="2815">
        <v>4.8499999999999996</v>
      </c>
      <c r="I21" s="2815"/>
      <c r="J21" s="2815"/>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8"/>
      <c r="B22" s="2819"/>
      <c r="C22" s="2820">
        <v>42301</v>
      </c>
      <c r="D22" s="2821">
        <v>4.3499999999999996</v>
      </c>
      <c r="E22" s="2821">
        <v>4.3499999999999996</v>
      </c>
      <c r="F22" s="2821">
        <v>4.75</v>
      </c>
      <c r="G22" s="2821">
        <v>4.75</v>
      </c>
      <c r="H22" s="2821">
        <v>4.9000000000000004</v>
      </c>
      <c r="I22" s="2821"/>
      <c r="J22" s="2821"/>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23"/>
      <c r="B3" s="3523"/>
      <c r="C3" s="3523"/>
      <c r="D3" s="854" t="s">
        <v>925</v>
      </c>
      <c r="E3" s="854" t="s">
        <v>931</v>
      </c>
      <c r="F3" s="854" t="s">
        <v>925</v>
      </c>
      <c r="G3" s="854" t="s">
        <v>926</v>
      </c>
      <c r="H3" s="854" t="s">
        <v>925</v>
      </c>
      <c r="I3" s="854" t="s">
        <v>926</v>
      </c>
    </row>
    <row r="4" spans="1:9" ht="30">
      <c r="A4" s="1503" t="str">
        <f>项目基本情况!S2</f>
        <v>北京市通州区宋庄镇尹各庄村新建科研用地房地产</v>
      </c>
      <c r="B4" s="854">
        <f>项目基本情况!C17</f>
        <v>59427.91</v>
      </c>
      <c r="C4" s="854">
        <f>项目基本情况!C18</f>
        <v>20455.650000000001</v>
      </c>
      <c r="D4" s="854">
        <f ca="1">结果表!D118</f>
        <v>55543</v>
      </c>
      <c r="E4" s="854">
        <f ca="1">结果表!E118</f>
        <v>9346</v>
      </c>
      <c r="F4" s="854">
        <f ca="1">结果表!F118</f>
        <v>72143</v>
      </c>
      <c r="G4" s="854">
        <f ca="1">结果表!G118</f>
        <v>12140</v>
      </c>
      <c r="H4" s="854">
        <f ca="1">结果表!H118</f>
        <v>127686</v>
      </c>
      <c r="I4" s="854">
        <f ca="1">结果表!I118</f>
        <v>21486</v>
      </c>
    </row>
    <row r="5" spans="1:9" ht="30" customHeight="1">
      <c r="A5" s="3523" t="s">
        <v>927</v>
      </c>
      <c r="B5" s="3523"/>
      <c r="C5" s="3523"/>
      <c r="D5" s="3523" t="str">
        <f ca="1">结果表!D119</f>
        <v>伍亿伍仟伍佰肆拾叁万元整</v>
      </c>
      <c r="E5" s="3523"/>
      <c r="F5" s="3523" t="str">
        <f ca="1">结果表!F119</f>
        <v>柒亿贰仟壹佰肆拾叁万元整</v>
      </c>
      <c r="G5" s="3523"/>
      <c r="H5" s="3523" t="str">
        <f ca="1">结果表!H119</f>
        <v>壹拾贰亿柒仟陆佰捌拾陆万元整</v>
      </c>
      <c r="I5" s="3523"/>
    </row>
    <row r="6" spans="1:9" ht="15.75">
      <c r="A6" s="3524" t="str">
        <f>结果表!A120</f>
        <v>估价师知悉的法定优先受偿款</v>
      </c>
      <c r="B6" s="3524"/>
      <c r="C6" s="3524"/>
      <c r="D6" s="3524">
        <f>结果表!D120</f>
        <v>0</v>
      </c>
      <c r="E6" s="3524"/>
      <c r="F6" s="3524"/>
      <c r="G6" s="3524"/>
      <c r="H6" s="3524"/>
      <c r="I6" s="3524"/>
    </row>
    <row r="7" spans="1:9" ht="15">
      <c r="A7" s="3523" t="s">
        <v>927</v>
      </c>
      <c r="B7" s="3523"/>
      <c r="C7" s="3523"/>
      <c r="D7" s="3525" t="str">
        <f>结果表!D121</f>
        <v>零元整</v>
      </c>
      <c r="E7" s="3526"/>
      <c r="F7" s="3526"/>
      <c r="G7" s="3526"/>
      <c r="H7" s="3526"/>
      <c r="I7" s="3527"/>
    </row>
    <row r="8" spans="1:9" ht="15.75">
      <c r="A8" s="3524" t="str">
        <f>结果表!A122</f>
        <v>房地产抵押价值</v>
      </c>
      <c r="B8" s="3524"/>
      <c r="C8" s="3524"/>
      <c r="D8" s="3524">
        <f ca="1">结果表!D122</f>
        <v>127686</v>
      </c>
      <c r="E8" s="3524"/>
      <c r="F8" s="3524"/>
      <c r="G8" s="3524"/>
      <c r="H8" s="3524"/>
      <c r="I8" s="3524"/>
    </row>
    <row r="9" spans="1:9" ht="15">
      <c r="A9" s="3523" t="s">
        <v>927</v>
      </c>
      <c r="B9" s="3523"/>
      <c r="C9" s="3523"/>
      <c r="D9" s="3523" t="str">
        <f ca="1">结果表!D123</f>
        <v>壹拾贰亿柒仟陆佰捌拾陆万元整</v>
      </c>
      <c r="E9" s="3523"/>
      <c r="F9" s="3523"/>
      <c r="G9" s="3523"/>
      <c r="H9" s="3523"/>
      <c r="I9" s="3523"/>
    </row>
    <row r="10" spans="1:9" ht="15.75">
      <c r="A10" s="3524" t="str">
        <f>结果表!A124</f>
        <v/>
      </c>
      <c r="B10" s="3524"/>
      <c r="C10" s="3524"/>
      <c r="D10" s="3524" t="str">
        <f>结果表!D124</f>
        <v>——</v>
      </c>
      <c r="E10" s="3524"/>
      <c r="F10" s="3524"/>
      <c r="G10" s="3524"/>
      <c r="H10" s="3524"/>
      <c r="I10" s="3524"/>
    </row>
    <row r="11" spans="1:9" ht="15">
      <c r="A11" s="3523" t="s">
        <v>927</v>
      </c>
      <c r="B11" s="3523"/>
      <c r="C11" s="3523"/>
      <c r="D11" s="3523" t="e">
        <f>结果表!D125</f>
        <v>#VALUE!</v>
      </c>
      <c r="E11" s="3523"/>
      <c r="F11" s="3523"/>
      <c r="G11" s="3523"/>
      <c r="H11" s="3523"/>
      <c r="I11" s="3523"/>
    </row>
    <row r="12" spans="1:9" ht="15.75">
      <c r="A12" s="3524" t="str">
        <f>结果表!A126</f>
        <v/>
      </c>
      <c r="B12" s="3524"/>
      <c r="C12" s="3524"/>
      <c r="D12" s="3524" t="str">
        <f>结果表!D126</f>
        <v>——</v>
      </c>
      <c r="E12" s="3524"/>
      <c r="F12" s="3524"/>
      <c r="G12" s="3524"/>
      <c r="H12" s="3524"/>
      <c r="I12" s="3524"/>
    </row>
    <row r="13" spans="1:9" ht="15.75" thickBot="1">
      <c r="A13" s="3528" t="s">
        <v>927</v>
      </c>
      <c r="B13" s="3528"/>
      <c r="C13" s="3528"/>
      <c r="D13" s="3528" t="e">
        <f>结果表!D127</f>
        <v>#VALUE!</v>
      </c>
      <c r="E13" s="3528"/>
      <c r="F13" s="3528"/>
      <c r="G13" s="3528"/>
      <c r="H13" s="3528"/>
      <c r="I13" s="3528"/>
    </row>
    <row r="14" spans="1:9" ht="15" thickTop="1">
      <c r="A14" s="3529" t="s">
        <v>932</v>
      </c>
      <c r="B14" s="3529"/>
      <c r="C14" s="3529"/>
      <c r="D14" s="3529"/>
      <c r="E14" s="3529"/>
      <c r="F14" s="3529"/>
      <c r="G14" s="3529"/>
      <c r="H14" s="3529"/>
      <c r="I14" s="352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0" t="s">
        <v>949</v>
      </c>
      <c r="B1" s="3530"/>
      <c r="C1" s="3530"/>
      <c r="D1" s="3530"/>
    </row>
    <row r="2" spans="1:4" ht="18">
      <c r="A2" s="3531" t="s">
        <v>933</v>
      </c>
      <c r="B2" s="3531"/>
      <c r="C2" s="3531"/>
      <c r="D2" s="353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1" t="s">
        <v>939</v>
      </c>
      <c r="B6" s="3531"/>
      <c r="C6" s="3531"/>
      <c r="D6" s="3531"/>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32"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33" t="str">
        <f>IF(项目基本情况!B8="抵押","4.本次评估估价师所知悉的法定优先受偿款情况说明如下：","——")</f>
        <v>4.本次评估估价师所知悉的法定优先受偿款情况说明如下：</v>
      </c>
      <c r="B14" s="3534"/>
      <c r="C14" s="3534"/>
      <c r="D14" s="3534"/>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6" t="s">
        <v>943</v>
      </c>
      <c r="B16" s="3536"/>
      <c r="C16" s="3536"/>
      <c r="D16" s="3536"/>
    </row>
    <row r="17" spans="1:4" ht="144" customHeight="1">
      <c r="A17" s="3536" t="s">
        <v>944</v>
      </c>
      <c r="B17" s="3536"/>
      <c r="C17" s="3536"/>
      <c r="D17" s="3536"/>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3"/>
      <c r="C20" s="3533"/>
      <c r="D20" s="3533"/>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7"/>
      <c r="C21" s="3537"/>
      <c r="D21" s="3537"/>
    </row>
    <row r="22" spans="1:4" ht="18.75" customHeight="1">
      <c r="A22" s="3538" t="s">
        <v>945</v>
      </c>
      <c r="B22" s="3538"/>
      <c r="C22" s="3538"/>
      <c r="D22" s="353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5">
        <v>42551</v>
      </c>
      <c r="D31" s="35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30" sqref="D30"/>
      <selection pane="bottomLeft" activeCell="D30" sqref="D30"/>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4" t="s">
        <v>956</v>
      </c>
      <c r="B15" s="3539" t="s">
        <v>109</v>
      </c>
      <c r="C15" s="3540"/>
    </row>
    <row r="16" spans="1:7" ht="13.5">
      <c r="A16" s="3545"/>
      <c r="B16" s="3539" t="s">
        <v>42</v>
      </c>
      <c r="C16" s="3540"/>
    </row>
    <row r="17" spans="1:3" ht="13.5">
      <c r="A17" s="3545"/>
      <c r="B17" s="3542" t="s">
        <v>957</v>
      </c>
      <c r="C17" s="1530" t="s">
        <v>956</v>
      </c>
    </row>
    <row r="18" spans="1:3" ht="13.5">
      <c r="A18" s="3545"/>
      <c r="B18" s="3542"/>
      <c r="C18" s="1530" t="s">
        <v>958</v>
      </c>
    </row>
    <row r="19" spans="1:3" ht="13.5">
      <c r="A19" s="3545"/>
      <c r="B19" s="3542"/>
      <c r="C19" s="1530" t="s">
        <v>959</v>
      </c>
    </row>
    <row r="20" spans="1:3" ht="13.5">
      <c r="A20" s="3546"/>
      <c r="B20" s="3541" t="s">
        <v>960</v>
      </c>
      <c r="C20" s="3540"/>
    </row>
    <row r="21" spans="1:3" ht="13.5">
      <c r="A21" s="1531" t="s">
        <v>961</v>
      </c>
      <c r="B21" s="1532"/>
      <c r="C21" s="1533"/>
    </row>
    <row r="22" spans="1:3" ht="13.5">
      <c r="A22" s="3543" t="s">
        <v>962</v>
      </c>
      <c r="B22" s="3541" t="s">
        <v>963</v>
      </c>
      <c r="C22" s="3540"/>
    </row>
    <row r="23" spans="1:3" ht="13.5">
      <c r="A23" s="3543"/>
      <c r="B23" s="3541" t="s">
        <v>964</v>
      </c>
      <c r="C23" s="3540"/>
    </row>
    <row r="24" spans="1:3" ht="13.5">
      <c r="A24" s="3543"/>
      <c r="B24" s="3541" t="s">
        <v>965</v>
      </c>
      <c r="C24" s="3540"/>
    </row>
    <row r="25" spans="1:3" ht="13.5">
      <c r="A25" s="3543"/>
      <c r="B25" s="3542" t="s">
        <v>966</v>
      </c>
      <c r="C25" s="1530" t="s">
        <v>967</v>
      </c>
    </row>
    <row r="26" spans="1:3" ht="13.5">
      <c r="A26" s="3543"/>
      <c r="B26" s="3542"/>
      <c r="C26" s="1530" t="s">
        <v>968</v>
      </c>
    </row>
    <row r="27" spans="1:3" ht="13.5">
      <c r="A27" s="3543"/>
      <c r="B27" s="3542"/>
      <c r="C27" s="1530" t="s">
        <v>969</v>
      </c>
    </row>
    <row r="28" spans="1:3" ht="13.5">
      <c r="A28" s="3543"/>
      <c r="B28" s="3542"/>
      <c r="C28" s="1530" t="s">
        <v>970</v>
      </c>
    </row>
    <row r="29" spans="1:3" ht="13.5">
      <c r="A29" s="3543"/>
      <c r="B29" s="3542"/>
      <c r="C29" s="1530" t="s">
        <v>971</v>
      </c>
    </row>
    <row r="30" spans="1:3" ht="13.5">
      <c r="A30" s="3543"/>
      <c r="B30" s="3542"/>
      <c r="C30" s="1530" t="s">
        <v>972</v>
      </c>
    </row>
    <row r="31" spans="1:3" ht="13.5">
      <c r="A31" s="3543"/>
      <c r="B31" s="3542"/>
      <c r="C31" s="1530" t="s">
        <v>973</v>
      </c>
    </row>
    <row r="32" spans="1:3" ht="13.5">
      <c r="A32" s="3543"/>
      <c r="B32" s="3542"/>
      <c r="C32" s="1530" t="s">
        <v>974</v>
      </c>
    </row>
    <row r="33" spans="1:3" ht="13.5">
      <c r="A33" s="3543"/>
      <c r="B33" s="354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30" sqref="D30"/>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45001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47" t="s">
        <v>2159</v>
      </c>
      <c r="B17" s="3547"/>
      <c r="C17" s="3547"/>
      <c r="D17" s="3547"/>
      <c r="E17" s="3547"/>
      <c r="F17" s="3547"/>
      <c r="G17" s="3547"/>
      <c r="H17" s="3547"/>
    </row>
    <row r="18" spans="1:8" ht="24" customHeight="1">
      <c r="A18" s="3548" t="s">
        <v>2160</v>
      </c>
      <c r="B18" s="3548"/>
      <c r="C18" s="3548"/>
      <c r="D18" s="2341"/>
      <c r="E18" s="3549" t="s">
        <v>2161</v>
      </c>
      <c r="F18" s="3548"/>
      <c r="G18" s="354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2023-03-16T08:30:05Z</dcterms:modified>
</cp:coreProperties>
</file>