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G22" i="5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E5" i="65"/>
  <c r="H5" i="65"/>
  <c r="H7" i="65"/>
  <c r="E8" i="65"/>
  <c r="D8" i="65"/>
  <c r="E7" i="65"/>
  <c r="H8" i="65"/>
  <c r="D5" i="65"/>
  <c r="H6" i="65"/>
  <c r="G5" i="65"/>
  <c r="E6" i="65"/>
  <c r="D4" i="65"/>
  <c r="G7" i="65"/>
  <c r="G6" i="65"/>
  <c r="G4" i="65"/>
  <c r="E4" i="65"/>
  <c r="D6" i="65"/>
  <c r="D7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1" i="65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D5" i="43" l="1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E33" i="43" s="1"/>
  <c r="C36" i="43"/>
  <c r="G36" i="43" s="1"/>
  <c r="C34" i="43"/>
  <c r="G34" i="43" s="1"/>
  <c r="C37" i="43"/>
  <c r="C39" i="43"/>
  <c r="C38" i="43"/>
  <c r="I34" i="43"/>
  <c r="E35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6" i="43" l="1"/>
  <c r="E39" i="43"/>
  <c r="G39" i="43"/>
  <c r="E38" i="43"/>
  <c r="G38" i="43"/>
  <c r="I38" i="43" s="1"/>
  <c r="E37" i="43"/>
  <c r="G37" i="43"/>
  <c r="I37" i="43" s="1"/>
  <c r="C30" i="43"/>
  <c r="E34" i="43"/>
  <c r="I35" i="43"/>
  <c r="G33" i="43"/>
  <c r="I33" i="43" s="1"/>
  <c r="E29" i="43"/>
  <c r="C26" i="43" s="1"/>
  <c r="B2" i="43" s="1"/>
  <c r="I39" i="43"/>
  <c r="I36" i="43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2" i="63"/>
  <c r="B81" i="63" l="1"/>
  <c r="D12" i="63"/>
  <c r="C11" i="63" s="1"/>
  <c r="C18" i="63" l="1"/>
  <c r="C19" i="63"/>
  <c r="E19" i="63" s="1"/>
  <c r="B3" i="63"/>
  <c r="F6" i="59" s="1"/>
  <c r="C22" i="63"/>
  <c r="B5" i="63" s="1"/>
  <c r="F7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<sst xmlns="http://schemas.openxmlformats.org/spreadsheetml/2006/main" count="3940" uniqueCount="1781">
  <si>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</si>
  <si>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</si>
  <si>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</si>
  <si>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</si>
  <si>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</si>
  <si>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</si>
  <si>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</si>
  <si>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</si>
  <si>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</si>
  <si>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</si>
  <si>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</si>
  <si>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</si>
  <si>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</si>
  <si>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</si>
  <si>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</si>
  <si>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</si>
  <si>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</si>
  <si>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</si>
  <si>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</si>
  <si>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</si>
  <si>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</si>
  <si>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</si>
  <si>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</si>
  <si>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</si>
  <si>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</si>
  <si>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</si>
  <si>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</si>
  <si>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</si>
  <si>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</si>
  <si>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</si>
  <si>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</si>
  <si>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</si>
  <si>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</si>
  <si>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</si>
  <si>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</si>
  <si>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</si>
  <si>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</si>
  <si>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</si>
  <si>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</si>
  <si>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</si>
  <si>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</si>
  <si>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</si>
  <si>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</si>
  <si>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</si>
  <si>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</si>
  <si>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</si>
  <si>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</si>
  <si>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</si>
  <si>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</si>
  <si>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</si>
  <si>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</si>
  <si>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</si>
  <si>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</si>
  <si>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</si>
  <si>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</si>
  <si>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</si>
  <si>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</si>
  <si>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</si>
  <si>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</si>
  <si>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</si>
  <si>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</si>
  <si>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</si>
  <si>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</si>
  <si>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</si>
  <si>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</si>
  <si>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</si>
  <si>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</si>
  <si>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</si>
  <si>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</si>
  <si>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</si>
  <si>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</si>
  <si>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</si>
  <si>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</si>
  <si>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</si>
  <si>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</si>
  <si>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</si>
  <si>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</si>
  <si>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</si>
  <si>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</si>
  <si>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</si>
  <si>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</si>
  <si>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</si>
  <si>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</si>
  <si>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</si>
  <si>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</si>
  <si>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</si>
  <si>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</si>
  <si>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</si>
  <si>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</si>
  <si>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</si>
  <si>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</si>
  <si>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</si>
  <si>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</si>
  <si>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</si>
  <si>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</si>
  <si>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</si>
  <si>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</si>
  <si>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</si>
  <si>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</si>
  <si>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</si>
  <si>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</si>
  <si>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</si>
  <si>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</si>
  <si>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</si>
  <si>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</si>
  <si>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</si>
  <si>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</si>
  <si>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</si>
  <si>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</si>
  <si>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</si>
  <si>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</si>
  <si>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</si>
  <si>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</si>
  <si>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</si>
  <si>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</si>
  <si>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</si>
  <si>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</si>
  <si>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</si>
  <si>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</si>
  <si>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</si>
  <si>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</si>
  <si>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</si>
  <si>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</si>
  <si>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</si>
  <si>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</si>
  <si>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</si>
  <si>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</si>
  <si>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</si>
  <si>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</si>
  <si>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</si>
  <si>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</si>
  <si>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</si>
  <si>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</si>
  <si>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</si>
  <si>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</si>
  <si>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</si>
  <si>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</si>
  <si>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</si>
  <si>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</si>
  <si>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</si>
  <si>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</si>
  <si>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</si>
  <si>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</si>
  <si>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</si>
  <si>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</si>
  <si>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</si>
  <si>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</si>
  <si>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</si>
  <si>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</si>
  <si>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</si>
  <si>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</si>
  <si>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</si>
  <si>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</si>
  <si>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</si>
  <si>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</si>
  <si>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</si>
  <si>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</si>
  <si>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</si>
  <si>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</si>
  <si>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</si>
  <si>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</si>
  <si>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</si>
  <si>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</si>
  <si>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</si>
  <si>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</si>
  <si>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</si>
  <si>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</si>
  <si>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</si>
  <si>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</si>
  <si>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</si>
  <si>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</si>
  <si>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</si>
  <si>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</si>
  <si>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</si>
  <si>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</si>
  <si>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</si>
  <si>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</si>
  <si>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</si>
  <si>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</si>
  <si>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</si>
  <si>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</si>
  <si>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</si>
  <si>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</si>
  <si>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</si>
  <si>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</si>
  <si>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</si>
  <si>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</si>
  <si>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</si>
  <si>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</si>
  <si>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</si>
  <si>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</si>
  <si>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</si>
  <si>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</si>
  <si>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</si>
  <si>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</si>
  <si>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</si>
  <si>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</si>
  <si>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</si>
  <si>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</si>
  <si>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</si>
  <si>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</si>
  <si>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</si>
  <si>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</si>
  <si>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</si>
  <si>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</si>
  <si>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</si>
  <si>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</si>
  <si>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</si>
  <si>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</si>
  <si>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</si>
  <si>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</si>
  <si>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</si>
  <si>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</si>
  <si>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</si>
  <si>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</si>
  <si>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</si>
  <si>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</si>
  <si>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</si>
  <si>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</si>
  <si>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</si>
  <si>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</si>
  <si>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</si>
  <si>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</si>
  <si>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</si>
  <si>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</si>
  <si>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</si>
  <si>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</si>
  <si>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</si>
  <si>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</si>
  <si>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</si>
  <si>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</si>
  <si>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</si>
  <si>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</si>
  <si>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</si>
  <si>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</si>
  <si>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</si>
  <si>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</si>
  <si>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</si>
  <si>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</si>
  <si>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</si>
  <si>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</si>
  <si>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</si>
  <si>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</si>
  <si>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</si>
  <si>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</si>
  <si>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</si>
  <si>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</si>
  <si>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</si>
  <si>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</si>
  <si>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</si>
  <si>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</si>
  <si>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</si>
  <si>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</si>
  <si>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</si>
  <si>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</si>
  <si>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</si>
  <si>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</si>
  <si>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</si>
  <si>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</si>
  <si>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</si>
  <si>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</si>
  <si>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</si>
  <si>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</si>
  <si>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</si>
  <si>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</si>
  <si>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</si>
  <si>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</si>
  <si>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</si>
  <si>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</si>
  <si>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</si>
  <si>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</si>
  <si>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</si>
  <si>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</si>
  <si>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</si>
  <si>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</si>
  <si>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</si>
  <si>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</si>
  <si>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</si>
  <si>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</si>
  <si>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</si>
  <si>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</si>
  <si>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</si>
  <si>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</si>
  <si>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</si>
  <si>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</si>
  <si>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</si>
  <si>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</si>
  <si>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</si>
  <si>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</si>
  <si>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</si>
  <si>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</si>
  <si>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</si>
  <si>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</si>
  <si>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</si>
  <si>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</si>
  <si>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</si>
  <si>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</si>
  <si>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</si>
  <si>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</si>
  <si>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</si>
  <si>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</si>
  <si>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</si>
  <si>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</si>
  <si>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</si>
  <si>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</si>
  <si>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</si>
  <si>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</si>
  <si>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</si>
  <si>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</si>
  <si>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</si>
  <si>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</si>
  <si>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</si>
  <si>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</si>
  <si>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</si>
  <si>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</si>
  <si>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</si>
  <si>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</si>
  <si>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</si>
  <si>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</si>
  <si>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</si>
  <si>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</si>
  <si>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</si>
  <si>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</si>
  <si>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</si>
  <si>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</si>
  <si>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</si>
  <si>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</si>
  <si>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</si>
  <si>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</si>
  <si>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</si>
  <si>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</si>
  <si>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</si>
  <si>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</si>
  <si>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</si>
  <si>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</si>
  <si>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</si>
  <si>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</si>
  <si>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</si>
  <si>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</si>
  <si>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</si>
  <si>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</si>
  <si>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</si>
  <si>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</si>
  <si>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</si>
  <si>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</si>
  <si>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</si>
  <si>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</si>
  <si>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</si>
  <si>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</si>
  <si>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</si>
  <si>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</si>
  <si>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</si>
  <si>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</si>
  <si>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</si>
  <si>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</si>
  <si>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</si>
  <si>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</si>
  <si>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</si>
  <si>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</si>
  <si>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</si>
  <si>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</si>
  <si>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</si>
  <si>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</si>
  <si>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</si>
  <si>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</si>
  <si>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</si>
  <si>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</si>
  <si>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</si>
  <si>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</si>
  <si>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</si>
  <si>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</si>
  <si>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</si>
  <si>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</si>
  <si>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</si>
  <si>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</si>
  <si>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</si>
  <si>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</si>
  <si>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</si>
  <si>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</si>
  <si>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</si>
  <si>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</si>
  <si>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</si>
  <si>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</si>
  <si>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</si>
  <si>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</si>
  <si>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</si>
  <si>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</si>
  <si>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</si>
  <si>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</si>
  <si>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</si>
  <si>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</si>
  <si>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</si>
  <si>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</si>
  <si>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</si>
  <si>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</si>
  <si>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</si>
  <si>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</si>
  <si>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</si>
  <si>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</si>
  <si>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</si>
  <si>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</si>
  <si>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</si>
  <si>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</si>
  <si>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</si>
  <si>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</si>
  <si>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</si>
  <si>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</si>
  <si>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</si>
  <si>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</si>
  <si>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</si>
  <si>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</si>
  <si>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</si>
  <si>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</si>
  <si>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</si>
  <si>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</si>
  <si>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</si>
  <si>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</si>
  <si>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</si>
  <si>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</si>
  <si>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</si>
  <si>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</si>
  <si>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</si>
  <si>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</si>
  <si>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</si>
  <si>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</si>
  <si>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</si>
  <si>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</si>
  <si>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</si>
  <si>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</si>
  <si>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</si>
  <si>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</si>
  <si>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</si>
  <si>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</si>
  <si>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</si>
  <si>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</si>
  <si>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</si>
  <si>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</si>
  <si>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</si>
  <si>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</si>
  <si>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</si>
  <si>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</si>
  <si>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</si>
  <si>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</si>
  <si>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</si>
  <si>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</si>
  <si>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</si>
  <si>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</si>
  <si>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</si>
  <si>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</si>
  <si>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</si>
  <si>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</si>
  <si>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</si>
  <si>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</si>
  <si>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</si>
  <si>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</si>
  <si>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</si>
  <si>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</si>
  <si>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</si>
  <si>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</si>
  <si>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</si>
  <si>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</si>
  <si>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</si>
  <si>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</si>
  <si>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</si>
  <si>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</si>
  <si>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</si>
  <si>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</si>
  <si>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</si>
  <si>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</si>
  <si>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</si>
  <si>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</si>
  <si>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</si>
  <si>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</si>
  <si>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</si>
  <si>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</si>
  <si>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</si>
  <si>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</si>
  <si>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</si>
  <si>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</si>
  <si>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</si>
  <si>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</si>
  <si>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</si>
  <si>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</si>
  <si>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</si>
  <si>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</si>
  <si>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</si>
  <si>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</si>
  <si>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</si>
  <si>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</si>
  <si>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</si>
  <si>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</si>
  <si>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</si>
  <si>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</si>
  <si>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</si>
  <si>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</si>
  <si>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</si>
  <si>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</si>
  <si>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</si>
  <si>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</si>
  <si>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</si>
  <si>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</si>
  <si>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</si>
  <si>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</si>
  <si>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</si>
  <si>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</si>
  <si>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</si>
  <si>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</si>
  <si>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</si>
  <si>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</si>
  <si>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</si>
  <si>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</si>
  <si>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</si>
  <si>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</si>
  <si>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</si>
  <si>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</si>
  <si>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</si>
  <si>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</si>
  <si>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</si>
  <si>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</si>
  <si>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</si>
  <si>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</si>
  <si>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</si>
  <si>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</si>
  <si>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</si>
  <si>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</si>
  <si>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</si>
  <si>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</si>
  <si>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</si>
  <si>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</si>
  <si>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</si>
  <si>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</si>
  <si>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</si>
  <si>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</si>
  <si>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</si>
  <si>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</si>
  <si>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</si>
  <si>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</si>
  <si>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</si>
  <si>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</si>
  <si>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</si>
  <si>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</si>
  <si>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</si>
  <si>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</si>
  <si>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</si>
  <si>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</si>
  <si>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</si>
  <si>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</si>
  <si>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</si>
  <si>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</si>
  <si>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</si>
  <si>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</si>
  <si>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</si>
  <si>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</si>
  <si>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</si>
  <si>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</si>
  <si>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</si>
  <si>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</si>
  <si>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</si>
  <si>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</si>
  <si>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</si>
  <si>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</si>
  <si>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</si>
  <si>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</si>
  <si>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</si>
  <si>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</si>
  <si>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</si>
  <si>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</si>
  <si>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</si>
  <si>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</si>
  <si>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</si>
  <si>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</si>
  <si>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</si>
  <si>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</si>
  <si>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</si>
  <si>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</si>
  <si>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</si>
  <si>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</si>
  <si>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</si>
  <si>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</si>
  <si>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</si>
  <si>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</si>
  <si>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</si>
  <si>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</si>
  <si>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</si>
  <si>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</si>
  <si>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</si>
  <si>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</si>
  <si>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</si>
  <si>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</si>
  <si>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</si>
  <si>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</si>
  <si>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</si>
  <si>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</si>
  <si>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</si>
  <si>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</si>
  <si>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</si>
  <si>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</si>
  <si>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</si>
  <si>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</si>
  <si>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</si>
  <si>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</si>
  <si>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</si>
  <si>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</si>
  <si>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</si>
  <si>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</si>
  <si>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</si>
  <si>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</si>
  <si>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</si>
  <si>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</si>
  <si>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</si>
  <si>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</si>
  <si>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</si>
  <si>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</si>
  <si>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</si>
  <si>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</si>
  <si>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</si>
  <si>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</si>
  <si>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</si>
  <si>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</si>
  <si>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</si>
  <si>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</si>
  <si>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</si>
  <si>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</si>
  <si>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</si>
  <si>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</si>
  <si>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</si>
  <si>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</si>
  <si>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</si>
  <si>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</si>
  <si>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</si>
  <si>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</si>
  <si>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</si>
  <si>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</si>
  <si>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</si>
  <si>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</si>
  <si>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</si>
  <si>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</si>
  <si>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</si>
  <si>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</si>
  <si>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</si>
  <si>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</si>
  <si>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</si>
  <si>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</si>
  <si>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</si>
  <si>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</si>
  <si>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</si>
  <si>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</si>
  <si>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</si>
  <si>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</si>
  <si>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</si>
  <si>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</si>
  <si>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</si>
  <si>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</si>
  <si>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</si>
  <si>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</si>
  <si>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</si>
  <si>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</si>
  <si>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</si>
  <si>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</si>
  <si>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</si>
  <si>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</si>
  <si>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</si>
  <si>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</si>
  <si>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</si>
  <si>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</si>
  <si>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</si>
  <si>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</si>
  <si>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</si>
  <si>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</si>
  <si>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</si>
  <si>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</si>
  <si>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</si>
  <si>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</si>
  <si>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</si>
  <si>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</si>
  <si>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</si>
  <si>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</si>
  <si>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</si>
  <si>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</si>
  <si>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</si>
  <si>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</si>
  <si>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</si>
  <si>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</si>
  <si>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</si>
  <si>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</si>
  <si>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</si>
  <si>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</si>
  <si>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</si>
  <si>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</si>
  <si>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</si>
  <si>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</si>
  <si>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</si>
  <si>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</si>
  <si>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</si>
  <si>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</si>
  <si>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</si>
  <si>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</si>
  <si>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</si>
  <si>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</si>
  <si>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</si>
  <si>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</si>
  <si>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</si>
  <si>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</si>
  <si>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</si>
  <si>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</si>
  <si>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</si>
  <si>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</si>
  <si>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</si>
  <si>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</si>
  <si>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</si>
  <si>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</si>
  <si>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</si>
  <si>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</si>
  <si>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</si>
  <si>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</si>
  <si>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</si>
  <si>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</si>
  <si>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</si>
  <si>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</si>
  <si>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</si>
  <si>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</si>
  <si>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</si>
  <si>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</si>
  <si>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</si>
  <si>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</si>
  <si>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</si>
  <si>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</si>
  <si>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</si>
  <si>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</si>
  <si>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</si>
  <si>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</si>
  <si>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</si>
  <si>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</si>
  <si>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</si>
  <si>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</si>
  <si>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</si>
  <si>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</si>
  <si>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</si>
  <si>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</si>
  <si>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</si>
  <si>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</si>
  <si>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</si>
  <si>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</si>
  <si>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</si>
  <si>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</si>
  <si>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</si>
  <si>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</si>
  <si>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</si>
  <si>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</si>
  <si>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</si>
  <si>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</si>
  <si>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</si>
  <si>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</si>
  <si>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</si>
  <si>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</si>
  <si>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</si>
  <si>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</si>
  <si>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</si>
  <si>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</si>
  <si>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</si>
  <si>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</si>
  <si>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</si>
  <si>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</si>
  <si>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</si>
  <si>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</si>
  <si>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</si>
  <si>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</si>
  <si>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</si>
  <si>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</si>
  <si>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</si>
  <si>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</si>
  <si>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</si>
  <si>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</si>
  <si>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</si>
  <si>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</si>
  <si>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</si>
  <si>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</si>
  <si>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</si>
  <si>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</si>
  <si>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</si>
  <si>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</si>
  <si>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</si>
  <si>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</si>
  <si>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</si>
  <si>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</si>
  <si>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</si>
  <si>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</si>
  <si>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</si>
  <si>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</si>
  <si>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</si>
  <si>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</si>
  <si>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</si>
  <si>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</si>
  <si>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</si>
  <si>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</si>
  <si>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</si>
  <si>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</si>
  <si>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</si>
  <si>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</si>
  <si>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</si>
  <si>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</si>
  <si>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</si>
  <si>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</si>
  <si>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</si>
  <si>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</si>
  <si>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</si>
  <si>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</si>
  <si>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</si>
  <si>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</si>
  <si>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</si>
  <si>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</si>
  <si>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</si>
  <si>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</si>
  <si>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</si>
  <si>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</si>
  <si>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</si>
  <si>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</si>
  <si>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</si>
  <si>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</si>
  <si>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</si>
  <si>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</si>
  <si>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</si>
  <si>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</si>
  <si>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</si>
  <si>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</si>
  <si>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</si>
  <si>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</si>
  <si>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</si>
  <si>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</si>
  <si>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</si>
  <si>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</si>
  <si>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</si>
  <si>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</si>
  <si>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</si>
  <si>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</si>
  <si>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</si>
  <si>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</si>
  <si>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</si>
  <si>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</si>
  <si>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</si>
  <si>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</si>
  <si>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</si>
  <si>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</si>
  <si>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</si>
  <si>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</si>
  <si>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</si>
  <si>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</si>
  <si>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</si>
  <si>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</si>
  <si>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</si>
  <si>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</si>
  <si>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</si>
  <si>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</si>
  <si>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</si>
  <si>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</si>
  <si>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</si>
  <si>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</si>
  <si>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</si>
  <si>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</si>
  <si>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</si>
  <si>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</si>
  <si>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</si>
  <si>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</si>
  <si>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</si>
  <si>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</si>
  <si>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</si>
  <si>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</si>
  <si>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</si>
  <si>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</si>
  <si>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</si>
  <si>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</si>
  <si>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</si>
  <si>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</si>
  <si>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</si>
  <si>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</si>
  <si>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</si>
  <si>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</si>
  <si>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</si>
  <si>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</si>
  <si>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</si>
  <si>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</si>
  <si>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</si>
  <si>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</si>
  <si>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</si>
  <si>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</si>
  <si>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</si>
  <si>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</si>
  <si>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</si>
  <si>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</si>
  <si>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</si>
  <si>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</si>
  <si>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</si>
  <si>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</si>
  <si>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</si>
  <si>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</si>
  <si>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</si>
  <si>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</si>
  <si>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</si>
  <si>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</si>
  <si>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</si>
  <si>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</si>
  <si>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</si>
  <si>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</si>
  <si>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</si>
  <si>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</si>
  <si>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</si>
  <si>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</si>
  <si>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</si>
  <si>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</si>
  <si>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</si>
  <si>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</si>
  <si>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</si>
  <si>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</si>
  <si>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</si>
  <si>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</si>
  <si>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</si>
  <si>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</si>
  <si>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</si>
  <si>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</si>
  <si>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</si>
  <si>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</si>
  <si>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</si>
  <si>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</si>
  <si>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</si>
  <si>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</si>
  <si>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</si>
  <si>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</si>
  <si>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</si>
  <si>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</si>
  <si>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</si>
  <si>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</si>
  <si>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</si>
  <si>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</si>
  <si>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</si>
  <si>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</si>
  <si>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</si>
  <si>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</si>
  <si>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</si>
  <si>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</si>
  <si>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</si>
  <si>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</si>
  <si>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</si>
  <si>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</si>
  <si>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</si>
  <si>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</si>
  <si>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</si>
  <si>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</si>
  <si>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</si>
  <si>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</si>
  <si>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</si>
  <si>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</si>
  <si>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</si>
  <si>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</si>
  <si>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</si>
  <si>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</si>
  <si>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</si>
  <si>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</si>
  <si>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</si>
  <si>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</si>
  <si>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</si>
  <si>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</si>
  <si>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</si>
  <si>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</si>
  <si>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</si>
  <si>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</si>
  <si>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</si>
  <si>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</si>
  <si>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</si>
  <si>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</si>
  <si>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</si>
  <si>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</si>
  <si>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</si>
  <si>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</si>
  <si>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</si>
  <si>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</si>
  <si>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</si>
  <si>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</si>
  <si>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</si>
  <si>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</si>
  <si>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</si>
  <si>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</si>
  <si>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</si>
  <si>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</si>
  <si>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</si>
  <si>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</si>
  <si>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</si>
  <si>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</si>
  <si>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</si>
  <si>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</si>
  <si>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</si>
  <si>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</si>
  <si>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</si>
  <si>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</si>
  <si>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</si>
  <si>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</si>
  <si>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</si>
  <si>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</si>
  <si>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</si>
  <si>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</si>
  <si>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</si>
  <si>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</si>
  <si>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</si>
  <si>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</si>
  <si>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</si>
  <si>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</si>
  <si>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</si>
  <si>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</si>
  <si>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</si>
  <si>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</si>
  <si>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</si>
  <si>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</si>
  <si>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</si>
  <si>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</si>
  <si>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</si>
  <si>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</si>
  <si>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</si>
  <si>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</si>
  <si>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</si>
  <si>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</si>
  <si>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</si>
  <si>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</si>
  <si>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</si>
  <si>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</si>
  <si>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</si>
  <si>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</si>
  <si>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</si>
  <si>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</si>
  <si>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</si>
  <si>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</si>
  <si>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</si>
  <si>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</si>
  <si>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</si>
  <si>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</si>
  <si>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</si>
  <si>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</si>
  <si>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</si>
  <si>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</si>
  <si>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</si>
  <si>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</si>
  <si>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</si>
  <si>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</si>
  <si>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</si>
  <si>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</si>
  <si>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</si>
  <si>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</si>
  <si>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</si>
  <si>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</si>
  <si>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</si>
  <si>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</si>
  <si>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</si>
  <si>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</si>
  <si>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</si>
  <si>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</si>
  <si>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</si>
  <si>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</si>
  <si>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</si>
  <si>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</si>
  <si>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</si>
  <si>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</si>
  <si>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</si>
  <si>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</si>
  <si>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</si>
  <si>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</si>
  <si>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</si>
  <si>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</si>
  <si>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</si>
  <si>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</si>
  <si>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</si>
  <si>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</si>
  <si>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</si>
  <si>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</si>
  <si>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</si>
  <si>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</si>
  <si>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</si>
  <si>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</si>
  <si>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</si>
  <si>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</si>
  <si>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</si>
  <si>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</si>
  <si>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</si>
  <si>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</si>
  <si>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</si>
  <si>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</si>
  <si>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</si>
  <si>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</si>
  <si>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</si>
  <si>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</si>
  <si>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</si>
  <si>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</si>
  <si>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</si>
  <si>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</si>
  <si>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</si>
  <si>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</si>
  <si>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</si>
  <si>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</si>
  <si>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</si>
  <si>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</si>
  <si>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</si>
  <si>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</si>
  <si>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</si>
  <si>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</si>
  <si>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</si>
  <si>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</si>
  <si>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</si>
  <si>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</si>
  <si>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</si>
  <si>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</si>
  <si>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</si>
  <si>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</si>
  <si>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</si>
  <si>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</si>
  <si>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</si>
  <si>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</si>
  <si>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</si>
  <si>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</si>
  <si>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</si>
  <si>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</si>
  <si>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</si>
  <si>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</si>
  <si>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</si>
  <si>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</si>
  <si>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</si>
  <si>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</si>
  <si>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</si>
  <si>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</si>
  <si>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</si>
  <si>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</si>
  <si>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</si>
  <si>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</si>
  <si>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</si>
  <si>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</si>
  <si>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</si>
  <si>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</si>
  <si>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</si>
  <si>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</si>
  <si>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</si>
  <si>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</si>
  <si>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</si>
  <si>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</si>
  <si>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</si>
  <si>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</si>
  <si>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</si>
  <si>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</si>
  <si>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</si>
  <si>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</si>
  <si>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</si>
  <si>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</si>
  <si>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</si>
  <si>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</si>
  <si>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</si>
  <si>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</si>
  <si>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</si>
  <si>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</si>
  <si>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</si>
  <si>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</si>
  <si>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</si>
  <si>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</si>
  <si>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</si>
  <si>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</si>
  <si>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</si>
  <si>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</si>
  <si>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</si>
  <si>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</si>
  <si>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</si>
  <si>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</si>
  <si>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</si>
  <si>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</si>
  <si>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</si>
  <si>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</si>
  <si>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</si>
  <si>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</si>
  <si>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</si>
  <si>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</si>
  <si>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</si>
  <si>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</si>
  <si>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</si>
  <si>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</si>
  <si>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</si>
  <si>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</si>
  <si>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</si>
  <si>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</si>
  <si>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</si>
  <si>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</si>
  <si>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</si>
  <si>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</si>
  <si>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</si>
  <si>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</si>
  <si>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</si>
  <si>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</si>
  <si>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</si>
  <si>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</si>
  <si>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</si>
  <si>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</si>
  <si>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</si>
  <si>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</si>
  <si>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</si>
  <si>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</si>
  <si>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</si>
  <si>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</si>
  <si>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</si>
  <si>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</si>
  <si>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</si>
  <si>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</si>
  <si>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</si>
  <si>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</si>
  <si>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</si>
  <si>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</si>
  <si>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</si>
  <si>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</si>
  <si>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</si>
  <si>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</si>
  <si>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</si>
  <si>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</si>
  <si>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</si>
  <si>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</si>
  <si>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</si>
  <si>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</si>
  <si>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</si>
  <si>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</si>
  <si>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</si>
  <si>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</si>
  <si>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</si>
  <si>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</si>
  <si>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</si>
  <si>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</si>
  <si>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</si>
  <si>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</si>
  <si>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</si>
  <si>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</si>
  <si>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</si>
  <si>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</si>
  <si>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</si>
  <si>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</si>
  <si>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</si>
  <si>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</si>
  <si>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</si>
  <si>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</si>
  <si>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</si>
  <si>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</si>
  <si>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</si>
  <si>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</si>
  <si>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</si>
  <si>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</si>
  <si>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</si>
  <si>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</si>
  <si>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</si>
  <si>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</si>
  <si>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</si>
  <si>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</si>
  <si>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</si>
  <si>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</si>
  <si>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</si>
  <si>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</si>
  <si>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</si>
  <si>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</si>
  <si>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</si>
  <si>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</si>
  <si>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</si>
  <si>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</si>
  <si>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</si>
  <si>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</si>
  <si>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</si>
  <si>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</si>
  <si>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</si>
  <si>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</si>
  <si>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</si>
  <si>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</si>
  <si>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</si>
  <si>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</si>
  <si>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</si>
  <si>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</si>
  <si>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</si>
  <si>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</si>
  <si>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</si>
  <si>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</si>
  <si>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</si>
  <si>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</si>
  <si>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</si>
  <si>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</si>
  <si>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</si>
  <si>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</si>
  <si>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</si>
  <si>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</si>
  <si>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</si>
  <si>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</si>
  <si>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</si>
  <si>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</si>
  <si>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</si>
  <si>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</si>
  <si>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</si>
  <si>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</si>
  <si>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</si>
  <si>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</si>
  <si>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</si>
  <si>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</si>
  <si>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</si>
  <si>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</si>
  <si>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</si>
  <si>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</si>
  <si>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</si>
  <si>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</si>
  <si>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</si>
  <si>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</si>
  <si>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</si>
  <si>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</si>
  <si>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</si>
  <si>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</si>
  <si>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</si>
  <si>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</si>
  <si>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</si>
  <si>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</si>
  <si>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</si>
  <si>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</si>
  <si>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</si>
  <si>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</si>
  <si>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</si>
  <si>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</si>
  <si>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</si>
  <si>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</si>
  <si>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</si>
  <si>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</si>
  <si>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</si>
  <si>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</si>
  <si>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</si>
  <si>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</si>
  <si>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</si>
  <si>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</si>
  <si>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</si>
  <si>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</si>
  <si>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</si>
  <si>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</si>
  <si>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</si>
  <si>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</si>
  <si>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</si>
  <si>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</si>
  <si>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</si>
  <si>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</si>
  <si>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</si>
  <si>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</si>
  <si>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</si>
  <si>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</si>
  <si>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</si>
  <si>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</si>
  <si>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</si>
  <si>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</si>
  <si>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</si>
  <si>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</si>
  <si>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</si>
  <si>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</si>
  <si>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</si>
  <si>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</si>
  <si>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</si>
  <si>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</si>
  <si>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</si>
  <si>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</si>
  <si>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</si>
  <si>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</si>
  <si>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</si>
  <si>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</si>
  <si>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</si>
  <si>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</si>
  <si>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</si>
  <si>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</si>
  <si>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</si>
  <si>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</si>
  <si>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</si>
  <si>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</si>
  <si>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</si>
  <si>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</si>
  <si>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</si>
  <si>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</si>
  <si>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</si>
  <si>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</si>
  <si>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</si>
  <si>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</si>
  <si>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</si>
  <si>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</si>
  <si>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</si>
  <si>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</si>
  <si>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</si>
  <si>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</si>
  <si>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</si>
  <si>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</si>
  <si>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</si>
  <si>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</si>
  <si>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</si>
  <si>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</si>
  <si>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</si>
  <si>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</si>
  <si>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</si>
  <si>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</si>
  <si>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</si>
  <si>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</si>
  <si>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</si>
  <si>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</si>
  <si>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</si>
  <si>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</si>
  <si>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</si>
  <si>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</si>
  <si>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</si>
  <si>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</si>
  <si>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</si>
  <si>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</si>
  <si>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</si>
  <si>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</si>
  <si>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</si>
  <si>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</si>
  <si>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</si>
  <si>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</si>
  <si>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</si>
  <si>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</si>
  <si>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</si>
  <si>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</si>
  <si>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</si>
  <si>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</si>
  <si>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</si>
  <si>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</si>
  <si>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</si>
  <si>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</si>
  <si>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</si>
  <si>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</si>
  <si>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</si>
  <si>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</si>
  <si>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</si>
  <si>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</si>
  <si>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</si>
  <si>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</si>
  <si>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</si>
  <si>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</si>
  <si>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</si>
  <si>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</si>
  <si>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</si>
  <si>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</si>
  <si>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</si>
  <si>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</si>
  <si>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</si>
  <si>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</si>
  <si>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</si>
  <si>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</si>
  <si>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</si>
  <si>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</si>
  <si>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</si>
  <si>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</si>
  <si>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</si>
  <si>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</si>
  <si>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</si>
  <si>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</si>
  <si>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</si>
  <si>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</si>
  <si>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</si>
  <si>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</si>
  <si>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</si>
  <si>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</si>
  <si>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</si>
  <si>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</si>
  <si>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</si>
  <si>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</si>
  <si>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</si>
  <si>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</si>
  <si>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</si>
  <si>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</si>
  <si>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</si>
  <si>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</si>
  <si>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</si>
  <si>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</si>
  <si>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</si>
  <si>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</si>
  <si>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</si>
  <si>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</si>
  <si>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</si>
  <si>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</si>
  <si>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</si>
  <si>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</si>
  <si>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</si>
  <si>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</si>
  <si>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</si>
  <si>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</si>
  <si>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</si>
  <si>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</si>
  <si>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</si>
  <si>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</si>
  <si>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</si>
  <si>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</si>
  <si>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</si>
  <si>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</si>
  <si>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</si>
  <si>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</si>
  <si>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</si>
  <si>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</si>
  <si>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</si>
  <si>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</si>
  <si>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</si>
  <si>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</si>
  <si>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</si>
  <si>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</si>
  <si>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</si>
  <si>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</si>
  <si>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</si>
  <si>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</si>
  <si>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</si>
  <si>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</si>
  <si>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</si>
  <si>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</si>
  <si>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</si>
  <si>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</si>
  <si>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</si>
  <si>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</si>
  <si>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</si>
  <si>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</si>
  <si>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</si>
  <si>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</si>
  <si>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</si>
  <si>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</si>
  <si>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</si>
  <si>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</si>
  <si>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</si>
  <si>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</si>
  <si>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</si>
  <si>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</si>
  <si>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</si>
  <si>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</si>
  <si>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</si>
  <si>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</si>
  <si>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</si>
  <si>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</si>
  <si>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</si>
  <si>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</si>
  <si>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</si>
  <si>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</si>
  <si>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</si>
  <si>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</si>
  <si>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</si>
  <si>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</si>
  <si>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</si>
  <si>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</si>
  <si>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</si>
  <si>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</si>
  <si>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</si>
  <si>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</si>
  <si>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</si>
  <si>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</si>
  <si>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</si>
  <si>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</si>
  <si>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</si>
  <si>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</si>
  <si>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</si>
  <si>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</si>
  <si>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</si>
  <si>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</si>
  <si>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</si>
  <si>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</si>
  <si>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</si>
  <si>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</si>
  <si>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</si>
  <si>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</si>
  <si>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</si>
  <si>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</si>
  <si>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</si>
  <si>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</si>
  <si>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</si>
  <si>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</si>
  <si>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</si>
  <si>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</si>
  <si>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</si>
  <si>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</si>
  <si>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</si>
  <si>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</si>
  <si>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</si>
  <si>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</si>
  <si>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</si>
  <si>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</si>
  <si>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</si>
  <si>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</si>
  <si>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</si>
  <si>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</si>
  <si>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</si>
  <si>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</si>
  <si>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</si>
  <si>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</si>
  <si>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</si>
  <si>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</si>
  <si>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</si>
  <si>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</si>
  <si>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</si>
  <si>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</si>
  <si>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</si>
  <si>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</si>
  <si>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</si>
  <si>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</si>
  <si>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</si>
  <si>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</si>
  <si>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</si>
  <si>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</si>
  <si>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</si>
  <si>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</si>
  <si>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</si>
  <si>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</si>
  <si>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</si>
  <si>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</si>
  <si>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</si>
  <si>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</si>
  <si>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</si>
  <si>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</si>
  <si>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</si>
  <si>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</si>
  <si>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</si>
  <si>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</si>
  <si>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</si>
  <si>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</si>
  <si>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</si>
  <si>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</si>
  <si>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</si>
  <si>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</si>
  <si>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</si>
  <si>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</si>
  <si>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</si>
  <si>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</si>
  <si>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</si>
  <si>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</si>
  <si>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</si>
  <si>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</si>
  <si>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</si>
  <si>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</si>
  <si>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</si>
  <si>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</si>
  <si>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</si>
  <si>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</si>
  <si>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</si>
  <si>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</si>
  <si>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</si>
  <si>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</si>
  <si>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</si>
  <si>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</si>
  <si>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</si>
  <si>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</si>
  <si>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</si>
  <si>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</si>
  <si>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</si>
  <si>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</si>
  <si>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</si>
  <si>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</si>
  <si>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</si>
  <si>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</si>
  <si>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</si>
  <si>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</si>
  <si>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</si>
  <si>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</si>
  <si>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</si>
  <si>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</si>
  <si>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</si>
  <si>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</si>
  <si>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</si>
  <si>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</si>
  <si>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</si>
  <si>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</si>
  <si>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</si>
  <si>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</si>
  <si>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</si>
  <si>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</si>
  <si>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</si>
  <si>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</si>
  <si>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</si>
  <si>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</si>
  <si>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</si>
  <si>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</si>
  <si>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</si>
  <si>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</si>
  <si>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</si>
  <si>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</si>
  <si>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</si>
  <si>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</si>
  <si>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</si>
  <si>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</si>
  <si>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</si>
  <si>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</si>
  <si>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</si>
  <si>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</si>
  <si>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</si>
  <si>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</si>
  <si>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</si>
  <si>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</si>
  <si>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</si>
  <si>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</si>
  <si>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</si>
  <si>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</si>
  <si>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</si>
  <si>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</si>
  <si>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</si>
  <si>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</si>
  <si>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</si>
  <si>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</si>
  <si>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</si>
  <si>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</si>
  <si>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</si>
  <si>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</si>
  <si>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</si>
  <si>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</si>
  <si>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</si>
  <si>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</si>
  <si>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</si>
  <si>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</si>
  <si>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</si>
  <si>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</si>
  <si>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</si>
  <si>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</si>
  <si>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</si>
  <si>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</si>
  <si>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</si>
  <si>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</si>
  <si>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</si>
  <si>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</si>
  <si>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</si>
  <si>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</si>
  <si>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</si>
  <si>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</si>
  <si>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</si>
  <si>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</si>
  <si>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</si>
  <si>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</si>
  <si>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</si>
  <si>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</si>
  <si>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</si>
  <si>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</si>
  <si>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</si>
  <si>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</si>
  <si>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</si>
  <si>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</si>
  <si>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</si>
  <si>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</si>
  <si>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</si>
  <si>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</si>
  <si>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</si>
  <si>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</si>
  <si>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</si>
  <si>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</si>
  <si>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</si>
  <si>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</si>
  <si>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</si>
  <si>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</si>
  <si>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</si>
  <si>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</si>
  <si>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</si>
  <si>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</si>
  <si>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</si>
  <si>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</si>
  <si>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</si>
  <si>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</si>
  <si>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</si>
  <si>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</si>
  <si>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</si>
  <si>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</si>
  <si>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</si>
  <si>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</si>
  <si>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</si>
  <si>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</si>
  <si>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</si>
  <si>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</si>
  <si>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</si>
  <si>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</si>
  <si>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</si>
  <si>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</si>
  <si>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</si>
  <si>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</si>
  <si>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</si>
  <si>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</si>
  <si>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</si>
  <si>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</si>
  <si>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</si>
  <si>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</si>
  <si>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商业</t>
  </si>
  <si>
    <t>钢混</t>
  </si>
  <si>
    <t>扣毛地价</t>
  </si>
  <si>
    <t>商务金融用地（商业类）</t>
  </si>
  <si>
    <t>设定容积率</t>
  </si>
  <si>
    <t>地上</t>
  </si>
  <si>
    <t>市区</t>
  </si>
  <si>
    <t>七通一平</t>
  </si>
  <si>
    <t>四环路内</t>
  </si>
  <si>
    <t>2010-3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</si>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</sst>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1402</v>
      </c>
    </row>
    <row r="19" spans="1:2" ht="13.5">
      <c r="A19" s="1752"/>
      <c r="B19" s="666" t="s">
        <v>1403</v>
      </c>
    </row>
    <row r="20" spans="1:2" ht="13.5">
      <c r="A20" s="1752"/>
      <c r="B20" s="666" t="s">
        <v>1404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802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2"/>
      <c r="B19" s="1802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2"/>
      <c r="B24" s="1802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2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2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2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2"/>
      <c r="B36" s="1802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2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4" zoomScale="90" zoomScaleNormal="90" zoomScaleSheetLayoutView="89" workbookViewId="0">
      <selection activeCell="E43" sqref="E43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462.18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商业</v>
      </c>
      <c r="F2" s="733" t="s">
        <v>689</v>
      </c>
      <c r="G2" s="735" t="str">
        <f>主表!B10</f>
        <v>四级</v>
      </c>
      <c r="H2" s="734" t="s">
        <v>1366</v>
      </c>
      <c r="I2" s="1352" t="s">
        <v>1774</v>
      </c>
      <c r="J2" s="736"/>
      <c r="AE2" s="731"/>
      <c r="AF2" s="731"/>
    </row>
    <row r="3" spans="1:36" ht="24">
      <c r="A3" s="687" t="s">
        <v>916</v>
      </c>
      <c r="B3" s="1439">
        <f>C18</f>
        <v>8374</v>
      </c>
      <c r="C3" s="732" t="s">
        <v>917</v>
      </c>
      <c r="D3" s="733" t="s">
        <v>256</v>
      </c>
      <c r="E3" s="737" t="s">
        <v>1772</v>
      </c>
      <c r="F3" s="1500" t="s">
        <v>1773</v>
      </c>
      <c r="G3" s="238">
        <f>IF(F3="容积率",主表!B8,主表!B9)</f>
        <v>2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2947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3350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4405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ROUND((1240+1860)/2,0)</f>
        <v>1550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取值范围:1240—1860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1.9903999999999999</v>
      </c>
      <c r="D9" s="1638" t="s">
        <v>265</v>
      </c>
      <c r="E9" s="1639">
        <v>37257</v>
      </c>
      <c r="F9" s="1640">
        <f>ROUND(SUMIF(地价!B3:F3,E2,地价!B72:F72),0)</f>
        <v>104</v>
      </c>
      <c r="G9" s="1641" t="s">
        <v>266</v>
      </c>
      <c r="H9" s="1642">
        <f>主表!B4</f>
        <v>40366</v>
      </c>
      <c r="I9" s="1643">
        <f>ROUND(SUMPRODUCT((地价!A22:A72=YEAR(H9)&amp;"-"&amp;ROUNDUP(MONTH(H9)/3,0))*(地价!B3:F3=E2)*(地价!B22:F72)),0)</f>
        <v>207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0.90300000000000002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32</v>
      </c>
      <c r="H10" s="1648">
        <f>IF(E2="住宅/居住",70,IF(E2="商业",40,50))</f>
        <v>40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</v>
      </c>
      <c r="D11" s="1532" t="s">
        <v>1775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1</v>
      </c>
      <c r="E12" s="1523">
        <f>ROUNDDOWN(G3,1)</f>
        <v>2</v>
      </c>
      <c r="F12" s="1524">
        <f>IF(G3&lt;=10,SUMPRODUCT(('2002容积率修正'!A3:A102=E12)*('2002容积率修正'!B2:D2=E2)*('2002容积率修正'!B3:D102)),"——")</f>
        <v>1</v>
      </c>
      <c r="G12" s="1522">
        <f>ROUNDUP(G3,1)</f>
        <v>2</v>
      </c>
      <c r="H12" s="638">
        <f>IF(G3&lt;=10,SUMPRODUCT(('2002容积率修正'!A3:A102=G12)*('2002容积率修正'!B2:D2=E2)*('2002容积率修正'!B3:D102)),"——")</f>
        <v>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1</v>
      </c>
      <c r="E13" s="1523">
        <f>ROUNDDOWN(G3,1)</f>
        <v>2</v>
      </c>
      <c r="F13" s="1524">
        <f>IF(G3&lt;=10,SUMPRODUCT(('2002容积率修正'!A3:A102=E13)*('2002容积率修正'!E2:G2=E2)*('2002容积率修正'!E3:G102)),"——")</f>
        <v>0.81200000000000006</v>
      </c>
      <c r="G13" s="1522">
        <f>ROUNDUP(G3,1)</f>
        <v>2</v>
      </c>
      <c r="H13" s="638">
        <f>IF(G3&lt;=10,SUMPRODUCT(('2002容积率修正'!A3:A102=G13)*('2002容积率修正'!E2:G2=E2)*('2002容积率修正'!E3:G102)),"——")</f>
        <v>0.81200000000000006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1.05775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1353</v>
      </c>
      <c r="B18" s="780" t="s">
        <v>1340</v>
      </c>
      <c r="C18" s="646">
        <f>ROUND(C7*C9*C10*C11*C15*C16,0)</f>
        <v>8374</v>
      </c>
      <c r="D18" s="647">
        <f>H1</f>
        <v>462.18</v>
      </c>
      <c r="E18" s="648">
        <f>ROUND(C18*D18,0)</f>
        <v>3870295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1343</v>
      </c>
      <c r="C19" s="638">
        <f>ROUND(C7*C9*C10*C11*C15*C16*G3,0)</f>
        <v>16749</v>
      </c>
      <c r="D19" s="647">
        <f>J1</f>
        <v>0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1354</v>
      </c>
      <c r="B20" s="767" t="s">
        <v>1341</v>
      </c>
      <c r="C20" s="652">
        <f>ROUND(IF(G3&gt;=I3,C8*C9*C10*C15,C8*C9*C10*C15*G3),0)</f>
        <v>2947</v>
      </c>
      <c r="D20" s="653">
        <f>H1</f>
        <v>462.18</v>
      </c>
      <c r="E20" s="654">
        <f>ROUND(C20*D20,0)</f>
        <v>1362044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1342</v>
      </c>
      <c r="C21" s="655">
        <f>ROUND(IF(G3&lt;I3,C8*C9*C10*C15,C8*C9*C10*C15*G3),0)</f>
        <v>5893</v>
      </c>
      <c r="D21" s="656">
        <f>J1</f>
        <v>0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3350</v>
      </c>
      <c r="D22" s="795" t="s">
        <v>1777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35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1778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2.18E-2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1.8700000000000001E-2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1.8700000000000001E-2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2.29E-2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0.02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1.05775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 t="s">
        <v>1779</v>
      </c>
      <c r="D42" s="493">
        <f t="shared" ref="D42:D48" si="1">SUMIF($F$41:$J$41,C42,F42:J42)</f>
        <v>2.2499999999999999E-2</v>
      </c>
      <c r="E42" s="253">
        <f>SUM(D42:D48)</f>
        <v>5.7750000000000003E-2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 t="s">
        <v>1779</v>
      </c>
      <c r="D43" s="493">
        <f t="shared" si="1"/>
        <v>1.125E-2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 t="s">
        <v>1779</v>
      </c>
      <c r="D44" s="493">
        <f t="shared" si="1"/>
        <v>7.4999999999999997E-3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 t="s">
        <v>15</v>
      </c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 t="s">
        <v>15</v>
      </c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 t="s">
        <v>1779</v>
      </c>
      <c r="D47" s="493">
        <f t="shared" si="1"/>
        <v>6.0000000000000001E-3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 t="s">
        <v>1780</v>
      </c>
      <c r="D48" s="493">
        <f t="shared" si="1"/>
        <v>1.0500000000000001E-2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-8.5000000000000006E-3</v>
      </c>
      <c r="J60" s="531">
        <f>SUMPRODUCT(('2002因素修正幅度'!$A$80:$A$87=A60)*('2002因素修正幅度'!$B$35:$K$35=$G$2)*('2002因素修正幅度'!$B$80:$K$87))</f>
        <v>-1.7000000000000001E-2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-1.7000000000000001E-2</v>
      </c>
      <c r="J61" s="531">
        <f>SUMPRODUCT(('2002因素修正幅度'!$A$80:$A$87=A61)*('2002因素修正幅度'!$B$35:$K$35=$G$2)*('2002因素修正幅度'!$B$80:$K$87))</f>
        <v>-3.4000000000000002E-2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-8.5000000000000006E-3</v>
      </c>
      <c r="J62" s="531">
        <f>SUMPRODUCT(('2002因素修正幅度'!$A$80:$A$87=A62)*('2002因素修正幅度'!$B$35:$K$35=$G$2)*('2002因素修正幅度'!$B$80:$K$87))</f>
        <v>-1.7000000000000001E-2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-8.5000000000000006E-3</v>
      </c>
      <c r="J63" s="531">
        <f>SUMPRODUCT(('2002因素修正幅度'!$A$80:$A$87=A63)*('2002因素修正幅度'!$B$35:$K$35=$G$2)*('2002因素修正幅度'!$B$80:$K$87))</f>
        <v>-1.7000000000000001E-2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-6.7999999999999996E-3</v>
      </c>
      <c r="J64" s="531">
        <f>SUMPRODUCT(('2002因素修正幅度'!$A$80:$A$87=A64)*('2002因素修正幅度'!$B$35:$K$35=$G$2)*('2002因素修正幅度'!$B$80:$K$87))</f>
        <v>-1.3599999999999999E-2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-1.0200000000000001E-2</v>
      </c>
      <c r="J65" s="531">
        <f>SUMPRODUCT(('2002因素修正幅度'!$A$80:$A$87=A65)*('2002因素修正幅度'!$B$35:$K$35=$G$2)*('2002因素修正幅度'!$B$80:$K$87))</f>
        <v>-2.0400000000000001E-2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-1.7000000000000001E-2</v>
      </c>
      <c r="J66" s="531">
        <f>SUMPRODUCT(('2002因素修正幅度'!$A$80:$A$87=A66)*('2002因素修正幅度'!$B$35:$K$35=$G$2)*('2002因素修正幅度'!$B$80:$K$87))</f>
        <v>-3.4000000000000002E-2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-8.5000000000000006E-3</v>
      </c>
      <c r="J67" s="531">
        <f>SUMPRODUCT(('2002因素修正幅度'!$A$80:$A$87=A67)*('2002因素修正幅度'!$B$35:$K$35=$G$2)*('2002因素修正幅度'!$B$80:$K$87))</f>
        <v>-1.7000000000000001E-2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4.8000000000000001E-2</v>
      </c>
      <c r="G70" s="531">
        <f t="shared" ref="G70:G76" si="11">F70/2</f>
        <v>2.4E-2</v>
      </c>
      <c r="H70" s="532">
        <v>0</v>
      </c>
      <c r="I70" s="531">
        <f t="shared" ref="I70:I76" si="12">J70/2</f>
        <v>-2.4E-2</v>
      </c>
      <c r="J70" s="531">
        <f>SUMPRODUCT(('2002因素修正幅度'!$A$88:$A$94=A70)*('2002因素修正幅度'!$B$35:$K$35=$G$2)*('2002因素修正幅度'!$B$88:$K$94))</f>
        <v>-4.8000000000000001E-2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7.6799999999999993E-2</v>
      </c>
      <c r="G71" s="531">
        <f t="shared" si="11"/>
        <v>3.8399999999999997E-2</v>
      </c>
      <c r="H71" s="532">
        <v>0</v>
      </c>
      <c r="I71" s="531">
        <f t="shared" si="12"/>
        <v>-3.8399999999999997E-2</v>
      </c>
      <c r="J71" s="531">
        <f>SUMPRODUCT(('2002因素修正幅度'!$A$88:$A$94=A71)*('2002因素修正幅度'!$B$35:$K$35=$G$2)*('2002因素修正幅度'!$B$88:$K$94))</f>
        <v>-7.6799999999999993E-2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2.4E-2</v>
      </c>
      <c r="G72" s="531">
        <f t="shared" si="11"/>
        <v>1.2E-2</v>
      </c>
      <c r="H72" s="532">
        <v>0</v>
      </c>
      <c r="I72" s="531">
        <f t="shared" si="12"/>
        <v>-1.2E-2</v>
      </c>
      <c r="J72" s="531">
        <f>SUMPRODUCT(('2002因素修正幅度'!$A$88:$A$94=A72)*('2002因素修正幅度'!$B$35:$K$35=$G$2)*('2002因素修正幅度'!$B$88:$K$94))</f>
        <v>-2.4E-2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1.9199999999999998E-2</v>
      </c>
      <c r="G73" s="531">
        <f t="shared" si="11"/>
        <v>9.5999999999999992E-3</v>
      </c>
      <c r="H73" s="532">
        <v>0</v>
      </c>
      <c r="I73" s="531">
        <f t="shared" si="12"/>
        <v>-9.5999999999999992E-3</v>
      </c>
      <c r="J73" s="531">
        <f>SUMPRODUCT(('2002因素修正幅度'!$A$88:$A$94=A73)*('2002因素修正幅度'!$B$35:$K$35=$G$2)*('2002因素修正幅度'!$B$88:$K$94))</f>
        <v>-1.9199999999999998E-2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2.8799999999999999E-2</v>
      </c>
      <c r="G74" s="531">
        <f t="shared" si="11"/>
        <v>1.44E-2</v>
      </c>
      <c r="H74" s="532">
        <v>0</v>
      </c>
      <c r="I74" s="531">
        <f t="shared" si="12"/>
        <v>-1.44E-2</v>
      </c>
      <c r="J74" s="531">
        <f>SUMPRODUCT(('2002因素修正幅度'!$A$88:$A$94=A74)*('2002因素修正幅度'!$B$35:$K$35=$G$2)*('2002因素修正幅度'!$B$88:$K$94))</f>
        <v>-2.8799999999999999E-2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2.4E-2</v>
      </c>
      <c r="G75" s="531">
        <f t="shared" si="11"/>
        <v>1.2E-2</v>
      </c>
      <c r="H75" s="532">
        <v>0</v>
      </c>
      <c r="I75" s="531">
        <f t="shared" si="12"/>
        <v>-1.2E-2</v>
      </c>
      <c r="J75" s="531">
        <f>SUMPRODUCT(('2002因素修正幅度'!$A$88:$A$94=A75)*('2002因素修正幅度'!$B$35:$K$35=$G$2)*('2002因素修正幅度'!$B$88:$K$94))</f>
        <v>-2.4E-2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1.9199999999999998E-2</v>
      </c>
      <c r="G76" s="531">
        <f t="shared" si="11"/>
        <v>9.5999999999999992E-3</v>
      </c>
      <c r="H76" s="532">
        <v>0</v>
      </c>
      <c r="I76" s="531">
        <f t="shared" si="12"/>
        <v>-9.5999999999999992E-3</v>
      </c>
      <c r="J76" s="531">
        <f>SUMPRODUCT(('2002因素修正幅度'!$A$88:$A$94=A76)*('2002因素修正幅度'!$B$35:$K$35=$G$2)*('2002因素修正幅度'!$B$88:$K$94))</f>
        <v>-1.9199999999999998E-2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2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0.81740000000000002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0.81740000000000002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0.95140000000000002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0.97419999999999995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0.70750000000000002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商业</v>
      </c>
      <c r="L1" s="582" t="str">
        <f>'2002基准地价'!G2</f>
        <v>四级</v>
      </c>
      <c r="M1" s="583">
        <f>SUMPRODUCT((K3:K12=L1)*(L2:O2=K1)*(L3:O12))</f>
        <v>4405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1324</v>
      </c>
      <c r="B1" s="1815" t="s">
        <v>1325</v>
      </c>
      <c r="C1" s="1816"/>
      <c r="D1" s="1817"/>
      <c r="E1" s="1815" t="s">
        <v>1326</v>
      </c>
      <c r="F1" s="1816"/>
      <c r="G1" s="1817"/>
    </row>
    <row r="2" spans="1:7">
      <c r="A2" s="1819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G31" sqref="G31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3" t="s">
        <v>1439</v>
      </c>
      <c r="E2" s="1827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24"/>
      <c r="E3" s="1828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4"/>
      <c r="E4" s="1828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商业</v>
      </c>
      <c r="C5" s="722"/>
      <c r="D5" s="1825"/>
      <c r="E5" s="1829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3" t="s">
        <v>1440</v>
      </c>
      <c r="E6" s="1827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四类</v>
      </c>
      <c r="C7" s="722"/>
      <c r="D7" s="1824"/>
      <c r="E7" s="1828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5"/>
      <c r="E8" s="1829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462.18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23" t="s">
        <v>1418</v>
      </c>
      <c r="E10" s="1827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26"/>
      <c r="E11" s="1830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0.90990000000000004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4.3650000000000008E-2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32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40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1353</v>
      </c>
      <c r="B27" s="780" t="s">
        <v>1340</v>
      </c>
      <c r="C27" s="638" t="e">
        <f>ROUND(C28/B11,0)</f>
        <v>#DIV/0!</v>
      </c>
      <c r="D27" s="647">
        <f>B9</f>
        <v>462.18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1466</v>
      </c>
      <c r="B29" s="767" t="s">
        <v>1467</v>
      </c>
      <c r="C29" s="652" t="e">
        <f>ROUND(C30/B11,0)</f>
        <v>#DIV/0!</v>
      </c>
      <c r="D29" s="653">
        <f>B9</f>
        <v>462.18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3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51"/>
      <c r="M4" s="452"/>
      <c r="N4" s="452"/>
      <c r="O4" s="452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230</v>
      </c>
      <c r="D5" s="1870"/>
      <c r="E5" s="1867" t="s">
        <v>231</v>
      </c>
      <c r="F5" s="1868"/>
      <c r="G5" s="1869" t="s">
        <v>234</v>
      </c>
      <c r="H5" s="1870"/>
      <c r="I5" s="1869" t="s">
        <v>232</v>
      </c>
      <c r="J5" s="1870"/>
      <c r="K5" s="142"/>
      <c r="L5" s="451"/>
      <c r="M5" s="452"/>
      <c r="N5" s="452"/>
      <c r="O5" s="452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233</v>
      </c>
      <c r="D6" s="1872"/>
      <c r="E6" s="1873" t="s">
        <v>233</v>
      </c>
      <c r="F6" s="1874"/>
      <c r="G6" s="1871" t="s">
        <v>233</v>
      </c>
      <c r="H6" s="1872"/>
      <c r="I6" s="1871" t="s">
        <v>233</v>
      </c>
      <c r="J6" s="1872"/>
      <c r="K6" s="142" t="s">
        <v>97</v>
      </c>
      <c r="L6" s="451"/>
      <c r="M6" s="452"/>
      <c r="N6" s="452"/>
      <c r="O6" s="452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85">
        <f>主表!B4</f>
        <v>40366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四级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2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2"/>
      <c r="Q30" s="500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2010-7-1</v>
      </c>
      <c r="D56" s="1688">
        <f>EDATE(C56,-3)</f>
        <v>40269</v>
      </c>
      <c r="E56" s="1688">
        <f t="shared" ref="E56:O56" si="15">EDATE(D56,-3)</f>
        <v>40179</v>
      </c>
      <c r="F56" s="1688">
        <f t="shared" si="15"/>
        <v>40087</v>
      </c>
      <c r="G56" s="1688">
        <f t="shared" si="15"/>
        <v>39995</v>
      </c>
      <c r="H56" s="1688">
        <f t="shared" si="15"/>
        <v>39904</v>
      </c>
      <c r="I56" s="1688">
        <f t="shared" si="15"/>
        <v>39814</v>
      </c>
      <c r="J56" s="1688">
        <f t="shared" si="15"/>
        <v>39722</v>
      </c>
      <c r="K56" s="1688">
        <f t="shared" si="15"/>
        <v>39630</v>
      </c>
      <c r="L56" s="1688">
        <f t="shared" si="15"/>
        <v>39539</v>
      </c>
      <c r="M56" s="1688">
        <f t="shared" si="15"/>
        <v>39448</v>
      </c>
      <c r="N56" s="1688">
        <f t="shared" si="15"/>
        <v>39356</v>
      </c>
      <c r="O56" s="1688">
        <f t="shared" si="15"/>
        <v>39264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2010-3</v>
      </c>
      <c r="D58" s="1687" t="str">
        <f t="shared" ref="D58:O58" si="16">YEAR(D56)&amp;"-"&amp;ROUNDUP(MONTH(D56)/3,0)</f>
        <v>2010-2</v>
      </c>
      <c r="E58" s="1687" t="str">
        <f t="shared" si="16"/>
        <v>2010-1</v>
      </c>
      <c r="F58" s="1687" t="str">
        <f t="shared" si="16"/>
        <v>2009-4</v>
      </c>
      <c r="G58" s="1687" t="str">
        <f t="shared" si="16"/>
        <v>2009-3</v>
      </c>
      <c r="H58" s="1687" t="str">
        <f t="shared" si="16"/>
        <v>2009-2</v>
      </c>
      <c r="I58" s="1687" t="str">
        <f t="shared" si="16"/>
        <v>2009-1</v>
      </c>
      <c r="J58" s="1687" t="str">
        <f t="shared" si="16"/>
        <v>2008-4</v>
      </c>
      <c r="K58" s="1687" t="str">
        <f t="shared" si="16"/>
        <v>2008-3</v>
      </c>
      <c r="L58" s="1687" t="str">
        <f t="shared" si="16"/>
        <v>2008-2</v>
      </c>
      <c r="M58" s="1687" t="str">
        <f t="shared" si="16"/>
        <v>2008-1</v>
      </c>
      <c r="N58" s="1687" t="str">
        <f t="shared" si="16"/>
        <v>2007-4</v>
      </c>
      <c r="O58" s="1687" t="str">
        <f t="shared" si="16"/>
        <v>2007-3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43335</v>
      </c>
      <c r="D1" s="1000" t="str">
        <f>主表!A23</f>
        <v>建设期</v>
      </c>
      <c r="E1" s="1040">
        <f>主表!B23</f>
        <v>1.5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>SUMIF(F4:F8,E1,G4:G8)/100</f>
        <v>0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40366</v>
      </c>
      <c r="D2" s="1044" t="str">
        <f>主表!A24</f>
        <v>土地开发期</v>
      </c>
      <c r="E2" s="1040">
        <f>主表!B24</f>
        <v>1.5</v>
      </c>
      <c r="F2" s="1000" t="s">
        <v>1522</v>
      </c>
      <c r="G2" s="1001">
        <f ca="1">INDIRECT("e"&amp;$K$2)/100</f>
        <v>5.4000000000000006E-2</v>
      </c>
      <c r="H2" s="1000" t="s">
        <v>1523</v>
      </c>
      <c r="I2" s="1001">
        <f>SUMIF(F4:F8,E2,G4:G8)/100</f>
        <v>0</v>
      </c>
      <c r="J2" s="1170">
        <f>IF(C2&gt;C14,0,MATCH(C2,C$14:C$59,-1))+IF(SUMIF(C14:C59,C2,D14:D59)=0,14,13)</f>
        <v>27</v>
      </c>
      <c r="K2" s="1170">
        <f>MATCH(E2,C4:C8,1)+IF(SUMIF(C4:C8,E2,D4:D8)=0,3,2)</f>
        <v>6</v>
      </c>
      <c r="L2" s="1170">
        <f>IF(C2&gt;M14,0,MATCH(C2,M$14:M$52,-1))+IF(SUMIF(M14:M52,C2,N14:N52)=0,14,13)</f>
        <v>27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5.4000000000000006E-2</v>
      </c>
      <c r="H3" s="1051" t="s">
        <v>1523</v>
      </c>
      <c r="I3" s="1052">
        <f ca="1">SUMIF(F4:F8,E3,H4:H8)/100</f>
        <v>3.3300000000000003E-2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4.8600000000000003</v>
      </c>
      <c r="F4" s="1037">
        <v>0.5</v>
      </c>
      <c r="G4" s="1038">
        <f ca="1">INDIRECT("p"&amp;$L$1)</f>
        <v>1.3</v>
      </c>
      <c r="H4" s="1038">
        <f ca="1">INDIRECT("p"&amp;$L$2)</f>
        <v>1.98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5.4</v>
      </c>
      <c r="F6" s="1007">
        <v>2</v>
      </c>
      <c r="G6" s="1039">
        <f ca="1">INDIRECT("r"&amp;$L$1)</f>
        <v>2.1</v>
      </c>
      <c r="H6" s="1039">
        <f ca="1">INDIRECT("r"&amp;$L$2)</f>
        <v>2.79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5.76</v>
      </c>
      <c r="F7" s="1007">
        <v>3</v>
      </c>
      <c r="G7" s="1039">
        <f ca="1">INDIRECT("s"&amp;$L$1)</f>
        <v>2.75</v>
      </c>
      <c r="H7" s="1039">
        <f ca="1">INDIRECT("s"&amp;$L$2)</f>
        <v>3.33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5.94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3" t="s">
        <v>1657</v>
      </c>
      <c r="H2" s="1883"/>
      <c r="I2" s="1883"/>
      <c r="J2" s="1883"/>
      <c r="K2" s="1883"/>
      <c r="L2" s="1883"/>
      <c r="N2" s="1878" t="s">
        <v>1658</v>
      </c>
      <c r="O2" s="1878"/>
      <c r="P2" s="1878"/>
      <c r="Q2" s="1878"/>
      <c r="R2" s="1690"/>
      <c r="S2" s="1878" t="s">
        <v>1659</v>
      </c>
      <c r="T2" s="1878"/>
      <c r="U2" s="1878"/>
      <c r="V2" s="1878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6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6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7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5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6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6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7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5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6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6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7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5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6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6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7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5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6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6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7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5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6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6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7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5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6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6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7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5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6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6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7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5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6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6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7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5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6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6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7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5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6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6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7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5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6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6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7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5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6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6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7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5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6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6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7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13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35</v>
      </c>
      <c r="N1" s="1450" t="s">
        <v>1649</v>
      </c>
      <c r="O1" s="1464" t="str">
        <f>'2002基准地价'!C25</f>
        <v>2010-3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2.18E-2</v>
      </c>
      <c r="M2" s="28">
        <f>ROUND(SUMIF($A$17:$A$67,$O$1,M17:M67),4)</f>
        <v>1.8700000000000001E-2</v>
      </c>
      <c r="N2" s="28">
        <f>ROUND(SUMIF($A$17:$A$67,$O$1,N17:N67),4)</f>
        <v>1.8700000000000001E-2</v>
      </c>
      <c r="O2" s="28">
        <f>ROUND(SUMIF($A$17:$A$67,$O$1,O17:O67),4)</f>
        <v>2.29E-2</v>
      </c>
      <c r="P2" s="28">
        <f>ROUND(SUMIF($A$17:$A$67,$O$1,P17:P67),4)</f>
        <v>0.02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462.18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43335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481.23099999999999</v>
      </c>
      <c r="C11" s="1695">
        <f ca="1">结果表!B18</f>
        <v>10412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462.18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5" t="s">
        <v>1368</v>
      </c>
      <c r="B2" s="1755"/>
      <c r="C2" s="1755"/>
      <c r="D2" s="1755"/>
      <c r="E2" s="1755"/>
      <c r="F2" s="1755"/>
      <c r="G2" s="1755"/>
      <c r="H2" s="665"/>
      <c r="I2" s="227"/>
      <c r="X2" s="221"/>
      <c r="AG2" s="189"/>
    </row>
    <row r="3" spans="1:33" ht="13.5">
      <c r="A3" s="1756" t="s">
        <v>1369</v>
      </c>
      <c r="B3" s="1757"/>
      <c r="C3" s="1758"/>
      <c r="D3" s="1759" t="s">
        <v>1370</v>
      </c>
      <c r="E3" s="1757"/>
      <c r="F3" s="1757"/>
      <c r="G3" s="1760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61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3" t="s">
        <v>1375</v>
      </c>
      <c r="B5" s="1764">
        <f>主表!F5</f>
        <v>5427</v>
      </c>
      <c r="C5" s="1765" t="s">
        <v>1376</v>
      </c>
      <c r="D5" s="1762" t="s">
        <v>1377</v>
      </c>
      <c r="E5" s="1766"/>
      <c r="F5" s="1336">
        <f>SUM(F6:F10)</f>
        <v>3316</v>
      </c>
      <c r="G5" s="1337" t="s">
        <v>1654</v>
      </c>
      <c r="H5" s="665"/>
      <c r="I5" s="227"/>
      <c r="X5" s="221"/>
      <c r="AG5" s="189"/>
    </row>
    <row r="6" spans="1:33" ht="27">
      <c r="A6" s="1763"/>
      <c r="B6" s="1764"/>
      <c r="C6" s="1765"/>
      <c r="D6" s="1767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63"/>
      <c r="B7" s="1764"/>
      <c r="C7" s="1765"/>
      <c r="D7" s="1767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3"/>
      <c r="B8" s="1764"/>
      <c r="C8" s="1765"/>
      <c r="D8" s="1768" t="s">
        <v>1399</v>
      </c>
      <c r="E8" s="1769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3"/>
      <c r="B9" s="1764"/>
      <c r="C9" s="1765"/>
      <c r="D9" s="1768" t="s">
        <v>1400</v>
      </c>
      <c r="E9" s="1769"/>
      <c r="F9" s="1336">
        <f>主表!F18</f>
        <v>0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63"/>
      <c r="B10" s="1764"/>
      <c r="C10" s="1765"/>
      <c r="D10" s="1768" t="s">
        <v>1401</v>
      </c>
      <c r="E10" s="1769"/>
      <c r="F10" s="1336">
        <f>主表!F19</f>
        <v>337</v>
      </c>
      <c r="G10" s="1337" t="str">
        <f>"按建安工程费的"&amp;TEXT(主表!G19,"0.0%")&amp;"计取"</f>
        <v>按建安工程费的12.0%计取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163</v>
      </c>
      <c r="C11" s="1338" t="str">
        <f>"按前期开发成本的"&amp;TEXT(主表!G8,"0.0%")&amp;"计取"</f>
        <v>按前期开发成本的3.0%计取</v>
      </c>
      <c r="D11" s="1762" t="s">
        <v>1382</v>
      </c>
      <c r="E11" s="1766"/>
      <c r="F11" s="1336">
        <f>主表!F20</f>
        <v>99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452</v>
      </c>
      <c r="C12" s="1339" t="str">
        <f ca="1">"前期开发期为"&amp;主表!B24&amp;"年，贷款利率为"&amp;TEXT(主表!G9,"0.00%")&amp;"，"&amp;主表!H9</f>
        <v>前期开发期为1.5年，贷款利率为5.40%，计息期为1.5年，复利计息</v>
      </c>
      <c r="D12" s="1762" t="s">
        <v>1384</v>
      </c>
      <c r="E12" s="1766"/>
      <c r="F12" s="1336">
        <f ca="1">主表!F21</f>
        <v>121</v>
      </c>
      <c r="G12" s="1337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2236</v>
      </c>
      <c r="C13" s="1339" t="str">
        <f>"按前期开发成本及其管理费用的"&amp;TEXT(主表!G10,"0%")&amp;"计取"</f>
        <v>按前期开发成本及其管理费用的40%计取</v>
      </c>
      <c r="D13" s="1762" t="s">
        <v>1385</v>
      </c>
      <c r="E13" s="1766"/>
      <c r="F13" s="1336">
        <f>主表!F22</f>
        <v>1366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8278</v>
      </c>
      <c r="C14" s="1339" t="s">
        <v>1387</v>
      </c>
      <c r="D14" s="1762" t="s">
        <v>1386</v>
      </c>
      <c r="E14" s="1766"/>
      <c r="F14" s="1336">
        <f ca="1">F5+F11+F12+F13</f>
        <v>4902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4">
        <f ca="1">主表!F24</f>
        <v>13180</v>
      </c>
      <c r="C15" s="1770"/>
      <c r="D15" s="1768" t="s">
        <v>1389</v>
      </c>
      <c r="E15" s="1769"/>
      <c r="F15" s="1769"/>
      <c r="G15" s="1771"/>
      <c r="H15" s="665"/>
      <c r="I15" s="227"/>
      <c r="X15" s="221"/>
      <c r="AG15" s="189"/>
    </row>
    <row r="16" spans="1:33" ht="27.75" thickBot="1">
      <c r="A16" s="1332" t="s">
        <v>1390</v>
      </c>
      <c r="B16" s="1764">
        <f ca="1">主表!F25</f>
        <v>609.15319999999997</v>
      </c>
      <c r="C16" s="1770"/>
      <c r="D16" s="1768" t="s">
        <v>1391</v>
      </c>
      <c r="E16" s="1769"/>
      <c r="F16" s="1769"/>
      <c r="G16" s="1771"/>
      <c r="H16" s="1341" t="str">
        <f ca="1">NUMBERSTRING(INT(B16*10000),2)&amp;"元整"</f>
        <v>陆佰零玖万壹仟伍佰叁拾贰元整</v>
      </c>
      <c r="I16" s="1342"/>
      <c r="X16" s="221"/>
      <c r="AG16" s="189"/>
    </row>
    <row r="17" spans="1:33" ht="13.5">
      <c r="A17" s="1332" t="s">
        <v>1392</v>
      </c>
      <c r="B17" s="1777">
        <f>主表!F33</f>
        <v>0.79</v>
      </c>
      <c r="C17" s="1770"/>
      <c r="D17" s="1768" t="s">
        <v>1393</v>
      </c>
      <c r="E17" s="1769"/>
      <c r="F17" s="1769"/>
      <c r="G17" s="1771"/>
      <c r="H17" s="665"/>
      <c r="I17" s="227"/>
      <c r="X17" s="221"/>
      <c r="AG17" s="189"/>
    </row>
    <row r="18" spans="1:33" ht="27.75" thickBot="1">
      <c r="A18" s="1332" t="s">
        <v>1394</v>
      </c>
      <c r="B18" s="1764">
        <f ca="1">主表!F35</f>
        <v>10412</v>
      </c>
      <c r="C18" s="1770"/>
      <c r="D18" s="1768" t="s">
        <v>1395</v>
      </c>
      <c r="E18" s="1769"/>
      <c r="F18" s="1769"/>
      <c r="G18" s="1771"/>
      <c r="H18" s="663"/>
      <c r="I18" s="227"/>
      <c r="X18" s="221"/>
      <c r="AG18" s="189"/>
    </row>
    <row r="19" spans="1:33" ht="27.75" thickBot="1">
      <c r="A19" s="1340" t="s">
        <v>1396</v>
      </c>
      <c r="B19" s="1772">
        <f ca="1">主表!F36</f>
        <v>481.23099999999999</v>
      </c>
      <c r="C19" s="1773"/>
      <c r="D19" s="1774" t="s">
        <v>1397</v>
      </c>
      <c r="E19" s="1775"/>
      <c r="F19" s="1775"/>
      <c r="G19" s="1776"/>
      <c r="H19" s="1341" t="str">
        <f ca="1">NUMBERSTRING(INT(B19*10000),2)&amp;"元整"</f>
        <v>肆佰捌拾壹万贰仟叁佰壹拾元整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E31" sqref="E31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3" t="s">
        <v>1288</v>
      </c>
      <c r="E2" s="1784"/>
      <c r="F2" s="1784"/>
      <c r="G2" s="1784"/>
      <c r="H2" s="1785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43335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13</v>
      </c>
    </row>
    <row r="4" spans="1:18" ht="15.75" customHeight="1">
      <c r="A4" s="1200" t="s">
        <v>1546</v>
      </c>
      <c r="B4" s="518">
        <v>40366</v>
      </c>
      <c r="C4" s="1198"/>
      <c r="D4" s="1206" t="s">
        <v>1289</v>
      </c>
      <c r="E4" s="1207" t="s">
        <v>1585</v>
      </c>
      <c r="F4" s="1208">
        <f ca="1">F5+F8+F9+F10</f>
        <v>8278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5427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8374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462.18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2947</v>
      </c>
      <c r="G7" s="1224"/>
      <c r="H7" s="1386" t="s">
        <v>1771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>ROUND(F5*G8,0)</f>
        <v>163</v>
      </c>
      <c r="G8" s="664">
        <v>0.03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452</v>
      </c>
      <c r="G9" s="1231">
        <f ca="1">存贷款利率!G2</f>
        <v>5.4000000000000006E-2</v>
      </c>
      <c r="H9" s="1232" t="str">
        <f>"计息期为"&amp;B24&amp;"年，"&amp;IF(B24&lt;=1,"单利计息","复利计息")</f>
        <v>计息期为1.5年，复利计息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254</v>
      </c>
      <c r="C10" s="1198"/>
      <c r="D10" s="1236">
        <v>4</v>
      </c>
      <c r="E10" s="1237" t="s">
        <v>1239</v>
      </c>
      <c r="F10" s="1238">
        <f>ROUND((F5+F8)*G10,0)</f>
        <v>2236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4902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1769</v>
      </c>
      <c r="C12" s="1198"/>
      <c r="D12" s="1227">
        <v>1</v>
      </c>
      <c r="E12" s="1228" t="s">
        <v>1588</v>
      </c>
      <c r="F12" s="1229">
        <f>F13+F16+F17</f>
        <v>3316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40</v>
      </c>
      <c r="C13" s="1198"/>
      <c r="D13" s="1219" t="s">
        <v>1281</v>
      </c>
      <c r="E13" s="1228" t="s">
        <v>1243</v>
      </c>
      <c r="F13" s="1229">
        <f>F14+F15</f>
        <v>2810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32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169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337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0.90300000000000002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337</v>
      </c>
      <c r="G19" s="520">
        <v>0.12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1770</v>
      </c>
      <c r="C20" s="1198"/>
      <c r="D20" s="1227">
        <v>2</v>
      </c>
      <c r="E20" s="1228" t="s">
        <v>1237</v>
      </c>
      <c r="F20" s="1229">
        <f>ROUND(F12*G20,0)</f>
        <v>99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121</v>
      </c>
      <c r="G21" s="1424">
        <f ca="1">存贷款利率!G1</f>
        <v>4.7500000000000001E-2</v>
      </c>
      <c r="H21" s="1232" t="str">
        <f>"计息期为"&amp;B23&amp;"年，"&amp;"复利计息"</f>
        <v>计息期为1.5年，复利计息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2005</v>
      </c>
      <c r="C22" s="1198"/>
      <c r="D22" s="1236">
        <v>4</v>
      </c>
      <c r="E22" s="1237" t="s">
        <v>1590</v>
      </c>
      <c r="F22" s="1238">
        <f>ROUND((F12+F20)*G22,0)</f>
        <v>1366</v>
      </c>
      <c r="G22" s="521">
        <f>G10</f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商业用途35%-50%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1.5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1.5</v>
      </c>
      <c r="C24" s="1250"/>
      <c r="D24" s="1214">
        <v>1</v>
      </c>
      <c r="E24" s="1215" t="s">
        <v>1255</v>
      </c>
      <c r="F24" s="1053">
        <f ca="1">F4+F11</f>
        <v>13180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609.15319999999997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1290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0.78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8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8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8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0.79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1293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10412</v>
      </c>
      <c r="G35" s="1779" t="s">
        <v>1267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481.23099999999999</v>
      </c>
      <c r="G36" s="1781" t="s">
        <v>1269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2" zoomScale="80" zoomScaleNormal="80" zoomScaleSheetLayoutView="89" workbookViewId="0">
      <selection activeCell="G31" sqref="G31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462.18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 ca="1">C26</f>
        <v>#DIV/0!</v>
      </c>
      <c r="C2" s="686" t="s">
        <v>986</v>
      </c>
      <c r="D2" s="733" t="s">
        <v>989</v>
      </c>
      <c r="E2" s="734" t="str">
        <f>主表!B12</f>
        <v>商业</v>
      </c>
      <c r="F2" s="733" t="s">
        <v>914</v>
      </c>
      <c r="G2" s="735" t="str">
        <f>主表!B10</f>
        <v>四级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9"/>
      <c r="B4" s="1790"/>
      <c r="C4" s="1790"/>
      <c r="D4" s="1791"/>
      <c r="E4" s="1791"/>
      <c r="F4" s="1791"/>
      <c r="G4" s="1791"/>
      <c r="H4" s="1791"/>
      <c r="I4" s="1791"/>
      <c r="J4" s="1792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 t="e">
        <f>ROUND(IF(E2="商业",IF(F16="增加",C6*C7+C16,C6*C7-C16),IF(E2="住宅/居住",IF(F16="增加",C6*C12+C16,C6*C12-C16),IF(F16="增加",C6+C16,C6-C16))),0)</f>
        <v>#DIV/0!</v>
      </c>
      <c r="D5" s="1712" t="e">
        <f>ROUND(IF(E2="商业",IF(F16="增加",C6*C7+C16,C6*C7-C16)),0)</f>
        <v>#DIV/0!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3">
        <f>IF(E2="商业",IF(C8="不临58条商业街","",2),"")</f>
        <v>2</v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4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4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4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4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3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5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5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6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3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4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13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ROUND(SUMIF(地价!B3:F3,E2,地价!B24:F24),0)</f>
        <v>258</v>
      </c>
      <c r="G19" s="1508" t="s">
        <v>266</v>
      </c>
      <c r="H19" s="1349">
        <f>主表!B4</f>
        <v>40366</v>
      </c>
      <c r="I19" s="1633">
        <f>ROUND(SUMPRODUCT((地价!A9:A24=YEAR(H19)&amp;"-"&amp;ROUNDUP(MONTH(H19)/3,0))*(地价!B3:F3=E2)*(地价!B9:F24)),0)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0.94389999999999996</v>
      </c>
      <c r="D20" s="1509" t="s">
        <v>939</v>
      </c>
      <c r="E20" s="1510">
        <f ca="1">INDIRECT("'存贷款利率'!e"&amp;存贷款利率!$K$4)/100</f>
        <v>5.3099999999999994E-2</v>
      </c>
      <c r="F20" s="1507" t="s">
        <v>940</v>
      </c>
      <c r="G20" s="1511">
        <f ca="1">SUMIF(M15:P15,E2,M17:P17)</f>
        <v>6.6000000000000003E-2</v>
      </c>
      <c r="H20" s="1512" t="s">
        <v>1653</v>
      </c>
      <c r="I20" s="1054">
        <f>IF(H20="剩余土地使用年限",主表!B15,主表!B16)</f>
        <v>32</v>
      </c>
      <c r="J20" s="390">
        <f>IF(E2="住宅/居住",70,IF(E2="商业",40,50))</f>
        <v>40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e">
        <f>IF(E22=G22,F22,IF(G3&lt;=10,ROUND(F22+(H22-F22)*(G3-E22)/(G22-E22),4),"——"))</f>
        <v>#DIV/0!</v>
      </c>
      <c r="E22" s="1519" t="e">
        <f>ROUNDDOWN(G3,1)</f>
        <v>#DIV/0!</v>
      </c>
      <c r="F22" s="152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8" t="e">
        <f>ROUNDUP(G3,1)</f>
        <v>#DIV/0!</v>
      </c>
      <c r="H22" s="150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7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8" t="s">
        <v>1759</v>
      </c>
      <c r="B33" s="942" t="s">
        <v>285</v>
      </c>
      <c r="C33" s="27" t="e">
        <f ca="1">ROUND(D5*C19*C20*C24*F33,0)</f>
        <v>#DIV/0!</v>
      </c>
      <c r="D33" s="624"/>
      <c r="E33" s="26" t="e">
        <f t="shared" ref="E33:E39" ca="1" si="0">ROUND(C33*D33,0)</f>
        <v>#DIV/0!</v>
      </c>
      <c r="F33" s="26">
        <f>SUMIF('2014修正'!A45:A56,G2,'2014修正'!B45:B56)</f>
        <v>0.7</v>
      </c>
      <c r="G33" s="26" t="e">
        <f t="shared" ref="G33" ca="1" si="1">ROUND(IF(E2="工业",C33*$M$39,C33*$M$38),0)</f>
        <v>#DIV/0!</v>
      </c>
      <c r="H33" s="26">
        <f>D33</f>
        <v>0</v>
      </c>
      <c r="I33" s="26" t="e">
        <f t="shared" ref="I33:I39" ca="1" si="2">ROUND(G33*H33,0)</f>
        <v>#DIV/0!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9"/>
      <c r="B34" s="325" t="s">
        <v>286</v>
      </c>
      <c r="C34" s="27" t="e">
        <f ca="1">ROUND(D5*C19*C20*C24*F34,0)</f>
        <v>#DIV/0!</v>
      </c>
      <c r="D34" s="624"/>
      <c r="E34" s="26" t="e">
        <f t="shared" ca="1" si="0"/>
        <v>#DIV/0!</v>
      </c>
      <c r="F34" s="26">
        <f>SUMIF('2014修正'!A45:A56,G2,'2014修正'!C45:C56)</f>
        <v>0.4</v>
      </c>
      <c r="G34" s="26" t="e">
        <f ca="1">ROUND(IF(E2="工业",C34*$M$39,C34*$M$38),0)</f>
        <v>#DIV/0!</v>
      </c>
      <c r="H34" s="26">
        <f t="shared" ref="H34:H39" si="3">D34</f>
        <v>0</v>
      </c>
      <c r="I34" s="26" t="e">
        <f t="shared" ca="1" si="2"/>
        <v>#DIV/0!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9"/>
      <c r="B35" s="325" t="s">
        <v>287</v>
      </c>
      <c r="C35" s="27" t="e">
        <f ca="1">ROUND(D5*C19*C20*C24*F35,0)</f>
        <v>#DIV/0!</v>
      </c>
      <c r="D35" s="624"/>
      <c r="E35" s="26" t="e">
        <f t="shared" ca="1" si="0"/>
        <v>#DIV/0!</v>
      </c>
      <c r="F35" s="26">
        <f>SUMIF('2014修正'!A45:A56,G2,'2014修正'!D45:D56)</f>
        <v>0.28000000000000003</v>
      </c>
      <c r="G35" s="26" t="e">
        <f ca="1">ROUND(IF(E2="工业",C35*$M$39,C35*$M$38),0)</f>
        <v>#DIV/0!</v>
      </c>
      <c r="H35" s="26">
        <f t="shared" si="3"/>
        <v>0</v>
      </c>
      <c r="I35" s="26" t="e">
        <f t="shared" ca="1" si="2"/>
        <v>#DIV/0!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0"/>
      <c r="B36" s="325" t="s">
        <v>288</v>
      </c>
      <c r="C36" s="27" t="e">
        <f ca="1">ROUND(D5*C19*C20*C24*F36,0)</f>
        <v>#DIV/0!</v>
      </c>
      <c r="D36" s="624"/>
      <c r="E36" s="26" t="e">
        <f t="shared" ca="1" si="0"/>
        <v>#DIV/0!</v>
      </c>
      <c r="F36" s="26">
        <f>SUMIF('2014修正'!A45:A56,G2,'2014修正'!E45:E56)</f>
        <v>0.25</v>
      </c>
      <c r="G36" s="26" t="e">
        <f ca="1">ROUND(IF(E2="工业",C36*$M$39,C36*$M$38),0)</f>
        <v>#DIV/0!</v>
      </c>
      <c r="H36" s="26">
        <f t="shared" si="3"/>
        <v>0</v>
      </c>
      <c r="I36" s="26" t="e">
        <f t="shared" ca="1" si="2"/>
        <v>#DIV/0!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 t="e">
        <f ca="1">ROUND(C5*C19*C20*C24*F37,0)</f>
        <v>#DIV/0!</v>
      </c>
      <c r="D37" s="624"/>
      <c r="E37" s="26" t="e">
        <f t="shared" ca="1" si="0"/>
        <v>#DIV/0!</v>
      </c>
      <c r="F37" s="27">
        <f>SUMIF('2014修正'!A45:A56,G2,'2014修正'!F45:F56)</f>
        <v>0.25</v>
      </c>
      <c r="G37" s="26" t="e">
        <f ca="1">ROUND(IF(E2="工业",C37*$M$39,C37*$M$38),0)</f>
        <v>#DIV/0!</v>
      </c>
      <c r="H37" s="26">
        <f t="shared" si="3"/>
        <v>0</v>
      </c>
      <c r="I37" s="26" t="e">
        <f t="shared" ca="1" si="2"/>
        <v>#DIV/0!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 t="e">
        <f ca="1">ROUND(C5*C19*C20*C24*F38,0)</f>
        <v>#DIV/0!</v>
      </c>
      <c r="D38" s="624"/>
      <c r="E38" s="26" t="e">
        <f t="shared" ca="1" si="0"/>
        <v>#DIV/0!</v>
      </c>
      <c r="F38" s="27">
        <f>SUMIF('2014修正'!A45:A56,G2,'2014修正'!G45:G56)</f>
        <v>0.25</v>
      </c>
      <c r="G38" s="26" t="e">
        <f ca="1">ROUND(IF(E2="工业",C38*$M$39,C38*$M$38),0)</f>
        <v>#DIV/0!</v>
      </c>
      <c r="H38" s="26">
        <f t="shared" si="3"/>
        <v>0</v>
      </c>
      <c r="I38" s="26" t="e">
        <f t="shared" ca="1" si="2"/>
        <v>#DIV/0!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 t="e">
        <f ca="1">ROUND(C5*C19*C20*C24*F39,0)</f>
        <v>#DIV/0!</v>
      </c>
      <c r="D39" s="626"/>
      <c r="E39" s="29" t="e">
        <f t="shared" ca="1" si="0"/>
        <v>#DIV/0!</v>
      </c>
      <c r="F39" s="387">
        <f>SUMIF('2014修正'!A45:A56,G2,'2014修正'!H45:H56)</f>
        <v>0.2</v>
      </c>
      <c r="G39" s="29" t="e">
        <f ca="1">ROUND(IF(E2="工业",C39*$M$39,C39*$M$38),0)</f>
        <v>#DIV/0!</v>
      </c>
      <c r="H39" s="29">
        <f t="shared" si="3"/>
        <v>0</v>
      </c>
      <c r="I39" s="29" t="e">
        <f t="shared" ca="1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>
        <f>IF(E2="商业",SUMIF(L1:L12,G2,N1:N12),"——")</f>
        <v>0</v>
      </c>
      <c r="G48" s="494"/>
      <c r="H48" s="497">
        <f t="shared" ref="H48:H56" si="5">IFERROR($F$48*I48/2,"——")</f>
        <v>0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>
        <f t="shared" si="5"/>
        <v>0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>
        <f t="shared" si="5"/>
        <v>0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>
        <f t="shared" si="5"/>
        <v>0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>
        <f t="shared" si="5"/>
        <v>0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>
        <f t="shared" si="5"/>
        <v>0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>
        <f t="shared" si="5"/>
        <v>0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>
        <f t="shared" si="5"/>
        <v>0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>
        <f t="shared" si="5"/>
        <v>0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7" t="s">
        <v>1167</v>
      </c>
      <c r="B91" s="1797"/>
      <c r="C91" s="1797"/>
      <c r="D91" s="1797"/>
      <c r="E91" s="1797"/>
      <c r="F91" s="1797"/>
      <c r="G91" s="1797"/>
      <c r="H91" s="1797"/>
      <c r="I91" s="1797"/>
      <c r="J91" s="1797"/>
      <c r="K91" s="672"/>
      <c r="L91" s="672"/>
      <c r="M91" s="672"/>
      <c r="N91" s="672"/>
    </row>
    <row r="92" spans="1:37">
      <c r="A92" s="1802" t="s">
        <v>1168</v>
      </c>
      <c r="B92" s="1802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803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4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4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4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4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4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4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5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3" t="s">
        <v>1495</v>
      </c>
      <c r="B102" s="973" t="s">
        <v>1498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804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804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804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804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804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804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804"/>
      <c r="B109" s="1806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5"/>
      <c r="B110" s="1807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801" t="s">
        <v>1183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 t="e">
        <f>G3</f>
        <v>#DIV/0!</v>
      </c>
      <c r="C114" s="955" t="s">
        <v>1482</v>
      </c>
      <c r="D114" s="351" t="e">
        <f>SUMPRODUCT((A116:A119=F114)*(B115:M115=H114)*B116:M119)</f>
        <v>#DIV/0!</v>
      </c>
      <c r="E114" s="735" t="s">
        <v>1168</v>
      </c>
      <c r="F114" s="956" t="str">
        <f>E2</f>
        <v>商业</v>
      </c>
      <c r="G114" s="735" t="s">
        <v>1185</v>
      </c>
      <c r="H114" s="956" t="str">
        <f>G2</f>
        <v>四级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990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292</v>
      </c>
      <c r="B1" s="1808"/>
      <c r="C1" s="1808"/>
      <c r="D1" s="1808"/>
      <c r="E1" s="1808"/>
      <c r="F1" s="180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9" t="s">
        <v>305</v>
      </c>
      <c r="B2" s="1809"/>
      <c r="C2" s="1809"/>
      <c r="D2" s="1809"/>
      <c r="E2" s="1809"/>
      <c r="F2" s="180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0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2018-08-30T08:18:36Z</dcterms:modified>
</cp:coreProperties>
</file>