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比较法-公寓" sheetId="69" r:id="rId21"/>
    <sheet name="不动产比较法-住宅" sheetId="21" r:id="rId22"/>
    <sheet name="不动产收益法 (商业)" sheetId="70" r:id="rId23"/>
    <sheet name="不动产收益法" sheetId="15"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5"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0" hidden="1">'不动产比较法-公寓'!$A$1:$L$49</definedName>
    <definedName name="_xlnm._FilterDatabase" localSheetId="36"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'比较法-住宅、综合'!$A$1:$K$68</definedName>
    <definedName name="_xlnm.Print_Area" localSheetId="20">'不动产比较法-公寓'!$A$1:$K$54</definedName>
    <definedName name="_xlnm.Print_Area" localSheetId="21">'不动产比较法-住宅'!$A$1:$K$54</definedName>
    <definedName name="_xlnm.Print_Area" localSheetId="23">不动产收益法!$A$1:$F$43</definedName>
    <definedName name="_xlnm.Print_Area" localSheetId="22">'不动产收益法 (商业)'!$A$1:$F$43</definedName>
    <definedName name="_xlnm.Print_Area" localSheetId="17">结果表!$A$1:$I$115</definedName>
    <definedName name="_xlnm.Print_Area" localSheetId="19">'剩余法-待开发'!$A$1:$K$37</definedName>
    <definedName name="_xlnm.Print_Area" localSheetId="13">'数据-汇总表'!$A$1:$I$32</definedName>
    <definedName name="_xlnm.Print_Area" localSheetId="11">'数据-基础表'!$AV$1:$BQ$18</definedName>
    <definedName name="_xlnm.Print_Area" localSheetId="10">项目基本情况!$A$1:$I$22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'不动产比较法-公寓'!$B$88:$M$88</definedName>
    <definedName name="住宅朝向">'不动产比较法-住宅'!$B$88:$M$88</definedName>
    <definedName name="住宅房型" localSheetId="20">'不动产比较法-公寓'!$B$118:$M$118</definedName>
    <definedName name="住宅房型">'不动产比较法-住宅'!$B$118:$M$118</definedName>
    <definedName name="住宅公共部分装修" localSheetId="20">'不动产比较法-公寓'!$B$109:$M$109</definedName>
    <definedName name="住宅公共部分装修">'不动产比较法-住宅'!$B$109:$M$109</definedName>
    <definedName name="住宅基础设施水平" localSheetId="20">'不动产比较法-公寓'!$B$116:$M$116</definedName>
    <definedName name="住宅基础设施水平">'不动产比较法-住宅'!$B$116:$M$116</definedName>
    <definedName name="住宅建筑结构" localSheetId="20">'不动产比较法-公寓'!$B$105:$M$105</definedName>
    <definedName name="住宅建筑结构">'不动产比较法-住宅'!$B$105:$M$105</definedName>
    <definedName name="住宅建筑类型" localSheetId="20">'不动产比较法-公寓'!$B$100:$M$100</definedName>
    <definedName name="住宅建筑类型">'不动产比较法-住宅'!$B$100:$M$100</definedName>
    <definedName name="住宅建筑品质" localSheetId="20">'不动产比较法-公寓'!$B$107:$M$107</definedName>
    <definedName name="住宅建筑品质">'不动产比较法-住宅'!$B$107:$M$107</definedName>
    <definedName name="住宅交易情况" localSheetId="20">'不动产比较法-公寓'!$A$61:$M$61</definedName>
    <definedName name="住宅交易情况">'不动产比较法-住宅'!$A$61:$M$61</definedName>
    <definedName name="住宅楼层" localSheetId="20">'不动产比较法-公寓'!$B$86:$M$86</definedName>
    <definedName name="住宅楼层">'不动产比较法-住宅'!$B$86:$M$86</definedName>
    <definedName name="住宅内部装修" localSheetId="20">'不动产比较法-公寓'!$B$122:$M$122</definedName>
    <definedName name="住宅内部装修">'不动产比较法-住宅'!$B$122:$M$122</definedName>
    <definedName name="住宅物业管理" localSheetId="20">'不动产比较法-公寓'!$B$114:$M$114</definedName>
    <definedName name="住宅物业管理">'不动产比较法-住宅'!$B$114:$M$114</definedName>
    <definedName name="住宅用途" localSheetId="20">'不动产比较法-公寓'!$B$63:$M$63</definedName>
    <definedName name="住宅用途">'不动产比较法-住宅'!$B$63:$M$63</definedName>
    <definedName name="住宅主力户型面积" localSheetId="20">'不动产比较法-公寓'!$B$120:$M$120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8" i="68" l="1"/>
  <c r="M15" i="3" l="1"/>
  <c r="D14" i="68"/>
  <c r="B14" i="68"/>
  <c r="G47" i="21" l="1"/>
  <c r="E47" i="21"/>
  <c r="I47" i="21" l="1"/>
  <c r="E47" i="69"/>
  <c r="G47" i="69"/>
  <c r="I47" i="69" l="1"/>
  <c r="Q73" i="70"/>
  <c r="F61" i="70"/>
  <c r="Q60" i="70"/>
  <c r="D60" i="70"/>
  <c r="Q59" i="70"/>
  <c r="K59" i="70"/>
  <c r="P75" i="70" s="1"/>
  <c r="F59" i="70"/>
  <c r="F58" i="70"/>
  <c r="Q52" i="70"/>
  <c r="J50" i="70"/>
  <c r="J51" i="70" s="1"/>
  <c r="M47" i="70"/>
  <c r="F34" i="70"/>
  <c r="F33" i="70"/>
  <c r="F60" i="70" s="1"/>
  <c r="F32" i="70"/>
  <c r="F31" i="70"/>
  <c r="F28" i="70"/>
  <c r="C28" i="70" s="1"/>
  <c r="F23" i="70"/>
  <c r="D24" i="70" s="1"/>
  <c r="D22" i="70"/>
  <c r="F21" i="70"/>
  <c r="M20" i="70"/>
  <c r="F20" i="70"/>
  <c r="M19" i="70"/>
  <c r="M18" i="70"/>
  <c r="F18" i="70"/>
  <c r="M17" i="70"/>
  <c r="F17" i="70"/>
  <c r="F15" i="70"/>
  <c r="G1"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Z40" i="69"/>
  <c r="Q40" i="69"/>
  <c r="J40" i="69"/>
  <c r="AC40" i="69" s="1"/>
  <c r="H40" i="69"/>
  <c r="AB40" i="69" s="1"/>
  <c r="F40" i="69"/>
  <c r="S40" i="69" s="1"/>
  <c r="Z39" i="69"/>
  <c r="Q39" i="69"/>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Q33" i="69"/>
  <c r="Z33" i="69" s="1"/>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J23" i="69"/>
  <c r="AC23" i="69" s="1"/>
  <c r="H23" i="69"/>
  <c r="U23" i="69" s="1"/>
  <c r="F23" i="69"/>
  <c r="S23" i="69" s="1"/>
  <c r="C23" i="69"/>
  <c r="Q21" i="69"/>
  <c r="Z21" i="69" s="1"/>
  <c r="J21" i="69"/>
  <c r="AC21" i="69" s="1"/>
  <c r="H21" i="69"/>
  <c r="U21" i="69" s="1"/>
  <c r="F21" i="69"/>
  <c r="S21" i="69" s="1"/>
  <c r="C21" i="69"/>
  <c r="Q19" i="69"/>
  <c r="Z19" i="69" s="1"/>
  <c r="J19" i="69"/>
  <c r="AC19" i="69" s="1"/>
  <c r="H19" i="69"/>
  <c r="U19" i="69" s="1"/>
  <c r="F19" i="69"/>
  <c r="AA19" i="69" s="1"/>
  <c r="C19"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G7" i="69"/>
  <c r="C7" i="69"/>
  <c r="C58" i="69" s="1"/>
  <c r="D58" i="69" s="1"/>
  <c r="E58" i="69" s="1"/>
  <c r="F58" i="69" s="1"/>
  <c r="G58" i="69" s="1"/>
  <c r="H58" i="69" s="1"/>
  <c r="I58" i="69" s="1"/>
  <c r="J58" i="69" s="1"/>
  <c r="K58" i="69" s="1"/>
  <c r="L58" i="69" s="1"/>
  <c r="M58" i="69" s="1"/>
  <c r="N58" i="69" s="1"/>
  <c r="O58" i="69" s="1"/>
  <c r="AH8" i="1"/>
  <c r="AD16" i="3"/>
  <c r="AD18" i="3"/>
  <c r="O17" i="3"/>
  <c r="K14" i="3"/>
  <c r="I13" i="3"/>
  <c r="A3" i="3"/>
  <c r="D8" i="68"/>
  <c r="M23" i="70"/>
  <c r="F26" i="70"/>
  <c r="J36" i="70"/>
  <c r="M24" i="70"/>
  <c r="F40" i="70"/>
  <c r="J15" i="70"/>
  <c r="F38" i="70"/>
  <c r="M9" i="70"/>
  <c r="F6" i="70"/>
  <c r="AB21" i="69" l="1"/>
  <c r="AA23" i="69"/>
  <c r="AB23" i="69"/>
  <c r="AA41" i="69"/>
  <c r="AB41" i="69"/>
  <c r="AB42" i="69"/>
  <c r="AC43" i="69"/>
  <c r="AA40" i="69"/>
  <c r="W39" i="69"/>
  <c r="W38" i="69"/>
  <c r="U38" i="69"/>
  <c r="AA36" i="69"/>
  <c r="AC35" i="69"/>
  <c r="U32" i="69"/>
  <c r="AA32" i="69"/>
  <c r="AA17" i="69"/>
  <c r="U25" i="69"/>
  <c r="W26" i="69"/>
  <c r="D23" i="70"/>
  <c r="Q72" i="70"/>
  <c r="F65" i="70"/>
  <c r="F67" i="70"/>
  <c r="C27" i="70"/>
  <c r="P62" i="70"/>
  <c r="AA15" i="69"/>
  <c r="AB15" i="69"/>
  <c r="J10" i="69"/>
  <c r="AC10" i="69" s="1"/>
  <c r="H10" i="69"/>
  <c r="AB10" i="69" s="1"/>
  <c r="S9" i="69"/>
  <c r="U8" i="69"/>
  <c r="AB8" i="69"/>
  <c r="U17" i="69"/>
  <c r="H44" i="69"/>
  <c r="J44" i="69"/>
  <c r="F44" i="69"/>
  <c r="W42" i="69"/>
  <c r="AC42" i="69"/>
  <c r="H12" i="69"/>
  <c r="F12" i="69"/>
  <c r="J37" i="69"/>
  <c r="H113" i="69"/>
  <c r="H37" i="69"/>
  <c r="H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E7" i="69"/>
  <c r="F7" i="69" s="1"/>
  <c r="I7" i="69"/>
  <c r="J7" i="69" s="1"/>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F17" i="4"/>
  <c r="F22" i="6"/>
  <c r="AL16" i="3"/>
  <c r="F8" i="70"/>
  <c r="L48" i="70"/>
  <c r="M8" i="70"/>
  <c r="F13" i="70"/>
  <c r="M26" i="70"/>
  <c r="M22" i="70"/>
  <c r="M28" i="70"/>
  <c r="F9" i="70"/>
  <c r="L47" i="70"/>
  <c r="M6" i="70"/>
  <c r="F37" i="70"/>
  <c r="F36" i="70"/>
  <c r="F16" i="70"/>
  <c r="F42" i="70"/>
  <c r="L56" i="70" l="1"/>
  <c r="L57" i="70"/>
  <c r="L60" i="70"/>
  <c r="J57" i="70"/>
  <c r="J55" i="70" s="1"/>
  <c r="J58" i="70" s="1"/>
  <c r="Q51" i="70" s="1"/>
  <c r="I54" i="70"/>
  <c r="J53" i="70"/>
  <c r="F50" i="70"/>
  <c r="L58" i="70"/>
  <c r="L59" i="70"/>
  <c r="F63" i="70"/>
  <c r="F64" i="70"/>
  <c r="W10" i="69"/>
  <c r="AB37" i="69"/>
  <c r="U37" i="69"/>
  <c r="AB12" i="69"/>
  <c r="U12" i="69"/>
  <c r="AA45" i="69"/>
  <c r="S45" i="69"/>
  <c r="AC12" i="69"/>
  <c r="W12" i="69"/>
  <c r="S7" i="69"/>
  <c r="AA7" i="69"/>
  <c r="AB13" i="69"/>
  <c r="U13" i="69"/>
  <c r="AA37" i="69"/>
  <c r="S37" i="69"/>
  <c r="U7" i="69"/>
  <c r="AB7" i="69"/>
  <c r="AA12" i="69"/>
  <c r="S12" i="69"/>
  <c r="AB44" i="69"/>
  <c r="U44" i="69"/>
  <c r="AA10" i="69"/>
  <c r="S10" i="69"/>
  <c r="S44" i="69"/>
  <c r="AA44" i="69"/>
  <c r="U45" i="69"/>
  <c r="AB45" i="69"/>
  <c r="W7" i="69"/>
  <c r="AC7" i="69"/>
  <c r="AC37" i="69"/>
  <c r="W37" i="69"/>
  <c r="AC44" i="69"/>
  <c r="W44" i="69"/>
  <c r="C40" i="39"/>
  <c r="G21" i="6"/>
  <c r="F20" i="6"/>
  <c r="F19" i="6"/>
  <c r="B7" i="4"/>
  <c r="C11" i="4" s="1"/>
  <c r="D3" i="4"/>
  <c r="F1" i="70" l="1"/>
  <c r="Q53" i="70"/>
  <c r="Q75" i="70"/>
  <c r="Q62" i="70"/>
  <c r="Q67" i="70"/>
  <c r="Q58" i="70"/>
  <c r="Q61" i="70"/>
  <c r="Q74" i="70"/>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F9" i="67"/>
  <c r="B8" i="67"/>
  <c r="E11" i="67"/>
  <c r="E8" i="67"/>
  <c r="E9" i="67"/>
  <c r="E13" i="67"/>
  <c r="F8" i="67"/>
  <c r="E12" i="67"/>
  <c r="B10" i="67"/>
  <c r="B11" i="67"/>
  <c r="F12" i="67"/>
  <c r="E14" i="67"/>
  <c r="F14" i="67"/>
  <c r="F10" i="67"/>
  <c r="F13" i="67"/>
  <c r="E10" i="67"/>
  <c r="B9" i="67"/>
  <c r="F11" i="67"/>
  <c r="B13"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7" i="65"/>
  <c r="I6" i="65"/>
  <c r="N4" i="65"/>
  <c r="N3" i="65"/>
  <c r="N6" i="65"/>
  <c r="I7" i="65"/>
  <c r="J3" i="65"/>
  <c r="J4" i="65"/>
  <c r="N5" i="65"/>
  <c r="I4" i="65"/>
  <c r="J6" i="65"/>
  <c r="E20" i="46" l="1"/>
  <c r="J1" i="65"/>
  <c r="C4" i="65"/>
  <c r="B39" i="1" s="1"/>
  <c r="I5" i="65"/>
  <c r="J5" i="65"/>
  <c r="I3" i="65"/>
  <c r="E3" i="65"/>
  <c r="F11" i="70" l="1"/>
  <c r="M11" i="70"/>
  <c r="J10" i="70" s="1"/>
  <c r="F17" i="11"/>
  <c r="M5" i="54"/>
  <c r="A23" i="51"/>
  <c r="C52" i="70" l="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J51" i="15" s="1"/>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AZ496" i="3" s="1"/>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G568" i="3" s="1"/>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C7"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G561"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6" i="40"/>
  <c r="AB42" i="40"/>
  <c r="AC16" i="40"/>
  <c r="W32" i="40"/>
  <c r="H25" i="40"/>
  <c r="AB25" i="40" s="1"/>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11" i="37"/>
  <c r="AC13" i="40"/>
  <c r="J11" i="34"/>
  <c r="W11" i="34" s="1"/>
  <c r="S17" i="34"/>
  <c r="F25" i="40"/>
  <c r="AA25" i="40" s="1"/>
  <c r="J11" i="33"/>
  <c r="W11" i="33" s="1"/>
  <c r="H33" i="37"/>
  <c r="AB33" i="37" s="1"/>
  <c r="AC15" i="34"/>
  <c r="U20" i="35"/>
  <c r="W23" i="40"/>
  <c r="B11" i="1"/>
  <c r="E11" i="1" s="1"/>
  <c r="K11" i="1"/>
  <c r="M11" i="1" s="1"/>
  <c r="B9" i="1"/>
  <c r="E9" i="1" s="1"/>
  <c r="B7" i="1"/>
  <c r="E7" i="1" s="1"/>
  <c r="K7" i="1"/>
  <c r="C20" i="43"/>
  <c r="E2" i="65"/>
  <c r="F7" i="70"/>
  <c r="F43" i="70"/>
  <c r="M29" i="70"/>
  <c r="C92" i="9" l="1"/>
  <c r="K9" i="1"/>
  <c r="M9" i="1" s="1"/>
  <c r="O9" i="1" s="1"/>
  <c r="P9" i="1" s="1"/>
  <c r="D3" i="69"/>
  <c r="BA14" i="3"/>
  <c r="AZ14" i="3" s="1"/>
  <c r="F49" i="70"/>
  <c r="C48" i="70" s="1"/>
  <c r="C47" i="70" s="1"/>
  <c r="M7" i="70"/>
  <c r="J6" i="70" s="1"/>
  <c r="J5" i="70" s="1"/>
  <c r="C6" i="70"/>
  <c r="C10" i="70"/>
  <c r="F70" i="70"/>
  <c r="M7" i="1"/>
  <c r="AC35" i="21"/>
  <c r="S35" i="21"/>
  <c r="U40" i="21"/>
  <c r="U43" i="21"/>
  <c r="U42" i="21"/>
  <c r="U19" i="21"/>
  <c r="U17" i="21"/>
  <c r="U34" i="39"/>
  <c r="AB29" i="39"/>
  <c r="AB25" i="39"/>
  <c r="W27" i="39"/>
  <c r="U27" i="39"/>
  <c r="U21" i="39"/>
  <c r="U19" i="39"/>
  <c r="AA19" i="39"/>
  <c r="AA43" i="39"/>
  <c r="W43" i="39"/>
  <c r="U47" i="3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S23" i="39"/>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A14" i="55"/>
  <c r="B65" i="63" s="1"/>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F66" i="9"/>
  <c r="P72" i="9" s="1"/>
  <c r="F72" i="9"/>
  <c r="D23" i="15"/>
  <c r="BL13" i="3"/>
  <c r="BE5" i="3"/>
  <c r="BI5" i="3"/>
  <c r="G13" i="1"/>
  <c r="G10" i="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70"/>
  <c r="F28" i="44"/>
  <c r="F39" i="44"/>
  <c r="J36" i="15"/>
  <c r="M26" i="44"/>
  <c r="F43" i="15"/>
  <c r="M25" i="44"/>
  <c r="M29" i="44"/>
  <c r="M26" i="15"/>
  <c r="F6" i="15"/>
  <c r="L48" i="44"/>
  <c r="M31" i="44"/>
  <c r="F37" i="15"/>
  <c r="M8" i="44"/>
  <c r="F26" i="15"/>
  <c r="F38" i="44"/>
  <c r="F40" i="44"/>
  <c r="F45" i="44"/>
  <c r="F18" i="44"/>
  <c r="J15" i="15"/>
  <c r="M24" i="44"/>
  <c r="M28" i="44"/>
  <c r="M11" i="44"/>
  <c r="F8" i="44"/>
  <c r="M30" i="44"/>
  <c r="F9" i="44"/>
  <c r="F15" i="44"/>
  <c r="F43" i="44"/>
  <c r="F8" i="15"/>
  <c r="M10" i="44"/>
  <c r="F10" i="44"/>
  <c r="L49" i="44"/>
  <c r="J17" i="44"/>
  <c r="F11" i="44"/>
  <c r="C5" i="70" l="1"/>
  <c r="C38" i="70" s="1"/>
  <c r="O7" i="1"/>
  <c r="P7" i="1" s="1"/>
  <c r="C32" i="70"/>
  <c r="J24" i="70"/>
  <c r="J26" i="70"/>
  <c r="J18" i="70"/>
  <c r="C65" i="70"/>
  <c r="C59" i="70"/>
  <c r="AA15" i="21"/>
  <c r="AC46" i="39"/>
  <c r="AC39" i="39"/>
  <c r="W39" i="39"/>
  <c r="C24" i="70"/>
  <c r="C16" i="46"/>
  <c r="C5" i="46" s="1"/>
  <c r="AZ18" i="3"/>
  <c r="E8" i="6"/>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AE6" i="1"/>
  <c r="F33" i="44"/>
  <c r="F58" i="15"/>
  <c r="M17" i="15"/>
  <c r="F31" i="15"/>
  <c r="M19" i="44"/>
  <c r="C18" i="44"/>
  <c r="M28" i="15"/>
  <c r="M8" i="15"/>
  <c r="L48" i="15"/>
  <c r="F36" i="15"/>
  <c r="F42" i="15"/>
  <c r="M22" i="15"/>
  <c r="F16" i="15"/>
  <c r="F9" i="15"/>
  <c r="F13" i="15"/>
  <c r="L47" i="15"/>
  <c r="M6" i="15"/>
  <c r="M29" i="15"/>
  <c r="F38" i="15"/>
  <c r="M9" i="15"/>
  <c r="M24" i="15"/>
  <c r="F7" i="15"/>
  <c r="AE7" i="1"/>
  <c r="F46" i="44"/>
  <c r="F40" i="15"/>
  <c r="M23" i="15"/>
  <c r="E481" i="3" l="1"/>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C16" i="15"/>
  <c r="L52" i="44"/>
  <c r="AE8" i="1"/>
  <c r="F7" i="67"/>
  <c r="Q53" i="15" l="1"/>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S12" i="40"/>
  <c r="S12" i="39"/>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F41" i="70"/>
  <c r="M27" i="70"/>
  <c r="M27" i="15"/>
  <c r="C17" i="70"/>
  <c r="E7" i="67"/>
  <c r="F41" i="15"/>
  <c r="C17" i="15"/>
  <c r="C19" i="44"/>
  <c r="J33" i="69" l="1"/>
  <c r="H33" i="69"/>
  <c r="F33" i="69"/>
  <c r="F68" i="15"/>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AB33" i="69" l="1"/>
  <c r="U33" i="69"/>
  <c r="S33" i="69"/>
  <c r="AA33" i="69"/>
  <c r="AC33" i="69"/>
  <c r="W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70"/>
  <c r="C16" i="44"/>
  <c r="C18" i="70" l="1"/>
  <c r="C15"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0"/>
  <c r="F35" i="15"/>
  <c r="M21" i="15"/>
  <c r="M23" i="44"/>
  <c r="F37" i="44"/>
  <c r="M21" i="70"/>
  <c r="C19" i="70" l="1"/>
  <c r="J20" i="70"/>
  <c r="F62" i="70"/>
  <c r="C61" i="70" s="1"/>
  <c r="C34" i="70"/>
  <c r="C20" i="70"/>
  <c r="C26" i="70" s="1"/>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0" l="1"/>
  <c r="C29" i="70" s="1"/>
  <c r="J14"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J19" i="70" l="1"/>
  <c r="J17" i="70" s="1"/>
  <c r="C56" i="70"/>
  <c r="C63" i="70" s="1"/>
  <c r="C36" i="70"/>
  <c r="J59" i="70"/>
  <c r="J60" i="70" s="1"/>
  <c r="Q49" i="70" s="1"/>
  <c r="C33" i="70"/>
  <c r="C31" i="70" s="1"/>
  <c r="C13" i="70"/>
  <c r="C37" i="70" s="1"/>
  <c r="Q50" i="70"/>
  <c r="U11" i="69"/>
  <c r="AB11" i="69"/>
  <c r="T48" i="69" s="1"/>
  <c r="G48" i="69" s="1"/>
  <c r="C60" i="70"/>
  <c r="C58" i="70" s="1"/>
  <c r="AC11" i="69"/>
  <c r="V48" i="69" s="1"/>
  <c r="I48" i="69" s="1"/>
  <c r="W11" i="69"/>
  <c r="S11" i="69"/>
  <c r="AA11" i="69"/>
  <c r="R48" i="69" s="1"/>
  <c r="J22" i="70"/>
  <c r="J13" i="70"/>
  <c r="J23" i="70" s="1"/>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Q71" i="70"/>
  <c r="C30" i="70"/>
  <c r="C39" i="70" s="1"/>
  <c r="C40" i="70" s="1"/>
  <c r="J16" i="70"/>
  <c r="J25" i="70" s="1"/>
  <c r="L46" i="70"/>
  <c r="C55" i="70"/>
  <c r="C64" i="70" s="1"/>
  <c r="C57" i="70" s="1"/>
  <c r="C66" i="70" s="1"/>
  <c r="C67" i="70" s="1"/>
  <c r="I52" i="69"/>
  <c r="J52" i="69" s="1"/>
  <c r="G53" i="69"/>
  <c r="H53" i="69" s="1"/>
  <c r="G52" i="69"/>
  <c r="H52" i="69" s="1"/>
  <c r="E48" i="69"/>
  <c r="R49" i="69"/>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70" i="70" l="1"/>
  <c r="Q69" i="70" s="1"/>
  <c r="J39" i="70"/>
  <c r="J40" i="70" s="1"/>
  <c r="Q68" i="70"/>
  <c r="E53" i="69"/>
  <c r="F53" i="69" s="1"/>
  <c r="E52" i="69"/>
  <c r="F52" i="69" s="1"/>
  <c r="Q57" i="70"/>
  <c r="Q63" i="70" s="1"/>
  <c r="Q48" i="70"/>
  <c r="Q54" i="70" s="1"/>
  <c r="Q66" i="70"/>
  <c r="Q76" i="70" s="1"/>
  <c r="C43" i="70"/>
  <c r="B2" i="70"/>
  <c r="J42" i="70"/>
  <c r="J43" i="70" s="1"/>
  <c r="I53" i="69"/>
  <c r="J53" i="69" s="1"/>
  <c r="C70" i="70"/>
  <c r="C46" i="70"/>
  <c r="C49" i="69"/>
  <c r="B3" i="69" s="1"/>
  <c r="C48" i="69"/>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69" l="1"/>
  <c r="F10" i="12" s="1"/>
  <c r="F8" i="12"/>
  <c r="D10" i="12"/>
  <c r="B3" i="70"/>
  <c r="D8" i="12" s="1"/>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C37"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D22" i="9"/>
  <c r="B5" i="12"/>
  <c r="B4" i="12"/>
  <c r="B3" i="12"/>
  <c r="D20" i="9"/>
  <c r="D21" i="9"/>
  <c r="G20" i="9" l="1"/>
  <c r="G21" i="9"/>
  <c r="C32" i="9"/>
  <c r="G22" i="9"/>
  <c r="N43" i="9"/>
  <c r="C45" i="9" l="1"/>
  <c r="C34" i="9"/>
  <c r="C33" i="9"/>
  <c r="C42" i="9"/>
  <c r="C44" i="9" s="1"/>
  <c r="G14" i="66" s="1"/>
  <c r="B6" i="66" s="1"/>
  <c r="D6" i="66" s="1"/>
  <c r="O43" i="9"/>
  <c r="O38" i="9"/>
  <c r="C35" i="9"/>
  <c r="F42" i="9" s="1"/>
  <c r="E44" i="9" l="1"/>
  <c r="O39" i="9"/>
  <c r="K29" i="9" s="1"/>
  <c r="K30" i="9" s="1"/>
  <c r="C6" i="66"/>
  <c r="D44" i="9"/>
  <c r="F44" i="9"/>
  <c r="N69" i="9"/>
  <c r="M84" i="9" s="1"/>
  <c r="N84" i="9" s="1"/>
  <c r="K25" i="9"/>
  <c r="K26" i="9"/>
  <c r="M38" i="9"/>
  <c r="K27" i="9" s="1"/>
  <c r="E42" i="9"/>
  <c r="P5" i="54" s="1"/>
  <c r="B46" i="63" s="1"/>
  <c r="H14" i="66"/>
  <c r="B7" i="66" s="1"/>
  <c r="F45" i="9"/>
  <c r="D45" i="9"/>
  <c r="E45" i="9"/>
  <c r="O40" i="9"/>
  <c r="D14" i="66"/>
  <c r="N68" i="9"/>
  <c r="R5" i="54"/>
  <c r="B48" i="63" s="1"/>
  <c r="D63" i="9"/>
  <c r="D73" i="9" s="1"/>
  <c r="N73" i="9" s="1"/>
  <c r="N38" i="9"/>
  <c r="K28" i="9" s="1"/>
  <c r="D42" i="9"/>
  <c r="Q5" i="54" s="1"/>
  <c r="B47" i="63" s="1"/>
  <c r="M86" i="9"/>
  <c r="N86" i="9" s="1"/>
  <c r="M85" i="9" l="1"/>
  <c r="N85" i="9" s="1"/>
  <c r="M88" i="9"/>
  <c r="N88" i="9" s="1"/>
  <c r="R6" i="54"/>
  <c r="B50" i="63" s="1"/>
  <c r="M83" i="9"/>
  <c r="N83" i="9" s="1"/>
  <c r="M87" i="9"/>
  <c r="N87" i="9"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<sst xmlns="http://schemas.openxmlformats.org/spreadsheetml/2006/main" count="7782" uniqueCount="3112">
  <si>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</si>
  <si>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</si>
  <si>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</si>
  <si>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</si>
  <si>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</si>
  <si>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</si>
  <si>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</si>
  <si>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</si>
  <si>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</si>
  <si>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</si>
  <si>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</si>
  <si>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</si>
  <si>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</si>
  <si>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</si>
  <si>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</si>
  <si>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</si>
  <si>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</si>
  <si>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</si>
  <si>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</si>
  <si>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</si>
  <si>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</si>
  <si>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</si>
  <si>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</si>
  <si>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</si>
  <si>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</si>
  <si>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</si>
  <si>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</si>
  <si>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</si>
  <si>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</si>
  <si>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</si>
  <si>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</si>
  <si>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</si>
  <si>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</si>
  <si>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</si>
  <si>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</si>
  <si>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</si>
  <si>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</si>
  <si>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</si>
  <si>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</si>
  <si>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</si>
  <si>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</si>
  <si>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</si>
  <si>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</si>
  <si>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</si>
  <si>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</si>
  <si>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</si>
  <si>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</si>
  <si>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</si>
  <si>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</si>
  <si>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</si>
  <si>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</si>
  <si>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</si>
  <si>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</si>
  <si>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</si>
  <si>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</si>
  <si>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</si>
  <si>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</si>
  <si>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</si>
  <si>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</si>
  <si>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</si>
  <si>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</si>
  <si>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</si>
  <si>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</si>
  <si>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</si>
  <si>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</si>
  <si>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</si>
  <si>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</si>
  <si>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</si>
  <si>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</si>
  <si>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</si>
  <si>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</si>
  <si>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</si>
  <si>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</si>
  <si>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</si>
  <si>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</si>
  <si>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</si>
  <si>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</si>
  <si>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</si>
  <si>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</si>
  <si>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</si>
  <si>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</si>
  <si>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</si>
  <si>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</si>
  <si>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</si>
  <si>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</si>
  <si>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</si>
  <si>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</si>
  <si>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</si>
  <si>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</si>
  <si>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</si>
  <si>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</si>
  <si>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</si>
  <si>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</si>
  <si>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</si>
  <si>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</si>
  <si>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</si>
  <si>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</si>
  <si>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</si>
  <si>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</si>
  <si>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</si>
  <si>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</si>
  <si>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</si>
  <si>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</si>
  <si>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</si>
  <si>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</si>
  <si>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</si>
  <si>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</si>
  <si>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</si>
  <si>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</si>
  <si>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</si>
  <si>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</si>
  <si>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</si>
  <si>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</si>
  <si>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</si>
  <si>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</si>
  <si>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</si>
  <si>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</si>
  <si>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</si>
  <si>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</si>
  <si>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</si>
  <si>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</si>
  <si>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</si>
  <si>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</si>
  <si>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</si>
  <si>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</si>
  <si>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</si>
  <si>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</si>
  <si>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</si>
  <si>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</si>
  <si>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</si>
  <si>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</si>
  <si>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</si>
  <si>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</si>
  <si>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</si>
  <si>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</si>
  <si>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</si>
  <si>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</si>
  <si>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</si>
  <si>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</si>
  <si>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</si>
  <si>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</si>
  <si>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</si>
  <si>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</si>
  <si>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</si>
  <si>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</si>
  <si>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</si>
  <si>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</si>
  <si>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</si>
  <si>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</si>
  <si>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</si>
  <si>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</si>
  <si>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</si>
  <si>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</si>
  <si>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</si>
  <si>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</si>
  <si>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</si>
  <si>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</si>
  <si>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</si>
  <si>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</si>
  <si>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</si>
  <si>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</si>
  <si>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</si>
  <si>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</si>
  <si>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</si>
  <si>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</si>
  <si>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</si>
  <si>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</si>
  <si>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</si>
  <si>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</si>
  <si>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</si>
  <si>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</si>
  <si>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</si>
  <si>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</si>
  <si>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</si>
  <si>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</si>
  <si>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</si>
  <si>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</si>
  <si>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</si>
  <si>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</si>
  <si>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</si>
  <si>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</si>
  <si>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</si>
  <si>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</si>
  <si>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</si>
  <si>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</si>
  <si>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</si>
  <si>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</si>
  <si>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</si>
  <si>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</si>
  <si>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</si>
  <si>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</si>
  <si>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</si>
  <si>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</si>
  <si>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</si>
  <si>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</si>
  <si>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</si>
  <si>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</si>
  <si>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</si>
  <si>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</si>
  <si>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</si>
  <si>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</si>
  <si>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</si>
  <si>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</si>
  <si>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</si>
  <si>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</si>
  <si>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</si>
  <si>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</si>
  <si>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</si>
  <si>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</si>
  <si>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</si>
  <si>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</si>
  <si>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</si>
  <si>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</si>
  <si>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</si>
  <si>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</si>
  <si>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</si>
  <si>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</si>
  <si>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</si>
  <si>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</si>
  <si>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</si>
  <si>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</si>
  <si>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</si>
  <si>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</si>
  <si>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</si>
  <si>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</si>
  <si>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</si>
  <si>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</si>
  <si>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</si>
  <si>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</si>
  <si>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</si>
  <si>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</si>
  <si>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</si>
  <si>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</si>
  <si>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</si>
  <si>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</si>
  <si>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</si>
  <si>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</si>
  <si>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</si>
  <si>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</si>
  <si>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</si>
  <si>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</si>
  <si>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</si>
  <si>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</si>
  <si>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</si>
  <si>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</si>
  <si>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</si>
  <si>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</si>
  <si>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</si>
  <si>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</si>
  <si>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</si>
  <si>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</si>
  <si>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</si>
  <si>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</si>
  <si>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</si>
  <si>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</si>
  <si>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</si>
  <si>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</si>
  <si>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</si>
  <si>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</si>
  <si>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</si>
  <si>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</si>
  <si>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</si>
  <si>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</si>
  <si>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</si>
  <si>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</si>
  <si>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</si>
  <si>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</si>
  <si>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</si>
  <si>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</si>
  <si>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</si>
  <si>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</si>
  <si>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</si>
  <si>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</si>
  <si>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</si>
  <si>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</si>
  <si>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</si>
  <si>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</si>
  <si>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</si>
  <si>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</si>
  <si>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</si>
  <si>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</si>
  <si>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</si>
  <si>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</si>
  <si>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</si>
  <si>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</si>
  <si>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</si>
  <si>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</si>
  <si>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</si>
  <si>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</si>
  <si>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</si>
  <si>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</si>
  <si>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</si>
  <si>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</si>
  <si>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</si>
  <si>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</si>
  <si>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</si>
  <si>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</si>
  <si>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</si>
  <si>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</si>
  <si>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</si>
  <si>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</si>
  <si>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</si>
  <si>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</si>
  <si>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</si>
  <si>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</si>
  <si>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</si>
  <si>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</si>
  <si>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</si>
  <si>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</si>
  <si>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</si>
  <si>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</si>
  <si>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</si>
  <si>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</si>
  <si>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</si>
  <si>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</si>
  <si>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</si>
  <si>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</si>
  <si>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</si>
  <si>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</si>
  <si>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</si>
  <si>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</si>
  <si>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</si>
  <si>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</si>
  <si>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</si>
  <si>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</si>
  <si>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</si>
  <si>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</si>
  <si>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</si>
  <si>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</si>
  <si>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</si>
  <si>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</si>
  <si>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</si>
  <si>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</si>
  <si>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</si>
  <si>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</si>
  <si>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</si>
  <si>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</si>
  <si>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</si>
  <si>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</si>
  <si>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</si>
  <si>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</si>
  <si>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</si>
  <si>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</si>
  <si>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</si>
  <si>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</si>
  <si>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</si>
  <si>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</si>
  <si>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</si>
  <si>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</si>
  <si>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</si>
  <si>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</si>
  <si>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</si>
  <si>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</si>
  <si>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</si>
  <si>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</si>
  <si>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</si>
  <si>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</si>
  <si>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</si>
  <si>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</si>
  <si>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</si>
  <si>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</si>
  <si>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</si>
  <si>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</si>
  <si>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</si>
  <si>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</si>
  <si>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</si>
  <si>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</si>
  <si>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</si>
  <si>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</si>
  <si>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</si>
  <si>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</si>
  <si>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</si>
  <si>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</si>
  <si>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</si>
  <si>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</si>
  <si>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</si>
  <si>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</si>
  <si>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</si>
  <si>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</si>
  <si>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</si>
  <si>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</si>
  <si>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</si>
  <si>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</si>
  <si>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</si>
  <si>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</si>
  <si>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</si>
  <si>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</si>
  <si>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</si>
  <si>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</si>
  <si>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</si>
  <si>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</si>
  <si>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</si>
  <si>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</si>
  <si>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</si>
  <si>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</si>
  <si>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</si>
  <si>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</si>
  <si>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</si>
  <si>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</si>
  <si>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</si>
  <si>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</si>
  <si>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</si>
  <si>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</si>
  <si>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</si>
  <si>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</si>
  <si>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</si>
  <si>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</si>
  <si>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</si>
  <si>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</si>
  <si>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</si>
  <si>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</si>
  <si>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</si>
  <si>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</si>
  <si>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</si>
  <si>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</si>
  <si>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</si>
  <si>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</si>
  <si>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</si>
  <si>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</si>
  <si>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</si>
  <si>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</si>
  <si>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</si>
  <si>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</si>
  <si>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</si>
  <si>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</si>
  <si>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</si>
  <si>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</si>
  <si>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</si>
  <si>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</si>
  <si>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</si>
  <si>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</si>
  <si>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</si>
  <si>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</si>
  <si>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</si>
  <si>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</si>
  <si>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</si>
  <si>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</si>
  <si>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</si>
  <si>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</si>
  <si>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</si>
  <si>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</si>
  <si>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</si>
  <si>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</si>
  <si>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</si>
  <si>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</si>
  <si>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</si>
  <si>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</si>
  <si>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</si>
  <si>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</si>
  <si>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</si>
  <si>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</si>
  <si>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</si>
  <si>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</si>
  <si>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</si>
  <si>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</si>
  <si>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</si>
  <si>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</si>
  <si>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</si>
  <si>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</si>
  <si>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</si>
  <si>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</si>
  <si>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</si>
  <si>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</si>
  <si>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</si>
  <si>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</si>
  <si>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</si>
  <si>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</si>
  <si>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</si>
  <si>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</si>
  <si>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</si>
  <si>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</si>
  <si>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</si>
  <si>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</si>
  <si>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</si>
  <si>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</si>
  <si>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</si>
  <si>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</si>
  <si>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</si>
  <si>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</si>
  <si>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</si>
  <si>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</si>
  <si>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</si>
  <si>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</si>
  <si>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</si>
  <si>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</si>
  <si>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</si>
  <si>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</si>
  <si>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</si>
  <si>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</si>
  <si>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</si>
  <si>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</si>
  <si>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</si>
  <si>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</si>
  <si>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</si>
  <si>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</si>
  <si>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</si>
  <si>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</si>
  <si>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</si>
  <si>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</si>
  <si>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</si>
  <si>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</si>
  <si>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</si>
  <si>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</si>
  <si>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</si>
  <si>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</si>
  <si>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</si>
  <si>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</si>
  <si>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</si>
  <si>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</si>
  <si>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</si>
  <si>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</si>
  <si>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</si>
  <si>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</si>
  <si>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</si>
  <si>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</si>
  <si>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</si>
  <si>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</si>
  <si>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</si>
  <si>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</si>
  <si>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</si>
  <si>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</si>
  <si>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</si>
  <si>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</si>
  <si>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</si>
  <si>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</si>
  <si>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</si>
  <si>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</si>
  <si>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</si>
  <si>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</si>
  <si>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</si>
  <si>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</si>
  <si>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</si>
  <si>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</si>
  <si>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</si>
  <si>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</si>
  <si>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</si>
  <si>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</si>
  <si>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</si>
  <si>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</si>
  <si>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</si>
  <si>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</si>
  <si>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</si>
  <si>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</si>
  <si>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</si>
  <si>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</si>
  <si>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</si>
  <si>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</si>
  <si>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</si>
  <si>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</si>
  <si>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</si>
  <si>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</si>
  <si>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</si>
  <si>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</si>
  <si>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</si>
  <si>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</si>
  <si>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</si>
  <si>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</si>
  <si>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</si>
  <si>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</si>
  <si>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</si>
  <si>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</si>
  <si>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</si>
  <si>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</si>
  <si>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</si>
  <si>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</si>
  <si>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</si>
  <si>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</si>
  <si>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</si>
  <si>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</si>
  <si>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</si>
  <si>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</si>
  <si>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</si>
  <si>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</si>
  <si>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</si>
  <si>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</si>
  <si>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</si>
  <si>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</si>
  <si>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</si>
  <si>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</si>
  <si>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</si>
  <si>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</si>
  <si>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</si>
  <si>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</si>
  <si>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</si>
  <si>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</si>
  <si>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</si>
  <si>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</si>
  <si>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</si>
  <si>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</si>
  <si>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</si>
  <si>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</si>
  <si>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</si>
  <si>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</si>
  <si>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</si>
  <si>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</si>
  <si>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</si>
  <si>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</si>
  <si>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</si>
  <si>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</si>
  <si>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</si>
  <si>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</si>
  <si>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</si>
  <si>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</si>
  <si>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</si>
  <si>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</si>
  <si>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</si>
  <si>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</si>
  <si>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</si>
  <si>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</si>
  <si>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</si>
  <si>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</si>
  <si>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</si>
  <si>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</si>
  <si>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</si>
  <si>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</si>
  <si>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</si>
  <si>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</si>
  <si>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</si>
  <si>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</si>
  <si>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</si>
  <si>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</si>
  <si>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</si>
  <si>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</si>
  <si>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</si>
  <si>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</si>
  <si>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</si>
  <si>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</si>
  <si>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</si>
  <si>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</si>
  <si>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</si>
  <si>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</si>
  <si>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</si>
  <si>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</si>
  <si>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</si>
  <si>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</si>
  <si>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</si>
  <si>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</si>
  <si>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</si>
  <si>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</si>
  <si>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</si>
  <si>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</si>
  <si>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</si>
  <si>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</si>
  <si>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</si>
  <si>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</si>
  <si>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</si>
  <si>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</si>
  <si>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</si>
  <si>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</si>
  <si>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</si>
  <si>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</si>
  <si>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</si>
  <si>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</si>
  <si>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</si>
  <si>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</si>
  <si>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</si>
  <si>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</si>
  <si>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</si>
  <si>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</si>
  <si>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</si>
  <si>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</si>
  <si>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</si>
  <si>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</si>
  <si>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</si>
  <si>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</si>
  <si>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</si>
  <si>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</si>
  <si>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</si>
  <si>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</si>
  <si>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</si>
  <si>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</si>
  <si>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</si>
  <si>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</si>
  <si>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</si>
  <si>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</si>
  <si>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</si>
  <si>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</si>
  <si>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</si>
  <si>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</si>
  <si>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</si>
  <si>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</si>
  <si>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</si>
  <si>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</si>
  <si>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</si>
  <si>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</si>
  <si>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</si>
  <si>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</si>
  <si>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</si>
  <si>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</si>
  <si>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</si>
  <si>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</si>
  <si>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</si>
  <si>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</si>
  <si>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</si>
  <si>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</si>
  <si>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</si>
  <si>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</si>
  <si>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</si>
  <si>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</si>
  <si>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</si>
  <si>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</si>
  <si>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</si>
  <si>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</si>
  <si>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</si>
  <si>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</si>
  <si>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</si>
  <si>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</si>
  <si>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</si>
  <si>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</si>
  <si>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</si>
  <si>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</si>
  <si>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</si>
  <si>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</si>
  <si>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</si>
  <si>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</si>
  <si>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</si>
  <si>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</si>
  <si>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</si>
  <si>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</si>
  <si>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</si>
  <si>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</si>
  <si>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</si>
  <si>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</si>
  <si>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</si>
  <si>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</si>
  <si>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</si>
  <si>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</si>
  <si>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</si>
  <si>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</si>
  <si>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</si>
  <si>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</si>
  <si>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</si>
  <si>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</si>
  <si>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</si>
  <si>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</si>
  <si>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</si>
  <si>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</si>
  <si>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</si>
  <si>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</si>
  <si>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</si>
  <si>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</si>
  <si>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</si>
  <si>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</si>
  <si>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</si>
  <si>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</si>
  <si>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</si>
  <si>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</si>
  <si>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</si>
  <si>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</si>
  <si>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</si>
  <si>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</si>
  <si>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</si>
  <si>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</si>
  <si>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</si>
  <si>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</si>
  <si>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</si>
  <si>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</si>
  <si>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</si>
  <si>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</si>
  <si>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</si>
  <si>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</si>
  <si>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</si>
  <si>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</si>
  <si>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</si>
  <si>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</si>
  <si>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</si>
  <si>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</si>
  <si>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</si>
  <si>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</si>
  <si>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</si>
  <si>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</si>
  <si>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</si>
  <si>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</si>
  <si>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</si>
  <si>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</si>
  <si>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</si>
  <si>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</si>
  <si>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</si>
  <si>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</si>
  <si>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</si>
  <si>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</si>
  <si>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</si>
  <si>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</si>
  <si>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</si>
  <si>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</si>
  <si>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</si>
  <si>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</si>
  <si>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</si>
  <si>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</si>
  <si>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</si>
  <si>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</si>
  <si>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</si>
  <si>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</si>
  <si>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</si>
  <si>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</si>
  <si>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</si>
  <si>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</si>
  <si>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</si>
  <si>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</si>
  <si>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</si>
  <si>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</si>
  <si>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</si>
  <si>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</si>
  <si>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</si>
  <si>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</si>
  <si>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</si>
  <si>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</si>
  <si>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</si>
  <si>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</si>
  <si>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</si>
  <si>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</si>
  <si>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</si>
  <si>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</si>
  <si>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</si>
  <si>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</si>
  <si>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</si>
  <si>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</si>
  <si>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</si>
  <si>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</si>
  <si>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</si>
  <si>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</si>
  <si>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</si>
  <si>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</si>
  <si>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</si>
  <si>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</si>
  <si>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</si>
  <si>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</si>
  <si>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</si>
  <si>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</si>
  <si>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</si>
  <si>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</si>
  <si>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</si>
  <si>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</si>
  <si>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</si>
  <si>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</si>
  <si>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</si>
  <si>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</si>
  <si>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</si>
  <si>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</si>
  <si>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</si>
  <si>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</si>
  <si>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</si>
  <si>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</si>
  <si>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</si>
  <si>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</si>
  <si>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</si>
  <si>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</si>
  <si>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</si>
  <si>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</si>
  <si>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</si>
  <si>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</si>
  <si>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</si>
  <si>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</si>
  <si>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</si>
  <si>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</si>
  <si>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</si>
  <si>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</si>
  <si>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</si>
  <si>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</si>
  <si>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</si>
  <si>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</si>
  <si>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</si>
  <si>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</si>
  <si>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</si>
  <si>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</si>
  <si>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</si>
  <si>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</si>
  <si>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</si>
  <si>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</si>
  <si>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</si>
  <si>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</si>
  <si>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</si>
  <si>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</si>
  <si>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</si>
  <si>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</si>
  <si>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</si>
  <si>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</si>
  <si>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</si>
  <si>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</si>
  <si>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</si>
  <si>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</si>
  <si>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</si>
  <si>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</si>
  <si>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</si>
  <si>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</si>
  <si>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</si>
  <si>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</si>
  <si>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</si>
  <si>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</si>
  <si>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</si>
  <si>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</si>
  <si>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</si>
  <si>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</si>
  <si>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</si>
  <si>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</si>
  <si>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</si>
  <si>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</si>
  <si>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</si>
  <si>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</si>
  <si>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</si>
  <si>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</si>
  <si>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</si>
  <si>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</si>
  <si>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</si>
  <si>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</si>
  <si>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</si>
  <si>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</si>
  <si>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</si>
  <si>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</si>
  <si>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</si>
  <si>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</si>
  <si>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</si>
  <si>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</si>
  <si>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</si>
  <si>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</si>
  <si>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</si>
  <si>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</si>
  <si>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</si>
  <si>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</si>
  <si>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</si>
  <si>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</si>
  <si>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</si>
  <si>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</si>
  <si>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</si>
  <si>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</si>
  <si>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</si>
  <si>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</si>
  <si>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</si>
  <si>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</si>
  <si>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</si>
  <si>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</si>
  <si>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</si>
  <si>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</si>
  <si>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</si>
  <si>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</si>
  <si>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</si>
  <si>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</si>
  <si>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</si>
  <si>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</si>
  <si>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</si>
  <si>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</si>
  <si>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</si>
  <si>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</si>
  <si>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</si>
  <si>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</si>
  <si>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</si>
  <si>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</si>
  <si>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</si>
  <si>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</si>
  <si>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</si>
  <si>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</si>
  <si>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</si>
  <si>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</si>
  <si>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</si>
  <si>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</si>
  <si>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</si>
  <si>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</si>
  <si>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</si>
  <si>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</si>
  <si>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</si>
  <si>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</si>
  <si>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</si>
  <si>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</si>
  <si>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</si>
  <si>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</si>
  <si>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</si>
  <si>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</si>
  <si>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</si>
  <si>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</si>
  <si>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</si>
  <si>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</si>
  <si>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</si>
  <si>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</si>
  <si>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</si>
  <si>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</si>
  <si>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</si>
  <si>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</si>
  <si>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</si>
  <si>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</si>
  <si>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</si>
  <si>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</si>
  <si>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</si>
  <si>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</si>
  <si>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</si>
  <si>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</si>
  <si>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</si>
  <si>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</si>
  <si>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</si>
  <si>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</si>
  <si>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</si>
  <si>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</si>
  <si>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</si>
  <si>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</si>
  <si>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</si>
  <si>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</si>
  <si>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</si>
  <si>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</si>
  <si>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</si>
  <si>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</si>
  <si>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</si>
  <si>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</si>
  <si>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</si>
  <si>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</si>
  <si>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</si>
  <si>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</si>
  <si>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</si>
  <si>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</si>
  <si>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</si>
  <si>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</si>
  <si>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</si>
  <si>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</si>
  <si>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</si>
  <si>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</si>
  <si>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</si>
  <si>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</si>
  <si>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</si>
  <si>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</si>
  <si>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</si>
  <si>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</si>
  <si>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</si>
  <si>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</si>
  <si>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</si>
  <si>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</si>
  <si>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</si>
  <si>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</si>
  <si>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</si>
  <si>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</si>
  <si>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</si>
  <si>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</si>
  <si>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</si>
  <si>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</si>
  <si>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</si>
  <si>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</si>
  <si>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</si>
  <si>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</si>
  <si>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</si>
  <si>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</si>
  <si>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</si>
  <si>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</si>
  <si>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</si>
  <si>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</si>
  <si>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</si>
  <si>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</si>
  <si>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</si>
  <si>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</si>
  <si>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</si>
  <si>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</si>
  <si>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</si>
  <si>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</si>
  <si>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</si>
  <si>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</si>
  <si>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</si>
  <si>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</si>
  <si>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</si>
  <si>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</si>
  <si>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</si>
  <si>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</si>
  <si>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</si>
  <si>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</si>
  <si>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</si>
  <si>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</si>
  <si>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</si>
  <si>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</si>
  <si>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</si>
  <si>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</si>
  <si>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</si>
  <si>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</si>
  <si>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</si>
  <si>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</si>
  <si>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</si>
  <si>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</si>
  <si>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</si>
  <si>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</si>
  <si>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</si>
  <si>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</si>
  <si>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</si>
  <si>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</si>
  <si>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</si>
  <si>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</si>
  <si>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</si>
  <si>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</si>
  <si>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</si>
  <si>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</si>
  <si>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</si>
  <si>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</si>
  <si>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</si>
  <si>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</si>
  <si>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</si>
  <si>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</si>
  <si>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</si>
  <si>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</si>
  <si>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</si>
  <si>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</si>
  <si>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</si>
  <si>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</si>
  <si>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</si>
  <si>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</si>
  <si>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</si>
  <si>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</si>
  <si>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</si>
  <si>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</si>
  <si>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</si>
  <si>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</si>
  <si>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</si>
  <si>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</si>
  <si>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</si>
  <si>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</si>
  <si>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</si>
  <si>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</si>
  <si>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</si>
  <si>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</si>
  <si>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</si>
  <si>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</si>
  <si>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</si>
  <si>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</si>
  <si>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</si>
  <si>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</si>
  <si>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</si>
  <si>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</si>
  <si>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</si>
  <si>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</si>
  <si>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</si>
  <si>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</si>
  <si>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</si>
  <si>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</si>
  <si>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</si>
  <si>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</si>
  <si>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</si>
  <si>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</si>
  <si>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</si>
  <si>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</si>
  <si>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</si>
  <si>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</si>
  <si>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</si>
  <si>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</si>
  <si>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</si>
  <si>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</si>
  <si>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</si>
  <si>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</si>
  <si>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</si>
  <si>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</si>
  <si>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</si>
  <si>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</si>
  <si>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</si>
  <si>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</si>
  <si>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</si>
  <si>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</si>
  <si>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</si>
  <si>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</si>
  <si>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</si>
  <si>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</si>
  <si>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</si>
  <si>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</si>
  <si>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</si>
  <si>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</si>
  <si>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</si>
  <si>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</si>
  <si>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</si>
  <si>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</si>
  <si>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</si>
  <si>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</si>
  <si>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</si>
  <si>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</si>
  <si>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</si>
  <si>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</si>
  <si>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</si>
  <si>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</si>
  <si>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</si>
  <si>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</si>
  <si>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</si>
  <si>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</si>
  <si>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</si>
  <si>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</si>
  <si>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</si>
  <si>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</si>
  <si>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</si>
  <si>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</si>
  <si>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</si>
  <si>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</si>
  <si>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</si>
  <si>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</si>
  <si>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</si>
  <si>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</si>
  <si>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</si>
  <si>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</si>
  <si>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</si>
  <si>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</si>
  <si>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</si>
  <si>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</si>
  <si>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</si>
  <si>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</si>
  <si>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</si>
  <si>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</si>
  <si>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</si>
  <si>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</si>
  <si>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</si>
  <si>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</si>
  <si>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</si>
  <si>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</si>
  <si>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</si>
  <si>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</si>
  <si>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</si>
  <si>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</si>
  <si>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</si>
  <si>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</si>
  <si>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</si>
  <si>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</si>
  <si>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</si>
  <si>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</si>
  <si>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</si>
  <si>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</si>
  <si>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</si>
  <si>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</si>
  <si>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</si>
  <si>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</si>
  <si>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</si>
  <si>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</si>
  <si>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</si>
  <si>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</si>
  <si>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</si>
  <si>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</si>
  <si>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</si>
  <si>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</si>
  <si>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</si>
  <si>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</si>
  <si>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</si>
  <si>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</si>
  <si>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</si>
  <si>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</si>
  <si>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</si>
  <si>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</si>
  <si>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</si>
  <si>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</si>
  <si>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</si>
  <si>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</si>
  <si>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</si>
  <si>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</si>
  <si>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</si>
  <si>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</si>
  <si>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</si>
  <si>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</si>
  <si>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</si>
  <si>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</si>
  <si>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</si>
  <si>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</si>
  <si>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</si>
  <si>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</si>
  <si>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</si>
  <si>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</si>
  <si>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</si>
  <si>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</si>
  <si>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</si>
  <si>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</si>
  <si>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</si>
  <si>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</si>
  <si>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</si>
  <si>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</si>
  <si>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</si>
  <si>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</si>
  <si>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</si>
  <si>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</si>
  <si>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</si>
  <si>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</si>
  <si>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</si>
  <si>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</si>
  <si>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</si>
  <si>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</si>
  <si>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</si>
  <si>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</si>
  <si>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</si>
  <si>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</si>
  <si>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</si>
  <si>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</si>
  <si>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</si>
  <si>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</si>
  <si>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</si>
  <si>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</si>
  <si>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</si>
  <si>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</si>
  <si>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</si>
  <si>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</si>
  <si>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</si>
  <si>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</si>
  <si>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</si>
  <si>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</si>
  <si>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</si>
  <si>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</si>
  <si>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</si>
  <si>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</si>
  <si>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</si>
  <si>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</si>
  <si>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</si>
  <si>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</si>
  <si>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</si>
  <si>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</si>
  <si>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</si>
  <si>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</si>
  <si>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</si>
  <si>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</si>
  <si>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</si>
  <si>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</si>
  <si>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</si>
  <si>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</si>
  <si>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</si>
  <si>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</si>
  <si>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</si>
  <si>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</si>
  <si>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</si>
  <si>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</si>
  <si>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</si>
  <si>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</si>
  <si>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</si>
  <si>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</si>
  <si>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</si>
  <si>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</si>
  <si>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</si>
  <si>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</si>
  <si>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</si>
  <si>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</si>
  <si>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</si>
  <si>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</si>
  <si>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</si>
  <si>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</si>
  <si>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</si>
  <si>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</si>
  <si>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</si>
  <si>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</si>
  <si>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</si>
  <si>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</si>
  <si>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</si>
  <si>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</si>
  <si>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</si>
  <si>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</si>
  <si>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</si>
  <si>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</si>
  <si>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</si>
  <si>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</si>
  <si>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</si>
  <si>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</si>
  <si>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</si>
  <si>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</si>
  <si>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</si>
  <si>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</si>
  <si>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</si>
  <si>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</si>
  <si>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</si>
  <si>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</si>
  <si>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</si>
  <si>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</si>
  <si>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</si>
  <si>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</si>
  <si>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</si>
  <si>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</si>
  <si>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</si>
  <si>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</si>
  <si>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</si>
  <si>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</si>
  <si>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</si>
  <si>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</si>
  <si>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</si>
  <si>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</si>
  <si>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</si>
  <si>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</si>
  <si>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</si>
  <si>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</si>
  <si>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</si>
  <si>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</si>
  <si>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</si>
  <si>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</si>
  <si>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</si>
  <si>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</si>
  <si>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</si>
  <si>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</si>
  <si>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</si>
  <si>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</si>
  <si>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</si>
  <si>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</si>
  <si>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</si>
  <si>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</si>
  <si>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</si>
  <si>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</si>
  <si>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</si>
  <si>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</si>
  <si>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</si>
  <si>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</si>
  <si>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</si>
  <si>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</si>
  <si>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</si>
  <si>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</si>
  <si>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</si>
  <si>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</si>
  <si>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</si>
  <si>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</si>
  <si>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</si>
  <si>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</si>
  <si>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</si>
  <si>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</si>
  <si>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</si>
  <si>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</si>
  <si>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</si>
  <si>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</si>
  <si>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</si>
  <si>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</si>
  <si>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</si>
  <si>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</si>
  <si>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</si>
  <si>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</si>
  <si>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</si>
  <si>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</si>
  <si>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</si>
  <si>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</si>
  <si>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</si>
  <si>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</si>
  <si>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</si>
  <si>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</si>
  <si>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</si>
  <si>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</si>
  <si>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</si>
  <si>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</si>
  <si>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</si>
  <si>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</si>
  <si>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</si>
  <si>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</si>
  <si>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</si>
  <si>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</si>
  <si>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</si>
  <si>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</si>
  <si>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</si>
  <si>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</si>
  <si>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</si>
  <si>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</si>
  <si>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</si>
  <si>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</si>
  <si>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</si>
  <si>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</si>
  <si>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</si>
  <si>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</si>
  <si>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</si>
  <si>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</si>
  <si>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</si>
  <si>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</si>
  <si>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</si>
  <si>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</si>
  <si>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</si>
  <si>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</si>
  <si>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</si>
  <si>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</si>
  <si>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</si>
  <si>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</si>
  <si>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</si>
  <si>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</si>
  <si>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</si>
  <si>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</si>
  <si>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</si>
  <si>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</si>
  <si>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</si>
  <si>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</si>
  <si>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</si>
  <si>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</si>
  <si>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</si>
  <si>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</si>
  <si>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</si>
  <si>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</si>
  <si>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</si>
  <si>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</si>
  <si>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</si>
  <si>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</si>
  <si>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</si>
  <si>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</si>
  <si>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</si>
  <si>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</si>
  <si>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</si>
  <si>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</si>
  <si>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</si>
  <si>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</si>
  <si>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</si>
  <si>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</si>
  <si>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</si>
  <si>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</si>
  <si>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</si>
  <si>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</si>
  <si>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</si>
  <si>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</si>
  <si>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</si>
  <si>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</si>
  <si>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</si>
  <si>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</si>
  <si>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</si>
  <si>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</si>
  <si>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</si>
  <si>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</si>
  <si>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</si>
  <si>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</si>
  <si>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</si>
  <si>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</si>
  <si>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</si>
  <si>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</si>
  <si>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</si>
  <si>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</si>
  <si>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</si>
  <si>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</si>
  <si>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</si>
  <si>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</si>
  <si>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</si>
  <si>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</si>
  <si>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</si>
  <si>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</si>
  <si>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</si>
  <si>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</si>
  <si>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</si>
  <si>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</si>
  <si>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</si>
  <si>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</si>
  <si>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</si>
  <si>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</si>
  <si>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</si>
  <si>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</si>
  <si>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</si>
  <si>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</si>
  <si>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</si>
  <si>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</si>
  <si>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</si>
  <si>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</si>
  <si>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</si>
  <si>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</si>
  <si>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</si>
  <si>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</si>
  <si>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</si>
  <si>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</si>
  <si>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</si>
  <si>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</si>
  <si>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</si>
  <si>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</si>
  <si>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</si>
  <si>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</si>
  <si>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</si>
  <si>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</si>
  <si>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</si>
  <si>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</si>
  <si>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</si>
  <si>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</si>
  <si>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</si>
  <si>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</si>
  <si>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</si>
  <si>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</si>
  <si>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</si>
  <si>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</si>
  <si>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</si>
  <si>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</si>
  <si>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</si>
  <si>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</si>
  <si>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</si>
  <si>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</si>
  <si>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</si>
  <si>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</si>
  <si>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</si>
  <si>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</si>
  <si>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</si>
  <si>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</si>
  <si>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</si>
  <si>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</si>
  <si>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</si>
  <si>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</si>
  <si>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</si>
  <si>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</si>
  <si>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</si>
  <si>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</si>
  <si>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</si>
  <si>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</si>
  <si>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</si>
  <si>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</si>
  <si>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</si>
  <si>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</si>
  <si>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</si>
  <si>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</si>
  <si>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</si>
  <si>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</si>
  <si>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</si>
  <si>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</si>
  <si>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</si>
  <si>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</si>
  <si>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</si>
  <si>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</si>
  <si>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</si>
  <si>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</si>
  <si>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</si>
  <si>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</si>
  <si>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</si>
  <si>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</si>
  <si>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</si>
  <si>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</si>
  <si>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</si>
  <si>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</si>
  <si>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</si>
  <si>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</si>
  <si>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</si>
  <si>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</si>
  <si>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</si>
  <si>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</si>
  <si>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</si>
  <si>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</si>
  <si>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</si>
  <si>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</si>
  <si>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</si>
  <si>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</si>
  <si>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</si>
  <si>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</si>
  <si>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</si>
  <si>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</si>
  <si>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</si>
  <si>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</si>
  <si>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</si>
  <si>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</si>
  <si>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</si>
  <si>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</si>
  <si>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</si>
  <si>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</si>
  <si>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</si>
  <si>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</si>
  <si>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</si>
  <si>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</si>
  <si>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</si>
  <si>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</si>
  <si>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</si>
  <si>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</si>
  <si>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</si>
  <si>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</si>
  <si>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</si>
  <si>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</si>
  <si>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</si>
  <si>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</si>
  <si>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</si>
  <si>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</si>
  <si>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</si>
  <si>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</si>
  <si>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</si>
  <si>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</si>
  <si>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</si>
  <si>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</si>
  <si>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</si>
  <si>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</si>
  <si>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</si>
  <si>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</si>
  <si>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</si>
  <si>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</si>
  <si>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</si>
  <si>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</si>
  <si>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</si>
  <si>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</si>
  <si>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</si>
  <si>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</si>
  <si>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</si>
  <si>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</si>
  <si>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</si>
  <si>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</si>
  <si>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</si>
  <si>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</si>
  <si>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</si>
  <si>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</si>
  <si>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</si>
  <si>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</si>
  <si>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</si>
  <si>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</si>
  <si>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</si>
  <si>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</si>
  <si>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</si>
  <si>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</si>
  <si>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</si>
  <si>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</si>
  <si>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</si>
  <si>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</si>
  <si>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</si>
  <si>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</si>
  <si>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</si>
  <si>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</si>
  <si>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</si>
  <si>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</si>
  <si>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</si>
  <si>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</si>
  <si>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</si>
  <si>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</si>
  <si>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</si>
  <si>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</si>
  <si>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</si>
  <si>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</si>
  <si>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</si>
  <si>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</si>
  <si>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</si>
  <si>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</si>
  <si>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</si>
  <si>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</si>
  <si>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</si>
  <si>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</si>
  <si>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</si>
  <si>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</si>
  <si>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</si>
  <si>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</si>
  <si>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</si>
  <si>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</si>
  <si>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</si>
  <si>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</si>
  <si>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</si>
  <si>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</si>
  <si>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</si>
  <si>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</si>
  <si>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</si>
  <si>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</si>
  <si>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</si>
  <si>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</si>
  <si>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</si>
  <si>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</si>
  <si>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</si>
  <si>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</si>
  <si>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</si>
  <si>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</si>
  <si>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</si>
  <si>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</si>
  <si>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</si>
  <si>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</si>
  <si>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</si>
  <si>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</si>
  <si>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</si>
  <si>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</si>
  <si>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</si>
  <si>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</si>
  <si>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</si>
  <si>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</si>
  <si>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</si>
  <si>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</si>
  <si>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</si>
  <si>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</si>
  <si>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</si>
  <si>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</si>
  <si>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</si>
  <si>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</si>
  <si>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</si>
  <si>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</si>
  <si>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</si>
  <si>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</si>
  <si>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</si>
  <si>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</si>
  <si>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</si>
  <si>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</si>
  <si>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</si>
  <si>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</si>
  <si>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</si>
  <si>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</si>
  <si>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</si>
  <si>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</si>
  <si>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</si>
  <si>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</si>
  <si>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</si>
  <si>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</si>
  <si>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</si>
  <si>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</si>
  <si>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</si>
  <si>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</si>
  <si>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</si>
  <si>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</si>
  <si>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</si>
  <si>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</si>
  <si>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</si>
  <si>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</si>
  <si>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</si>
  <si>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</si>
  <si>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</si>
  <si>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</si>
  <si>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</si>
  <si>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</si>
  <si>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</si>
  <si>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</si>
  <si>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</si>
  <si>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</si>
  <si>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</si>
  <si>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</si>
  <si>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</si>
  <si>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</si>
  <si>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</si>
  <si>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</si>
  <si>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</si>
  <si>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</si>
  <si>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</si>
  <si>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</si>
  <si>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</si>
  <si>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</si>
  <si>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</si>
  <si>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</si>
  <si>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</si>
  <si>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</si>
  <si>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</si>
  <si>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</si>
  <si>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</si>
  <si>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</si>
  <si>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</si>
  <si>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</si>
  <si>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</si>
  <si>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</si>
  <si>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</si>
  <si>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</si>
  <si>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</si>
  <si>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</si>
  <si>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</si>
  <si>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</si>
  <si>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</si>
  <si>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</si>
  <si>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</si>
  <si>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</si>
  <si>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</si>
  <si>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</si>
  <si>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</si>
  <si>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</si>
  <si>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</si>
  <si>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</si>
  <si>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</si>
  <si>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</si>
  <si>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</si>
  <si>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</si>
  <si>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</si>
  <si>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</si>
  <si>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</si>
  <si>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</si>
  <si>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</si>
  <si>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</si>
  <si>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</si>
  <si>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</si>
  <si>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</si>
  <si>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</si>
  <si>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</si>
  <si>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</si>
  <si>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</si>
  <si>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</si>
  <si>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</si>
  <si>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</si>
  <si>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</si>
  <si>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</si>
  <si>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</si>
  <si>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</si>
  <si>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</si>
  <si>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</si>
  <si>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</si>
  <si>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</si>
  <si>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</si>
  <si>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</si>
  <si>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</si>
  <si>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</si>
  <si>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</si>
  <si>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</si>
  <si>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</si>
  <si>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</si>
  <si>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</si>
  <si>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</si>
  <si>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</si>
  <si>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</si>
  <si>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</si>
  <si>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</si>
  <si>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</si>
  <si>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</si>
  <si>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</si>
  <si>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</si>
  <si>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</si>
  <si>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</si>
  <si>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</si>
  <si>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</si>
  <si>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</si>
  <si>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</si>
  <si>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</si>
  <si>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</si>
  <si>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</si>
  <si>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</si>
  <si>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</si>
  <si>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</si>
  <si>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</si>
  <si>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</si>
  <si>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</si>
  <si>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</si>
  <si>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</si>
  <si>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</si>
  <si>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</si>
  <si>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</si>
  <si>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</si>
  <si>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</si>
  <si>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</si>
  <si>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</si>
  <si>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</si>
  <si>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</si>
  <si>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</si>
  <si>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</si>
  <si>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</si>
  <si>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</si>
  <si>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</si>
  <si>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</si>
  <si>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</si>
  <si>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</si>
  <si>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</si>
  <si>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</si>
  <si>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</si>
  <si>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</si>
  <si>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</si>
  <si>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</si>
  <si>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</si>
  <si>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</si>
  <si>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</si>
  <si>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</si>
  <si>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</si>
  <si>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</si>
  <si>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</si>
  <si>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</si>
  <si>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</si>
  <si>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</si>
  <si>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</si>
  <si>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</si>
  <si>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</si>
  <si>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</si>
  <si>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</si>
  <si>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</si>
  <si>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</si>
  <si>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</si>
  <si>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</si>
  <si>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</si>
  <si>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</si>
  <si>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</si>
  <si>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</si>
  <si>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</si>
  <si>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</si>
  <si>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</si>
  <si>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</si>
  <si>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</si>
  <si>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</si>
  <si>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</si>
  <si>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</si>
  <si>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</si>
  <si>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</si>
  <si>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</si>
  <si>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</si>
  <si>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</si>
  <si>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</si>
  <si>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</si>
  <si>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</si>
  <si>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</si>
  <si>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</si>
  <si>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</si>
  <si>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</si>
  <si>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</si>
  <si>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</si>
  <si>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</si>
  <si>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</si>
  <si>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</si>
  <si>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</si>
  <si>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</si>
  <si>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</si>
  <si>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</si>
  <si>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</si>
  <si>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</si>
  <si>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</si>
  <si>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</si>
  <si>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</si>
  <si>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</si>
  <si>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</si>
  <si>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</si>
  <si>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</si>
  <si>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</si>
  <si>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</si>
  <si>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</si>
  <si>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</si>
  <si>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</si>
  <si>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</si>
  <si>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</si>
  <si>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</si>
  <si>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</si>
  <si>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</si>
  <si>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</si>
  <si>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</si>
  <si>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</si>
  <si>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</si>
  <si>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</si>
  <si>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</si>
  <si>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</si>
  <si>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</si>
  <si>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</si>
  <si>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</si>
  <si>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</si>
  <si>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</si>
  <si>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</si>
  <si>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</si>
  <si>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</si>
  <si>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</si>
  <si>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</si>
  <si>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</si>
  <si>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</si>
  <si>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</si>
  <si>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</si>
  <si>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</si>
  <si>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</si>
  <si>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</si>
  <si>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</si>
  <si>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</si>
  <si>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</si>
  <si>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</si>
  <si>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</si>
  <si>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</si>
  <si>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</si>
  <si>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</si>
  <si>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</si>
  <si>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</si>
  <si>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</si>
  <si>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</si>
  <si>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</si>
  <si>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</si>
  <si>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</si>
  <si>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</si>
  <si>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</si>
  <si>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</si>
  <si>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</si>
  <si>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</si>
  <si>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</si>
  <si>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</si>
  <si>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</si>
  <si>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</si>
  <si>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</si>
  <si>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</si>
  <si>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</si>
  <si>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</si>
  <si>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</si>
  <si>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</si>
  <si>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</si>
  <si>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</si>
  <si>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</si>
  <si>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</si>
  <si>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</si>
  <si>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</si>
  <si>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</si>
  <si>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</si>
  <si>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</si>
  <si>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</si>
  <si>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</si>
  <si>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</si>
  <si>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</si>
  <si>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</si>
  <si>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</si>
  <si>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</si>
  <si>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</si>
  <si>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</si>
  <si>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</si>
  <si>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</si>
  <si>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</si>
  <si>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</si>
  <si>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</si>
  <si>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</si>
  <si>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</si>
  <si>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</si>
  <si>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</si>
  <si>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</si>
  <si>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</si>
  <si>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</si>
  <si>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</si>
  <si>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</si>
  <si>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</si>
  <si>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</si>
  <si>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</si>
  <si>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</si>
  <si>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</si>
  <si>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</si>
  <si>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</si>
  <si>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</si>
  <si>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</si>
  <si>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</si>
  <si>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</si>
  <si>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</si>
  <si>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</si>
  <si>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</si>
  <si>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</si>
  <si>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</si>
  <si>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</si>
  <si>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</si>
  <si>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</si>
  <si>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</si>
  <si>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</si>
  <si>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</si>
  <si>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</si>
  <si>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</si>
  <si>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</si>
  <si>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</si>
  <si>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</si>
  <si>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</si>
  <si>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</si>
  <si>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</si>
  <si>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</si>
  <si>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</si>
  <si>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</si>
  <si>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</si>
  <si>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</si>
  <si>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</si>
  <si>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</si>
  <si>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</si>
  <si>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</si>
  <si>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</si>
  <si>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</si>
  <si>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</si>
  <si>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</si>
  <si>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</si>
  <si>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</si>
  <si>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</si>
  <si>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</si>
  <si>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</si>
  <si>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</si>
  <si>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</si>
  <si>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</si>
  <si>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</si>
  <si>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</si>
  <si>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</si>
  <si>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</si>
  <si>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</si>
  <si>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</si>
  <si>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</si>
  <si>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</si>
  <si>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</si>
  <si>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</si>
  <si>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</si>
  <si>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</si>
  <si>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</si>
  <si>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</si>
  <si>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</si>
  <si>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</si>
  <si>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</si>
  <si>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</si>
  <si>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</si>
  <si>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</si>
  <si>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</si>
  <si>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</si>
  <si>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</si>
  <si>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</si>
  <si>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</si>
  <si>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</si>
  <si>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</si>
  <si>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</si>
  <si>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</si>
  <si>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</si>
  <si>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</si>
  <si>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</si>
  <si>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</si>
  <si>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</si>
  <si>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</si>
  <si>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</si>
  <si>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</si>
  <si>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</si>
  <si>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</si>
  <si>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</si>
  <si>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</si>
  <si>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</si>
  <si>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</si>
  <si>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</si>
  <si>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</si>
  <si>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</si>
  <si>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</si>
  <si>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</si>
  <si>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</si>
  <si>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</si>
  <si>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</si>
  <si>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</si>
  <si>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</si>
  <si>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</si>
  <si>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</si>
  <si>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</si>
  <si>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</si>
  <si>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</si>
  <si>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</si>
  <si>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</si>
  <si>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</si>
  <si>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</si>
  <si>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</si>
  <si>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</si>
  <si>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</si>
  <si>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</si>
  <si>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</si>
  <si>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</si>
  <si>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</si>
  <si>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</si>
  <si>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</si>
  <si>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</si>
  <si>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</si>
  <si>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</si>
  <si>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</si>
  <si>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</si>
  <si>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</si>
  <si>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</si>
  <si>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</si>
  <si>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</si>
  <si>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</si>
  <si>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</si>
  <si>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</si>
  <si>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</si>
  <si>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</si>
  <si>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</si>
  <si>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</si>
  <si>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</si>
  <si>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</si>
  <si>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</si>
  <si>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</si>
  <si>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</si>
  <si>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</si>
  <si>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</si>
  <si>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</si>
  <si>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</si>
  <si>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</si>
  <si>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</si>
  <si>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</si>
  <si>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</si>
  <si>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</si>
  <si>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</si>
  <si>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</si>
  <si>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</si>
  <si>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</si>
  <si>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</si>
  <si>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</si>
  <si>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</si>
  <si>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</si>
  <si>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</si>
  <si>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</si>
  <si>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</si>
  <si>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</si>
  <si>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</si>
  <si>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</si>
  <si>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</si>
  <si>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</si>
  <si>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</si>
  <si>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</si>
  <si>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</si>
  <si>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</si>
  <si>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</si>
  <si>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</si>
  <si>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</si>
  <si>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</si>
  <si>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</si>
  <si>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</si>
  <si>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</si>
  <si>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</si>
  <si>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</si>
  <si>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</si>
  <si>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</si>
  <si>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</si>
  <si>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</si>
  <si>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</si>
  <si>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</si>
  <si>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</si>
  <si>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</si>
  <si>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</si>
  <si>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</si>
  <si>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</si>
  <si>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</si>
  <si>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</si>
  <si>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</si>
  <si>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</si>
  <si>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</si>
  <si>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</si>
  <si>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</si>
  <si>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</si>
  <si>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</si>
  <si>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</si>
  <si>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</si>
  <si>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</si>
  <si>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</si>
  <si>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</si>
  <si>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</si>
  <si>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</si>
  <si>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</si>
  <si>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</si>
  <si>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</si>
  <si>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</si>
  <si>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</si>
  <si>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</si>
  <si>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</si>
  <si>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</si>
  <si>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</si>
  <si>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</si>
  <si>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</si>
  <si>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</si>
  <si>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</si>
  <si>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</si>
  <si>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</si>
  <si>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</si>
  <si>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</si>
  <si>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</si>
  <si>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</si>
  <si>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</si>
  <si>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</si>
  <si>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</si>
  <si>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</si>
  <si>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</si>
  <si>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</si>
  <si>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</si>
  <si>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</si>
  <si>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</si>
  <si>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</si>
  <si>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</si>
  <si>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</si>
  <si>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</si>
  <si>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</si>
  <si>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</si>
  <si>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</si>
  <si>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</si>
  <si>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</si>
  <si>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</si>
  <si>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</si>
  <si>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</si>
  <si>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</si>
  <si>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</si>
  <si>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</si>
  <si>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</si>
  <si>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</si>
  <si>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</si>
  <si>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</si>
  <si>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</si>
  <si>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</si>
  <si>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</si>
  <si>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</si>
  <si>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</si>
  <si>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</si>
  <si>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</si>
  <si>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</si>
  <si>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</si>
  <si>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</si>
  <si>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</si>
  <si>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</si>
  <si>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</si>
  <si>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</si>
  <si>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</si>
  <si>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</si>
  <si>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</si>
  <si>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</si>
  <si>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</si>
  <si>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</si>
  <si>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</si>
  <si>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</si>
  <si>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</si>
  <si>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</si>
  <si>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</si>
  <si>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</si>
  <si>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</si>
  <si>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</si>
  <si>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</si>
  <si>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</si>
  <si>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</si>
  <si>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</si>
  <si>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</si>
  <si>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</si>
  <si>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</si>
  <si>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</si>
  <si>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</si>
  <si>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</si>
  <si>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</si>
  <si>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</si>
  <si>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</si>
  <si>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</si>
  <si>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</si>
  <si>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</si>
  <si>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</si>
  <si>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</si>
  <si>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</si>
  <si>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</si>
  <si>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</si>
  <si>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</si>
  <si>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</si>
  <si>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</si>
  <si>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</si>
  <si>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</si>
  <si>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</si>
  <si>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</si>
  <si>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</si>
  <si>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</si>
  <si>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</si>
  <si>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</si>
  <si>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</si>
  <si>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</si>
  <si>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</si>
  <si>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</si>
  <si>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</si>
  <si>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</si>
  <si>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</si>
  <si>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</si>
  <si>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</si>
  <si>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</si>
  <si>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</si>
  <si>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</si>
  <si>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</si>
  <si>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</si>
  <si>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</si>
  <si>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</si>
  <si>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</si>
  <si>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</si>
  <si>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</si>
  <si>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</si>
  <si>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</si>
  <si>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</si>
  <si>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</si>
  <si>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</si>
  <si>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</si>
  <si>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</si>
  <si>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</si>
  <si>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</si>
  <si>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</si>
  <si>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</si>
  <si>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</si>
  <si>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</si>
  <si>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</si>
  <si>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</si>
  <si>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</si>
  <si>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</si>
  <si>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</si>
  <si>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</si>
  <si>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</si>
  <si>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</si>
  <si>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</si>
  <si>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</si>
  <si>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</si>
  <si>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</si>
  <si>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</si>
  <si>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</si>
  <si>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</si>
  <si>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</si>
  <si>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</si>
  <si>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</si>
  <si>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</si>
  <si>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</si>
  <si>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</si>
  <si>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</si>
  <si>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</si>
  <si>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</si>
  <si>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</si>
  <si>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</si>
  <si>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</si>
  <si>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</si>
  <si>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</si>
  <si>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</si>
  <si>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</si>
  <si>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</si>
  <si>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</si>
  <si>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</si>
  <si>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</si>
  <si>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</si>
  <si>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</si>
  <si>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</si>
  <si>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</si>
  <si>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</si>
  <si>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</si>
  <si>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</si>
  <si>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</si>
  <si>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</si>
  <si>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</si>
  <si>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</si>
  <si>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</si>
  <si>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</si>
  <si>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</si>
  <si>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</si>
  <si>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</si>
  <si>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</si>
  <si>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</si>
  <si>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</si>
  <si>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</si>
  <si>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</si>
  <si>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</si>
  <si>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</si>
  <si>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</si>
  <si>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</si>
  <si>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</si>
  <si>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</si>
  <si>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</si>
  <si>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</si>
  <si>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</si>
  <si>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</si>
  <si>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</si>
  <si>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</si>
  <si>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</si>
  <si>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</si>
  <si>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</si>
  <si>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</si>
  <si>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</si>
  <si>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</si>
  <si>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</si>
  <si>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</si>
  <si>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</si>
  <si>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</si>
  <si>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</si>
  <si>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</si>
  <si>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</si>
  <si>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</si>
  <si>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</si>
  <si>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</si>
  <si>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</si>
  <si>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</si>
  <si>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</si>
  <si>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</si>
  <si>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</si>
  <si>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</si>
  <si>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</si>
  <si>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</si>
  <si>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</si>
  <si>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</si>
  <si>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</si>
  <si>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</si>
  <si>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</si>
  <si>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</si>
  <si>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</si>
  <si>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</si>
  <si>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</si>
  <si>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</si>
  <si>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</si>
  <si>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</si>
  <si>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</si>
  <si>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</si>
  <si>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</si>
  <si>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</si>
  <si>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</si>
  <si>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</si>
  <si>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</si>
  <si>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</si>
  <si>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</si>
  <si>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</si>
  <si>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</si>
  <si>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</si>
  <si>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</si>
  <si>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</si>
  <si>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</si>
  <si>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</si>
  <si>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</si>
  <si>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</si>
  <si>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</si>
  <si>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</si>
  <si>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</si>
  <si>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</si>
  <si>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</si>
  <si>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</si>
  <si>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</si>
  <si>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</si>
  <si>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</si>
  <si>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</si>
  <si>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</si>
  <si>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</si>
  <si>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</si>
  <si>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</si>
  <si>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</si>
  <si>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</si>
  <si>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</si>
  <si>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</si>
  <si>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</si>
  <si>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</si>
  <si>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</si>
  <si>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</si>
  <si>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</si>
  <si>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</si>
  <si>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</si>
  <si>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</si>
  <si>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</si>
  <si>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</si>
  <si>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</si>
  <si>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</si>
  <si>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</si>
  <si>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</si>
  <si>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</si>
  <si>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</si>
  <si>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</si>
  <si>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</si>
  <si>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</si>
  <si>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</si>
  <si>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</si>
  <si>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</si>
  <si>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</si>
  <si>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</si>
  <si>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</si>
  <si>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</si>
  <si>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</si>
  <si>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</si>
  <si>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</si>
  <si>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</si>
  <si>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</si>
  <si>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</si>
  <si>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</si>
  <si>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</si>
  <si>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</si>
  <si>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</si>
  <si>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</si>
  <si>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</si>
  <si>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</si>
  <si>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</si>
  <si>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</si>
  <si>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</si>
  <si>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</si>
  <si>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</si>
  <si>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</si>
  <si>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</si>
  <si>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</si>
  <si>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</si>
  <si>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</si>
  <si>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</si>
  <si>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</si>
  <si>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</si>
  <si>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</si>
  <si>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</si>
  <si>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</si>
  <si>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</si>
  <si>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</si>
  <si>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</si>
  <si>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</si>
  <si>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</si>
  <si>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</si>
  <si>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</si>
  <si>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</si>
  <si>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</si>
  <si>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</si>
  <si>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</si>
  <si>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</si>
  <si>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</si>
  <si>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</si>
  <si>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</si>
  <si>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</si>
  <si>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</si>
  <si>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</si>
  <si>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</si>
  <si>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</si>
  <si>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</si>
  <si>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</si>
  <si>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</si>
  <si>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</si>
  <si>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</si>
  <si>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</si>
  <si>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</si>
  <si>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</si>
  <si>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</si>
  <si>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</si>
  <si>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</si>
  <si>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</si>
  <si>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</si>
  <si>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</si>
  <si>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</si>
  <si>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</si>
  <si>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</si>
  <si>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</si>
  <si>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</si>
  <si>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</si>
  <si>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</si>
  <si>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</si>
  <si>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</si>
  <si>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</si>
  <si>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</si>
  <si>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</si>
  <si>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</si>
  <si>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</si>
  <si>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</si>
  <si>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</si>
  <si>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</si>
  <si>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</si>
  <si>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</si>
  <si>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</si>
  <si>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</si>
  <si>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</si>
  <si>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</si>
  <si>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</si>
  <si>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</si>
  <si>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</si>
  <si>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</si>
  <si>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</si>
  <si>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</si>
  <si>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</si>
  <si>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</si>
  <si>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</si>
  <si>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</si>
  <si>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</si>
  <si>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</si>
  <si>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</si>
  <si>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</si>
  <si>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</si>
  <si>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</si>
  <si>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</si>
  <si>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</si>
  <si>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</si>
  <si>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</si>
  <si>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</si>
  <si>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</si>
  <si>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</si>
  <si>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</si>
  <si>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</si>
  <si>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</si>
  <si>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</si>
  <si>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</si>
  <si>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</si>
  <si>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</si>
  <si>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</si>
  <si>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</si>
  <si>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</si>
  <si>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</si>
  <si>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</si>
  <si>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</si>
  <si>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</si>
  <si>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</si>
  <si>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</si>
  <si>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</si>
  <si>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</si>
  <si>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</si>
  <si>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</si>
  <si>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</si>
  <si>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</si>
  <si>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</si>
  <si>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</si>
  <si>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</si>
  <si>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</si>
  <si>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</si>
  <si>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</si>
  <si>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</si>
  <si>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</si>
  <si>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</si>
  <si>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</si>
  <si>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</si>
  <si>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</si>
  <si>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</si>
  <si>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</si>
  <si>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</si>
  <si>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</si>
  <si>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</si>
  <si>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</si>
  <si>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</si>
  <si>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</si>
  <si>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</si>
  <si>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</si>
  <si>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</si>
  <si>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</si>
  <si>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</si>
  <si>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</si>
  <si>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</si>
  <si>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</si>
  <si>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</si>
  <si>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</si>
  <si>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</si>
  <si>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</si>
  <si>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</si>
  <si>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</si>
  <si>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</si>
  <si>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</si>
  <si>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</si>
  <si>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</si>
  <si>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</si>
  <si>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</si>
  <si>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</si>
  <si>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</si>
  <si>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</si>
  <si>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</si>
  <si>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</si>
  <si>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</si>
  <si>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</si>
  <si>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</si>
  <si>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</si>
  <si>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</si>
  <si>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</si>
  <si>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</si>
  <si>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</si>
  <si>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</si>
  <si>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</si>
  <si>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</si>
  <si>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</si>
  <si>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</si>
  <si>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</si>
  <si>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</si>
  <si>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</si>
  <si>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</si>
  <si>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</si>
  <si>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</si>
  <si>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</si>
  <si>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</si>
  <si>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</si>
  <si>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</si>
  <si>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</si>
  <si>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</si>
  <si>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</si>
  <si>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</si>
  <si>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</si>
  <si>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</si>
  <si>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</si>
  <si>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</si>
  <si>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</si>
  <si>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</si>
  <si>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</si>
  <si>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</si>
  <si>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</si>
  <si>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</si>
  <si>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</si>
  <si>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</si>
  <si>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</si>
  <si>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</si>
  <si>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</si>
  <si>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</si>
  <si>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</si>
  <si>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</si>
  <si>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</si>
  <si>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</si>
  <si>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</si>
  <si>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</si>
  <si>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</si>
  <si>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</si>
  <si>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</si>
  <si>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</si>
  <si>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</si>
  <si>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</si>
  <si>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</si>
  <si>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</si>
  <si>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</si>
  <si>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</si>
  <si>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</si>
  <si>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</si>
  <si>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</si>
  <si>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</si>
  <si>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</si>
  <si>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</si>
  <si>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</si>
  <si>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</si>
  <si>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</si>
  <si>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</si>
  <si>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</si>
  <si>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</si>
  <si>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</si>
  <si>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</si>
  <si>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</si>
  <si>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</si>
  <si>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</si>
  <si>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</si>
  <si>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</si>
  <si>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</si>
  <si>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</si>
  <si>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</si>
  <si>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</si>
  <si>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</si>
  <si>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</si>
  <si>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</si>
  <si>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</si>
  <si>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</si>
  <si>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</si>
  <si>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</si>
  <si>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</si>
  <si>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</si>
  <si>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</si>
  <si>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</si>
  <si>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</si>
  <si>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</si>
  <si>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</si>
  <si>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</si>
  <si>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</si>
  <si>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</si>
  <si>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</si>
  <si>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</si>
  <si>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</si>
  <si>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</si>
  <si>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</si>
  <si>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</si>
  <si>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</si>
  <si>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</si>
  <si>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</si>
  <si>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</si>
  <si>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</si>
  <si>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</si>
  <si>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</si>
  <si>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</si>
  <si>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</si>
  <si>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</si>
  <si>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</si>
  <si>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</si>
  <si>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</si>
  <si>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</si>
  <si>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</si>
  <si>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</si>
  <si>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</si>
  <si>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</si>
  <si>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</si>
  <si>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</si>
  <si>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</si>
  <si>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</si>
  <si>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</si>
  <si>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</si>
  <si>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</si>
  <si>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</si>
  <si>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</si>
  <si>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</si>
  <si>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</si>
  <si>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</si>
  <si>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</si>
  <si>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</si>
  <si>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</si>
  <si>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</si>
  <si>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</si>
  <si>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</si>
  <si>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</si>
  <si>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</si>
  <si>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</si>
  <si>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</si>
  <si>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</si>
  <si>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</si>
  <si>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</si>
  <si>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</si>
  <si>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</si>
  <si>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</si>
  <si>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</si>
  <si>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</si>
  <si>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</si>
  <si>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</si>
  <si>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</si>
  <si>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</si>
  <si>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</si>
  <si>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</si>
  <si>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</si>
  <si>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</si>
  <si>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</si>
  <si>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</si>
  <si>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</si>
  <si>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</si>
  <si>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</si>
  <si>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</si>
  <si>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</si>
  <si>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</si>
  <si>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</si>
  <si>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</si>
  <si>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</si>
  <si>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</si>
  <si>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</si>
  <si>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</si>
  <si>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</si>
  <si>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</si>
  <si>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</si>
  <si>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</si>
  <si>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</si>
  <si>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</si>
  <si>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</si>
  <si>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</si>
  <si>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</si>
  <si>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</si>
  <si>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</si>
  <si>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</si>
  <si>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</si>
  <si>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</si>
  <si>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</si>
  <si>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</si>
  <si>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</si>
  <si>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</si>
  <si>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</si>
  <si>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</si>
  <si>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</si>
  <si>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</si>
  <si>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</si>
  <si>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</si>
  <si>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</si>
  <si>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</si>
  <si>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</si>
  <si>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</si>
  <si>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</si>
  <si>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</si>
  <si>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</si>
  <si>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</si>
  <si>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</si>
  <si>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</si>
  <si>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</si>
  <si>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</si>
  <si>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</si>
  <si>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</si>
  <si>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</si>
  <si>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</si>
  <si>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</si>
  <si>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</si>
  <si>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</si>
  <si>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</si>
  <si>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</si>
  <si>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</si>
  <si>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</si>
  <si>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</si>
  <si>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</si>
  <si>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</si>
  <si>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</si>
  <si>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</si>
  <si>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</si>
  <si>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</si>
  <si>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</si>
  <si>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</si>
  <si>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</si>
  <si>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豫泰国际（河南）房地产开发有限公司</t>
    <phoneticPr fontId="6" type="noConversion"/>
  </si>
  <si>
    <t>中诚信托有限责任公司</t>
    <phoneticPr fontId="6" type="noConversion"/>
  </si>
  <si>
    <t>抵押</t>
  </si>
  <si>
    <t>抵押价格</t>
  </si>
  <si>
    <t>其他：</t>
  </si>
  <si>
    <t>河南省郑州市</t>
    <phoneticPr fontId="6" type="noConversion"/>
  </si>
  <si>
    <t>惠济区金达路南北、裕泰路西</t>
    <phoneticPr fontId="6" type="noConversion"/>
  </si>
  <si>
    <t>企业</t>
  </si>
  <si>
    <t>混合住宅</t>
    <phoneticPr fontId="6" type="noConversion"/>
  </si>
  <si>
    <t>《国有土地使用证》[郑国用（2004）第0556号]</t>
    <phoneticPr fontId="6" type="noConversion"/>
  </si>
  <si>
    <t>住宅、商业</t>
    <phoneticPr fontId="6" type="noConversion"/>
  </si>
  <si>
    <t>《国有建设用地使用权出让合同》[]及附件</t>
    <phoneticPr fontId="6" type="noConversion"/>
  </si>
  <si>
    <t>商业</t>
  </si>
  <si>
    <t>出让</t>
  </si>
  <si>
    <t>住宅</t>
    <phoneticPr fontId="3" type="noConversion"/>
  </si>
  <si>
    <t>地上</t>
  </si>
  <si>
    <t>地下</t>
  </si>
  <si>
    <t>车库</t>
  </si>
  <si>
    <t>普通住宅</t>
  </si>
  <si>
    <t>底商</t>
  </si>
  <si>
    <t>住宅</t>
    <phoneticPr fontId="7" type="noConversion"/>
  </si>
  <si>
    <t>商业</t>
    <phoneticPr fontId="7" type="noConversion"/>
  </si>
  <si>
    <t>车库</t>
    <phoneticPr fontId="7" type="noConversion"/>
  </si>
  <si>
    <t>郑州四级</t>
  </si>
  <si>
    <t>郑州四级</t>
    <phoneticPr fontId="3" type="noConversion"/>
  </si>
  <si>
    <t>住宅</t>
    <phoneticPr fontId="233" type="noConversion"/>
  </si>
  <si>
    <t>商业</t>
    <phoneticPr fontId="233" type="noConversion"/>
  </si>
  <si>
    <t>70</t>
    <phoneticPr fontId="26" type="noConversion"/>
  </si>
  <si>
    <t>住宅</t>
    <phoneticPr fontId="26" type="noConversion"/>
  </si>
  <si>
    <t>正常</t>
  </si>
  <si>
    <t>一般</t>
  </si>
  <si>
    <t>售价</t>
  </si>
  <si>
    <t>60-70（含）</t>
  </si>
  <si>
    <t>50-60（含）</t>
  </si>
  <si>
    <t>住宅</t>
    <phoneticPr fontId="21" type="noConversion"/>
  </si>
  <si>
    <t>锦艺四季城</t>
    <phoneticPr fontId="3" type="noConversion"/>
  </si>
  <si>
    <t>惠济区京广快速路与天河路交接处</t>
    <phoneticPr fontId="3" type="noConversion"/>
  </si>
  <si>
    <t>和昌林与城</t>
    <phoneticPr fontId="3" type="noConversion"/>
  </si>
  <si>
    <t>惠济区天河路与绿源路向西300米</t>
    <phoneticPr fontId="3" type="noConversion"/>
  </si>
  <si>
    <t>物业及社区</t>
    <phoneticPr fontId="233" type="noConversion"/>
  </si>
  <si>
    <t>公寓</t>
  </si>
  <si>
    <t>公寓</t>
    <phoneticPr fontId="233" type="noConversion"/>
  </si>
  <si>
    <t>开闭所</t>
    <phoneticPr fontId="233" type="noConversion"/>
  </si>
  <si>
    <t>地上合计</t>
    <phoneticPr fontId="233" type="noConversion"/>
  </si>
  <si>
    <t>地下建筑</t>
    <phoneticPr fontId="233" type="noConversion"/>
  </si>
  <si>
    <t>地上办公</t>
  </si>
  <si>
    <t>不动产收益法</t>
  </si>
  <si>
    <t>钢混</t>
  </si>
  <si>
    <t>否</t>
  </si>
  <si>
    <t>土地（套用方法）</t>
  </si>
  <si>
    <t>项目全部</t>
  </si>
  <si>
    <t>土地</t>
  </si>
  <si>
    <t>比较法-住宅、综合</t>
  </si>
  <si>
    <t>剩余法-待开发</t>
  </si>
  <si>
    <t>楼面地价</t>
  </si>
  <si>
    <t>较好</t>
  </si>
  <si>
    <t>经济技术指标</t>
    <phoneticPr fontId="233" type="noConversion"/>
  </si>
  <si>
    <t>北地块</t>
    <phoneticPr fontId="233" type="noConversion"/>
  </si>
  <si>
    <t>南地块</t>
    <phoneticPr fontId="233" type="noConversion"/>
  </si>
  <si>
    <t>车位数</t>
    <phoneticPr fontId="233" type="noConversion"/>
  </si>
  <si>
    <t>幼儿园</t>
    <phoneticPr fontId="233" type="noConversion"/>
  </si>
  <si>
    <t>土地面积</t>
    <phoneticPr fontId="233" type="noConversion"/>
  </si>
  <si>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</si>
  <si>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</si>
  <si>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</si>
  <si>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</si>
  <si>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</si>
  <si>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</si>
  <si>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</si>
  <si>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</si>
  <si>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</si>
  <si>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</si>
  <si>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</si>
  <si>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凤栖街以东、安达路以北</t>
  </si>
  <si>
    <t>桑林东路东、瑞风路南</t>
  </si>
  <si>
    <t>经开第十九大街以东、四港联东大道以西</t>
  </si>
  <si>
    <t>居住品质</t>
    <phoneticPr fontId="3" type="noConversion"/>
  </si>
  <si>
    <t>纯商品房</t>
    <phoneticPr fontId="3" type="noConversion"/>
  </si>
  <si>
    <t>限价商品房</t>
    <phoneticPr fontId="3" type="noConversion"/>
  </si>
  <si>
    <t>七通一平</t>
  </si>
  <si>
    <t>六通一平</t>
  </si>
  <si>
    <t>五通一平</t>
  </si>
  <si>
    <t>四通一平</t>
  </si>
  <si>
    <t>三通一平</t>
  </si>
  <si>
    <t>七通</t>
  </si>
  <si>
    <t>双面临街</t>
  </si>
  <si>
    <t>单面临街</t>
  </si>
  <si>
    <t>主</t>
  </si>
  <si>
    <t>主</t>
    <phoneticPr fontId="26" type="noConversion"/>
  </si>
  <si>
    <t>较规则</t>
  </si>
  <si>
    <t>较规则</t>
    <phoneticPr fontId="26" type="noConversion"/>
  </si>
  <si>
    <t>较适宜</t>
  </si>
  <si>
    <t>较适宜</t>
    <phoneticPr fontId="26" type="noConversion"/>
  </si>
  <si>
    <t>较好</t>
    <phoneticPr fontId="26" type="noConversion"/>
  </si>
  <si>
    <t>精装</t>
  </si>
  <si>
    <t>精装</t>
    <phoneticPr fontId="21" type="noConversion"/>
  </si>
  <si>
    <t>精装</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</si>
  <si>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</si>
  <si>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</si>
  <si>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</si>
  <si>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</si>
  <si>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</si>
  <si>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</si>
  <si>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仅含出让金</t>
  </si>
  <si>
    <t>正弘澜庭叙</t>
    <phoneticPr fontId="3" type="noConversion"/>
  </si>
  <si>
    <t>惠济区花园路与英才街交叉口</t>
    <phoneticPr fontId="3" type="noConversion"/>
  </si>
  <si>
    <t>高板</t>
  </si>
  <si>
    <t>高板</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</si>
  <si>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</si>
  <si>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</si>
  <si>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</si>
  <si>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</si>
  <si>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</si>
  <si>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</si>
  <si>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塔楼</t>
  </si>
  <si>
    <t>塔楼</t>
    <phoneticPr fontId="233" type="noConversion"/>
  </si>
  <si>
    <t>钢混</t>
    <phoneticPr fontId="233" type="noConversion"/>
  </si>
  <si>
    <t>高档</t>
    <phoneticPr fontId="233" type="noConversion"/>
  </si>
  <si>
    <t>精装</t>
    <phoneticPr fontId="233" type="noConversion"/>
  </si>
  <si>
    <t>专业</t>
    <phoneticPr fontId="233" type="noConversion"/>
  </si>
  <si>
    <t>七通</t>
    <phoneticPr fontId="233" type="noConversion"/>
  </si>
  <si>
    <t>平层</t>
    <phoneticPr fontId="233" type="noConversion"/>
  </si>
  <si>
    <t>良库老街公寓</t>
    <phoneticPr fontId="3" type="noConversion"/>
  </si>
  <si>
    <t>自定义</t>
  </si>
  <si>
    <t>商业</t>
    <phoneticPr fontId="3" type="noConversion"/>
  </si>
  <si>
    <t>车位</t>
    <phoneticPr fontId="3" type="noConversion"/>
  </si>
  <si>
    <t>配套</t>
    <phoneticPr fontId="3" type="noConversion"/>
  </si>
  <si>
    <t>公寓</t>
    <phoneticPr fontId="3" type="noConversion"/>
  </si>
  <si>
    <t>幼儿园</t>
    <phoneticPr fontId="3" type="noConversion"/>
  </si>
  <si>
    <t>公寓</t>
    <phoneticPr fontId="7" type="noConversion"/>
  </si>
  <si>
    <r>
      <t>1.</t>
    </r>
    <r>
      <rPr>
        <sz val="10"/>
        <color indexed="8"/>
        <rFont val="宋体"/>
        <family val="3"/>
        <charset val="134"/>
      </rPr>
      <t>规划指标未经审批，是否需补缴出让金需相关证明；</t>
    </r>
    <phoneticPr fontId="9" type="noConversion"/>
  </si>
  <si>
    <r>
      <t>2.</t>
    </r>
    <r>
      <rPr>
        <sz val="10"/>
        <color indexed="8"/>
        <rFont val="宋体"/>
        <family val="3"/>
        <charset val="134"/>
      </rPr>
      <t>土地使用费？是否要考虑滞纳金？</t>
    </r>
    <phoneticPr fontId="9" type="noConversion"/>
  </si>
  <si>
    <t>非个人房产</t>
  </si>
  <si>
    <t>土地出让面积设定为土地证证载，未依据用地规证</t>
    <phoneticPr fontId="9" type="noConversion"/>
  </si>
  <si>
    <r>
      <t>3.</t>
    </r>
    <r>
      <rPr>
        <sz val="10"/>
        <color indexed="8"/>
        <rFont val="宋体"/>
        <family val="3"/>
        <charset val="134"/>
      </rPr>
      <t>净值未扣减抵押权价值</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</si>
</sst>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0" fillId="5" borderId="5" xfId="0" applyFont="1" applyFill="1" applyBorder="1" applyAlignment="1" applyProtection="1">
      <alignment horizontal="center" vertical="center"/>
      <protection locked="0"/>
    </xf>
    <xf numFmtId="0" fontId="17"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6" borderId="0" xfId="0" applyFill="1">
      <alignment vertical="center"/>
    </xf>
    <xf numFmtId="0" fontId="76" fillId="5" borderId="9" xfId="0"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11" fillId="5" borderId="2" xfId="0" applyFont="1" applyFill="1" applyBorder="1" applyAlignment="1" applyProtection="1">
      <alignment horizontal="center" vertical="center" wrapText="1"/>
    </xf>
    <xf numFmtId="178" fontId="71"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xf numFmtId="0" fontId="106" fillId="9" borderId="0" xfId="0" applyFont="1" applyFill="1" applyAlignment="1" applyProtection="1">
      <alignment horizontal="center" vertical="center"/>
      <protection locked="0"/>
    </xf>
    <xf numFmtId="0" fontId="82" fillId="0" borderId="0" xfId="0" applyFont="1" applyBorder="1" applyAlignment="1" applyProtection="1">
      <alignment horizontal="lef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河南省郑州市惠济区金达路南北、裕泰路西出让国有建设用地使用权抵押价格预评估</v>
      </c>
      <c r="AX2" s="2923"/>
      <c r="AZ2" s="2923"/>
      <c r="BA2" s="2924"/>
      <c r="BC2" s="2924"/>
    </row>
    <row r="3" spans="1:55" s="2925" customFormat="1">
      <c r="A3" s="2904" t="s">
        <v>2668</v>
      </c>
      <c r="B3" s="2907" t="str">
        <f>'预评函-封皮'!B40</f>
        <v>豫泰国际（河南）房地产开发有限公司</v>
      </c>
    </row>
    <row r="4" spans="1:55" s="2906" customFormat="1">
      <c r="A4" s="2904" t="s">
        <v>2669</v>
      </c>
      <c r="B4" s="2905" t="str">
        <f>'预评函-封皮'!B46</f>
        <v>土地估价师、土地估价师</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受贵公司委托，我公司对河南省郑州市惠济区金达路南北、裕泰路西出让国有建设用地使用权抵押价格进行了预评估。</v>
      </c>
      <c r="AM6" s="2929"/>
    </row>
    <row r="7" spans="1:55" s="2903" customFormat="1">
      <c r="A7" s="2904" t="s">
        <v>2664</v>
      </c>
      <c r="B7" s="2905" t="str">
        <f>'预评函-1'!A6</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331165.86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2666</v>
      </c>
      <c r="B10" s="2905" t="str">
        <f>'预评函-1'!A11</f>
        <v>2017年10月17日（评估专业人员勘察现场之日）</v>
      </c>
    </row>
    <row r="11" spans="1:55" s="2903" customFormat="1">
      <c r="A11" s="2904" t="s">
        <v>2672</v>
      </c>
      <c r="B11" s="2905" t="str">
        <f>'预评函-1'!A14</f>
        <v>根据《国有土地使用证》[郑国用（2004）第0556号]，本次评估估价对象证载（地类）用途为混合住宅。</v>
      </c>
    </row>
    <row r="12" spans="1:55" s="2903" customFormat="1">
      <c r="A12" s="2904" t="s">
        <v>2673</v>
      </c>
      <c r="B12" s="2905" t="str">
        <f>'预评函-1'!A15</f>
        <v>本次评估设定用途即为证载用途住宅、商业。</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根据《国有土地使用证》[]，估价对象（分摊）出让国有建设用地使用权面积为97754.96平方米。根据《建设工程规划许可证》[]、《出让合同》[]，估价对象规划建筑面积为331165.86平方米。</v>
      </c>
    </row>
    <row r="16" spans="1:55" s="2903" customFormat="1">
      <c r="A16" s="2904" t="s">
        <v>2676</v>
      </c>
      <c r="B16" s="2905" t="str">
        <f>'预评函-1'!A22</f>
        <v>本次估价对象为出让国有建设用地使用权，依据《国有土地使用证》[郑国用（2004）第0556号]、《国有建设用地使用权出让合同》[]及附件，土地终止日期为住宅2068年2月27日、商业2038年2月27日、地上办公2048年2月27日、地下车库2048年2月27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估价期日：2017年10月17日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混合住宅</v>
      </c>
      <c r="AV32" s="2909"/>
    </row>
    <row r="33" spans="1:2">
      <c r="A33" s="2904" t="s">
        <v>2720</v>
      </c>
      <c r="B33" s="2905">
        <f>'预评函-2'!F5</f>
        <v>258</v>
      </c>
    </row>
    <row r="34" spans="1:2">
      <c r="A34" s="2904" t="s">
        <v>2721</v>
      </c>
      <c r="B34" s="2905" t="str">
        <f>'预评函-2'!G5</f>
        <v>住宅、商业</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97754.96</v>
      </c>
    </row>
    <row r="44" spans="1:2">
      <c r="A44" s="2904" t="s">
        <v>2747</v>
      </c>
      <c r="B44" s="2905" t="str">
        <f>'预评函-2'!O3</f>
        <v>规划建筑面积/㎡</v>
      </c>
    </row>
    <row r="45" spans="1:2">
      <c r="A45" s="2904" t="s">
        <v>2729</v>
      </c>
      <c r="B45" s="2905">
        <f>'预评函-2'!O5</f>
        <v>331165.86</v>
      </c>
    </row>
    <row r="46" spans="1:2">
      <c r="A46" s="2904" t="s">
        <v>2730</v>
      </c>
      <c r="B46" s="2905">
        <f ca="1">'预评函-2'!P5</f>
        <v>21312</v>
      </c>
    </row>
    <row r="47" spans="1:2">
      <c r="A47" s="2904" t="s">
        <v>2731</v>
      </c>
      <c r="B47" s="2905">
        <f ca="1">'预评函-2'!Q5</f>
        <v>6291</v>
      </c>
    </row>
    <row r="48" spans="1:2">
      <c r="A48" s="2904" t="s">
        <v>2732</v>
      </c>
      <c r="B48" s="2905">
        <f ca="1">'预评函-2'!R5</f>
        <v>208331</v>
      </c>
    </row>
    <row r="49" spans="1:2">
      <c r="A49" s="2904" t="s">
        <v>2748</v>
      </c>
      <c r="B49" s="2905" t="str">
        <f>'预评函-2'!A6</f>
        <v>抵押价格</v>
      </c>
    </row>
    <row r="50" spans="1:2">
      <c r="A50" s="2904" t="s">
        <v>2733</v>
      </c>
      <c r="B50" s="2905">
        <f ca="1">'预评函-2'!R6</f>
        <v>208331</v>
      </c>
    </row>
    <row r="51" spans="1:2">
      <c r="A51" s="2904" t="s">
        <v>2749</v>
      </c>
      <c r="B51" s="2905" t="str">
        <f>'预评函-2'!A7</f>
        <v>——</v>
      </c>
    </row>
    <row r="52" spans="1:2">
      <c r="A52" s="2904" t="s">
        <v>2734</v>
      </c>
      <c r="B52" s="2905" t="str">
        <f>'预评函-2'!R7</f>
        <v>——</v>
      </c>
    </row>
    <row r="53" spans="1:2">
      <c r="A53" s="2904" t="s">
        <v>2750</v>
      </c>
      <c r="B53" s="2905" t="str">
        <f>'预评函-2'!A8</f>
        <v>抵押净值</v>
      </c>
    </row>
    <row r="54" spans="1:2" s="2919" customFormat="1" ht="15" thickBot="1">
      <c r="A54" s="2926" t="s">
        <v>2735</v>
      </c>
      <c r="B54" s="2927">
        <f ca="1">'预评函-2'!R8</f>
        <v>107749</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2545</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2546</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2547</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2548</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2549</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1" t="s">
        <v>2963</v>
      </c>
      <c r="C18" s="1556"/>
    </row>
    <row r="19" spans="1:3">
      <c r="A19" s="8" t="s">
        <v>120</v>
      </c>
      <c r="B19" s="3141" t="s">
        <v>2971</v>
      </c>
      <c r="C19" s="1556"/>
    </row>
    <row r="20" spans="1:3">
      <c r="A20" s="8" t="s">
        <v>121</v>
      </c>
      <c r="B20" s="8" t="s">
        <v>3048</v>
      </c>
      <c r="C20" s="1556"/>
    </row>
    <row r="21" spans="1:3">
      <c r="A21" s="8" t="s">
        <v>122</v>
      </c>
      <c r="B21" s="8" t="s">
        <v>1643</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豫泰国际（河南）房地产开发有限公司拟使用河南省郑州市惠济区金达路南北、裕泰路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219"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c r="D53" s="1768"/>
      <c r="E53" s="1768"/>
    </row>
    <row r="54" spans="1:5">
      <c r="A54" s="3219"/>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9"/>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9"/>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9"/>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1" customWidth="1"/>
    <col min="2" max="2" width="11.375" style="1691" customWidth="1"/>
    <col min="3" max="3" width="12.625" style="1691" customWidth="1"/>
    <col min="4" max="4" width="15.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60" t="s">
        <v>1941</v>
      </c>
      <c r="B1" s="3235" t="str">
        <f>IF(B10="北京市","北京市",C10)&amp;F10&amp;B16&amp;"国有建设用地使用权"&amp;B9&amp;"预评估"</f>
        <v>河南省郑州市惠济区金达路南北、裕泰路西出让国有建设用地使用权抵押价格预评估</v>
      </c>
      <c r="C1" s="3236"/>
      <c r="D1" s="3236"/>
      <c r="E1" s="3236"/>
      <c r="F1" s="3236"/>
      <c r="G1" s="3236"/>
      <c r="H1" s="3236"/>
      <c r="I1" s="3237"/>
      <c r="J1" s="1694"/>
      <c r="K1" s="2479" t="str">
        <f>IF(B10="北京市","北京市",C10)&amp;F10&amp;B16&amp;"国有建设用地使用权"&amp;B9</f>
        <v>河南省郑州市惠济区金达路南北、裕泰路西出让国有建设用地使用权抵押价格</v>
      </c>
      <c r="L1" s="1723"/>
      <c r="M1" s="1723"/>
      <c r="N1" s="1694"/>
      <c r="O1" s="1695"/>
      <c r="P1" s="1694"/>
      <c r="Q1" s="1694"/>
      <c r="R1" s="1694"/>
      <c r="S1" s="1694"/>
      <c r="T1" s="1694"/>
      <c r="U1" s="1694"/>
    </row>
    <row r="2" spans="1:21">
      <c r="A2" s="1661" t="s">
        <v>1942</v>
      </c>
      <c r="B2" s="1841"/>
      <c r="D2" s="1694"/>
      <c r="E2" s="1694"/>
      <c r="F2" s="1694"/>
      <c r="G2" s="1694"/>
      <c r="H2" s="1661"/>
      <c r="I2" s="1695"/>
      <c r="J2" s="1694"/>
      <c r="K2" s="2479" t="str">
        <f>IF(B10="北京市","北京市",C10)&amp;F10&amp;B16&amp;"国有建设用地使用权"</f>
        <v>河南省郑州市惠济区金达路南北、裕泰路西出让国有建设用地使用权</v>
      </c>
      <c r="L2" s="1723"/>
      <c r="M2" s="1723"/>
      <c r="N2" s="1694"/>
      <c r="O2" s="1695"/>
      <c r="P2" s="1694"/>
      <c r="Q2" s="1694"/>
      <c r="R2" s="1694"/>
      <c r="S2" s="1694"/>
      <c r="T2" s="1694"/>
      <c r="U2" s="1694"/>
    </row>
    <row r="3" spans="1:21">
      <c r="A3" s="1662" t="s">
        <v>1943</v>
      </c>
      <c r="B3" s="1663">
        <v>43025</v>
      </c>
      <c r="C3" s="1664" t="s">
        <v>1999</v>
      </c>
      <c r="D3" s="1663">
        <f>B3</f>
        <v>43025</v>
      </c>
      <c r="E3" s="1694"/>
      <c r="F3" s="1694"/>
      <c r="G3" s="1694"/>
      <c r="H3" s="1661"/>
      <c r="I3" s="1695"/>
      <c r="J3" s="1694"/>
      <c r="K3" s="1773"/>
      <c r="L3" s="1723"/>
      <c r="M3" s="1723"/>
      <c r="N3" s="1694"/>
      <c r="O3" s="1695"/>
      <c r="P3" s="1694"/>
      <c r="Q3" s="1694"/>
      <c r="R3" s="1694"/>
      <c r="S3" s="1694"/>
      <c r="T3" s="1694"/>
      <c r="U3" s="1694"/>
    </row>
    <row r="4" spans="1:21" ht="15" thickBot="1">
      <c r="A4" s="1665" t="s">
        <v>1944</v>
      </c>
      <c r="B4" s="1842" t="s">
        <v>2895</v>
      </c>
      <c r="C4" s="1845">
        <f>SUMIF(土地估价师,B4,估价师及机构信息!E3:E24)</f>
        <v>0</v>
      </c>
      <c r="D4" s="1842" t="s">
        <v>2895</v>
      </c>
      <c r="E4" s="1845">
        <f>SUMIF(土地估价师,D4,估价师及机构信息!E3:E24)</f>
        <v>0</v>
      </c>
      <c r="F4" s="1842" t="s">
        <v>953</v>
      </c>
      <c r="G4" s="1845">
        <f>SUMIF(土地估价师,F4,估价师及机构信息!E3:E24)</f>
        <v>0</v>
      </c>
      <c r="H4" s="1842" t="s">
        <v>953</v>
      </c>
      <c r="I4" s="1845">
        <f>SUMIF(土地估价师,H4,估价师及机构信息!E3:E24)</f>
        <v>0</v>
      </c>
      <c r="J4" s="1694"/>
      <c r="K4" s="2479"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6" t="s">
        <v>1945</v>
      </c>
      <c r="B5" s="1788" t="s">
        <v>2977</v>
      </c>
      <c r="C5" s="1667"/>
      <c r="D5" s="1668"/>
      <c r="E5" s="1694"/>
      <c r="F5" s="1694"/>
      <c r="G5" s="1694"/>
      <c r="H5" s="1661"/>
      <c r="I5" s="1695"/>
      <c r="J5" s="1694"/>
      <c r="K5" s="1773"/>
      <c r="L5" s="1723"/>
      <c r="M5" s="1723"/>
      <c r="N5" s="1694"/>
      <c r="O5" s="1695"/>
      <c r="P5" s="1694"/>
      <c r="Q5" s="1694"/>
      <c r="R5" s="1694"/>
      <c r="S5" s="1694"/>
      <c r="T5" s="1694"/>
      <c r="U5" s="1694"/>
    </row>
    <row r="6" spans="1:21" ht="26.25">
      <c r="A6" s="1664" t="s">
        <v>2713</v>
      </c>
      <c r="B6" s="1788" t="s">
        <v>2978</v>
      </c>
      <c r="C6" s="1761"/>
      <c r="D6" s="1669"/>
      <c r="E6" s="1694"/>
      <c r="F6" s="1694"/>
      <c r="G6" s="1694"/>
      <c r="H6" s="1661"/>
      <c r="I6" s="1695"/>
      <c r="J6" s="1694"/>
      <c r="K6" s="3079" t="str">
        <f>IF(COUNTIF(B6,"*上海银行*"),"上海银行","")</f>
        <v/>
      </c>
      <c r="L6" s="1723"/>
      <c r="M6" s="1723"/>
      <c r="N6" s="1694"/>
      <c r="O6" s="1695"/>
      <c r="P6" s="1694"/>
      <c r="Q6" s="1694"/>
      <c r="R6" s="1694"/>
      <c r="S6" s="1694"/>
      <c r="T6" s="1694"/>
      <c r="U6" s="1694"/>
    </row>
    <row r="7" spans="1:21">
      <c r="A7" s="1670" t="s">
        <v>2714</v>
      </c>
      <c r="B7" s="1788" t="str">
        <f>B5</f>
        <v>豫泰国际（河南）房地产开发有限公司</v>
      </c>
      <c r="C7" s="1761"/>
      <c r="D7" s="1669"/>
      <c r="E7" s="1694"/>
      <c r="F7" s="1694"/>
      <c r="G7" s="1694"/>
      <c r="H7" s="1661"/>
      <c r="I7" s="1695"/>
      <c r="J7" s="1694"/>
      <c r="K7" s="1773"/>
      <c r="L7" s="1723"/>
      <c r="M7" s="1723"/>
      <c r="N7" s="1694"/>
      <c r="O7" s="1695"/>
      <c r="P7" s="1694"/>
      <c r="Q7" s="1694"/>
      <c r="R7" s="1694"/>
      <c r="S7" s="1694"/>
      <c r="T7" s="1694"/>
      <c r="U7" s="1694"/>
    </row>
    <row r="8" spans="1:21">
      <c r="A8" s="1670" t="s">
        <v>1946</v>
      </c>
      <c r="B8" s="1671" t="s">
        <v>2979</v>
      </c>
      <c r="C8" s="1672"/>
      <c r="D8" s="3241" t="s">
        <v>1948</v>
      </c>
      <c r="E8" s="1843" t="s">
        <v>2980</v>
      </c>
      <c r="F8" s="1673"/>
      <c r="G8" s="1661"/>
      <c r="H8" s="1661"/>
      <c r="I8" s="1707"/>
      <c r="J8" s="1694"/>
      <c r="K8" s="1773"/>
      <c r="L8" s="1723"/>
      <c r="M8" s="1723"/>
      <c r="N8" s="1694"/>
      <c r="O8" s="1695"/>
      <c r="P8" s="1694"/>
      <c r="Q8" s="1694"/>
      <c r="R8" s="1694"/>
      <c r="S8" s="1694"/>
      <c r="T8" s="1694"/>
      <c r="U8" s="1694"/>
    </row>
    <row r="9" spans="1:21" ht="15" thickBot="1">
      <c r="A9" s="1674" t="s">
        <v>1947</v>
      </c>
      <c r="B9" s="1675" t="s">
        <v>2980</v>
      </c>
      <c r="C9" s="1676"/>
      <c r="D9" s="3242"/>
      <c r="E9" s="1675" t="s">
        <v>2861</v>
      </c>
      <c r="F9" s="1747"/>
      <c r="G9" s="1742"/>
      <c r="H9" s="1742"/>
      <c r="I9" s="1743"/>
      <c r="J9" s="1694"/>
      <c r="K9" s="1773"/>
      <c r="L9" s="1723"/>
      <c r="M9" s="1723"/>
      <c r="N9" s="1694"/>
      <c r="O9" s="1695"/>
      <c r="P9" s="1694"/>
      <c r="Q9" s="1694"/>
      <c r="R9" s="1694"/>
      <c r="S9" s="1694"/>
      <c r="T9" s="1694"/>
      <c r="U9" s="1694"/>
    </row>
    <row r="10" spans="1:21" ht="15" thickTop="1">
      <c r="A10" s="1744" t="s">
        <v>2003</v>
      </c>
      <c r="B10" s="1719" t="s">
        <v>2981</v>
      </c>
      <c r="C10" s="1677" t="s">
        <v>2982</v>
      </c>
      <c r="D10" s="1668"/>
      <c r="E10" s="1678" t="s">
        <v>1950</v>
      </c>
      <c r="F10" s="1679" t="s">
        <v>2983</v>
      </c>
      <c r="G10" s="1745"/>
      <c r="H10" s="1746"/>
      <c r="I10" s="1668"/>
      <c r="J10" s="1694"/>
      <c r="K10" s="1773"/>
      <c r="L10" s="1723"/>
      <c r="M10" s="1723"/>
      <c r="N10" s="1694"/>
      <c r="O10" s="1695"/>
      <c r="P10" s="1694"/>
      <c r="Q10" s="1694"/>
      <c r="R10" s="1694"/>
      <c r="S10" s="1694"/>
      <c r="T10" s="1694"/>
      <c r="U10" s="1694"/>
    </row>
    <row r="11" spans="1:21">
      <c r="A11" s="1697" t="s">
        <v>2004</v>
      </c>
      <c r="B11" s="1698" t="s">
        <v>2984</v>
      </c>
      <c r="C11" s="3184" t="str">
        <f>B7</f>
        <v>豫泰国际（河南）房地产开发有限公司</v>
      </c>
      <c r="D11" s="3185"/>
      <c r="E11" s="1661"/>
      <c r="F11" s="1661"/>
      <c r="G11" s="1661"/>
      <c r="H11" s="1661"/>
      <c r="I11" s="1661"/>
      <c r="J11" s="1694"/>
      <c r="K11" s="1773"/>
      <c r="L11" s="1723"/>
      <c r="M11" s="1723"/>
      <c r="N11" s="1694"/>
      <c r="O11" s="1695"/>
      <c r="P11" s="1694"/>
      <c r="Q11" s="1694"/>
      <c r="R11" s="1694"/>
      <c r="S11" s="1694"/>
      <c r="T11" s="1694"/>
      <c r="U11" s="1694"/>
    </row>
    <row r="12" spans="1:21">
      <c r="A12" s="1784" t="s">
        <v>2062</v>
      </c>
      <c r="B12" s="3238" t="s">
        <v>2985</v>
      </c>
      <c r="C12" s="3239"/>
      <c r="D12" s="3240"/>
      <c r="E12" s="1699" t="s">
        <v>2065</v>
      </c>
      <c r="F12" s="3256" t="s">
        <v>2986</v>
      </c>
      <c r="G12" s="3257"/>
      <c r="H12" s="3257"/>
      <c r="I12" s="3258"/>
      <c r="J12" s="1694"/>
      <c r="K12" s="1773"/>
      <c r="L12" s="1723"/>
      <c r="M12" s="1723"/>
      <c r="N12" s="1694"/>
      <c r="O12" s="1695"/>
      <c r="P12" s="1694"/>
      <c r="Q12" s="1694"/>
      <c r="R12" s="1694"/>
      <c r="S12" s="1694"/>
      <c r="T12" s="1694"/>
      <c r="U12" s="1694"/>
    </row>
    <row r="13" spans="1:21">
      <c r="A13" s="1687" t="s">
        <v>2063</v>
      </c>
      <c r="B13" s="3238" t="s">
        <v>2987</v>
      </c>
      <c r="C13" s="3239"/>
      <c r="D13" s="3240"/>
      <c r="E13" s="1699" t="s">
        <v>2065</v>
      </c>
      <c r="F13" s="3256" t="s">
        <v>2988</v>
      </c>
      <c r="G13" s="3257"/>
      <c r="H13" s="3257"/>
      <c r="I13" s="3258"/>
      <c r="J13" s="1694"/>
      <c r="K13" s="1773"/>
      <c r="L13" s="1723"/>
      <c r="M13" s="1723"/>
      <c r="N13" s="1694"/>
      <c r="O13" s="1695"/>
      <c r="P13" s="1694"/>
      <c r="Q13" s="1694"/>
      <c r="R13" s="1694"/>
      <c r="S13" s="1694"/>
      <c r="T13" s="1694"/>
      <c r="U13" s="1694"/>
    </row>
    <row r="14" spans="1:21">
      <c r="A14" s="1662" t="s">
        <v>2066</v>
      </c>
      <c r="B14" s="1699"/>
      <c r="C14" s="1844"/>
      <c r="D14" s="1733" t="str">
        <f>IF(C14="不一致","是否符合证载地类范围","")</f>
        <v/>
      </c>
      <c r="E14" s="1699"/>
      <c r="F14" s="1789"/>
      <c r="G14" s="1728"/>
      <c r="H14" s="1728"/>
      <c r="I14" s="1836"/>
      <c r="J14" s="1694"/>
      <c r="K14" s="1773"/>
      <c r="L14" s="1723"/>
      <c r="M14" s="1723"/>
      <c r="N14" s="1694"/>
      <c r="O14" s="1695"/>
      <c r="P14" s="1694"/>
      <c r="Q14" s="1694"/>
      <c r="R14" s="1694"/>
      <c r="S14" s="1694"/>
      <c r="T14" s="1694"/>
      <c r="U14" s="1694"/>
    </row>
    <row r="15" spans="1:21" hidden="1">
      <c r="A15" s="2670"/>
      <c r="B15" s="1664"/>
      <c r="C15" s="1664"/>
      <c r="D15" s="1765" t="s">
        <v>1953</v>
      </c>
      <c r="E15" s="1765" t="s">
        <v>1954</v>
      </c>
      <c r="F15" s="1765" t="s">
        <v>1955</v>
      </c>
      <c r="G15" s="1686" t="s">
        <v>1956</v>
      </c>
      <c r="H15" s="1686" t="s">
        <v>1957</v>
      </c>
      <c r="I15" s="1686" t="s">
        <v>1958</v>
      </c>
      <c r="J15" s="1694"/>
      <c r="K15" s="1773"/>
      <c r="L15" s="1723"/>
      <c r="M15" s="1723"/>
      <c r="N15" s="1694"/>
      <c r="O15" s="1695"/>
      <c r="P15" s="1694"/>
      <c r="Q15" s="1694"/>
      <c r="R15" s="1694"/>
      <c r="S15" s="1694"/>
      <c r="T15" s="1694"/>
      <c r="U15" s="1694"/>
    </row>
    <row r="16" spans="1:21" ht="42.75">
      <c r="A16" s="1680" t="s">
        <v>1951</v>
      </c>
      <c r="B16" s="1681" t="s">
        <v>2990</v>
      </c>
      <c r="C16" s="1699" t="s">
        <v>1952</v>
      </c>
      <c r="D16" s="2671" t="s">
        <v>1953</v>
      </c>
      <c r="E16" s="1722" t="s">
        <v>2989</v>
      </c>
      <c r="F16" s="1722" t="s">
        <v>3022</v>
      </c>
      <c r="G16" s="1722" t="s">
        <v>35</v>
      </c>
      <c r="H16" s="1722"/>
      <c r="I16" s="1686" t="s">
        <v>1958</v>
      </c>
      <c r="J16" s="1694"/>
      <c r="K16" s="2480" t="str">
        <f>IF(D17="","",D16&amp;TEXT(D17,"yyyy年m月d日;;"))</f>
        <v>住宅2068年2月27日</v>
      </c>
      <c r="L16" s="1699" t="str">
        <f>IF(OR(K16="",M16=""),"","、")</f>
        <v>、</v>
      </c>
      <c r="M16" s="2480" t="str">
        <f>IF(E17="","",E16&amp;TEXT(E17,"yyyy年m月d日;;"))</f>
        <v>商业2038年2月27日</v>
      </c>
      <c r="N16" s="1699" t="str">
        <f>IF(OR(M16="",O16=""),"","、")</f>
        <v>、</v>
      </c>
      <c r="O16" s="2480" t="str">
        <f>IF(F17="","",F16&amp;TEXT(F17,"yyyy年m月d日;;"))</f>
        <v>地上办公2048年2月27日</v>
      </c>
      <c r="P16" s="1699" t="str">
        <f>IF(OR(O16="",Q16=""),"","、")</f>
        <v>、</v>
      </c>
      <c r="Q16" s="2480" t="str">
        <f>IF(G17="","",G16&amp;TEXT(G17,"yyyy年m月d日;;"))</f>
        <v>地下车库2048年2月27日</v>
      </c>
      <c r="R16" s="1699" t="str">
        <f>IF(OR(Q16="",S16=""),"","、")</f>
        <v/>
      </c>
      <c r="S16" s="2480" t="str">
        <f>IF(H17="","",H16&amp;TEXT(H17,"yyyy年m月d日;;"))</f>
        <v/>
      </c>
      <c r="T16" s="1699" t="str">
        <f>IF(OR(S16="",U16=""),"","、")</f>
        <v/>
      </c>
      <c r="U16" s="2480" t="str">
        <f>IF(I17="","",I16&amp;TEXT(I17,"yyyy年m月d日;;"))</f>
        <v/>
      </c>
    </row>
    <row r="17" spans="1:21">
      <c r="A17" s="1762"/>
      <c r="B17" s="1682"/>
      <c r="C17" s="1683" t="s">
        <v>1959</v>
      </c>
      <c r="D17" s="1700">
        <v>61420</v>
      </c>
      <c r="E17" s="1700">
        <v>50463</v>
      </c>
      <c r="F17" s="1700">
        <f>G17</f>
        <v>54115</v>
      </c>
      <c r="G17" s="1700">
        <v>54115</v>
      </c>
      <c r="H17" s="1700"/>
      <c r="I17" s="1700"/>
      <c r="J17" s="1694"/>
      <c r="K17" s="2479" t="str">
        <f>CONCATENATE(K16,L16,M16,N16,O16,P16,Q16,R16,S16,T16,,U16)</f>
        <v>住宅2068年2月27日、商业2038年2月27日、地上办公2048年2月27日、地下车库2048年2月27日</v>
      </c>
      <c r="L17" s="1723"/>
      <c r="M17" s="1723"/>
      <c r="N17" s="1694"/>
      <c r="O17" s="1695"/>
      <c r="P17" s="1694"/>
      <c r="Q17" s="1694"/>
      <c r="R17" s="1694"/>
      <c r="S17" s="1694"/>
      <c r="T17" s="1694"/>
      <c r="U17" s="1694"/>
    </row>
    <row r="18" spans="1:21">
      <c r="A18" s="1762"/>
      <c r="B18" s="1682"/>
      <c r="C18" s="1683" t="s">
        <v>1960</v>
      </c>
      <c r="D18" s="1684">
        <v>70</v>
      </c>
      <c r="E18" s="1684">
        <v>40</v>
      </c>
      <c r="F18" s="1684">
        <v>50</v>
      </c>
      <c r="G18" s="1684">
        <v>50</v>
      </c>
      <c r="H18" s="1684"/>
      <c r="I18" s="1684"/>
      <c r="J18" s="1694"/>
      <c r="K18" s="1773"/>
      <c r="L18" s="1723"/>
      <c r="M18" s="1723"/>
      <c r="N18" s="1694"/>
      <c r="O18" s="1695"/>
      <c r="P18" s="1694"/>
      <c r="Q18" s="1694"/>
      <c r="R18" s="1694"/>
      <c r="S18" s="1694"/>
      <c r="T18" s="1694"/>
      <c r="U18" s="1694"/>
    </row>
    <row r="19" spans="1:21">
      <c r="A19" s="1762"/>
      <c r="B19" s="1682"/>
      <c r="C19" s="1661" t="s">
        <v>1961</v>
      </c>
      <c r="D19" s="1758">
        <f>IF(B16="出让",IF(D17="","",ROUNDDOWN(MIN((D17-$D$3)/365,D18),2)),D18)</f>
        <v>50.39</v>
      </c>
      <c r="E19" s="1685">
        <f>IF(B16="出让",IF(E17="","",ROUNDDOWN(MIN((E17-$D$3)/365,E18),2)),E18)</f>
        <v>20.37</v>
      </c>
      <c r="F19" s="1685">
        <f>IF(B16="出让",IF(F17="","",ROUNDDOWN(MIN((F17-$D$3)/365,F18),2)),F18)</f>
        <v>30.38</v>
      </c>
      <c r="G19" s="1685">
        <f>IF(B16="出让",IF(G17="","",ROUNDDOWN(MIN((G17-$D$3)/365,G18),2)),G18)</f>
        <v>30.38</v>
      </c>
      <c r="H19" s="1685" t="str">
        <f>IF(B16="出让",IF(H17="","",ROUNDDOWN(MIN((H17-$D$3)/365,H18),2)),H18)</f>
        <v/>
      </c>
      <c r="I19" s="1685" t="str">
        <f>IF(B16="出让",IF(I17="","",ROUNDDOWN(MIN((I17-$D$3)/365,I18),2)),I18)</f>
        <v/>
      </c>
      <c r="J19" s="1694"/>
      <c r="K19" s="1773"/>
      <c r="L19" s="1723"/>
      <c r="M19" s="1723"/>
      <c r="N19" s="1694"/>
      <c r="O19" s="1695"/>
      <c r="P19" s="1694"/>
      <c r="Q19" s="1694"/>
      <c r="R19" s="1694"/>
      <c r="S19" s="1694"/>
      <c r="T19" s="1694"/>
      <c r="U19" s="1694"/>
    </row>
    <row r="20" spans="1:21">
      <c r="A20" s="1785"/>
      <c r="B20" s="1786"/>
      <c r="C20" s="1787" t="s">
        <v>2064</v>
      </c>
      <c r="D20" s="3253"/>
      <c r="E20" s="3254"/>
      <c r="F20" s="3254"/>
      <c r="G20" s="3254"/>
      <c r="H20" s="3254"/>
      <c r="I20" s="3255"/>
      <c r="J20" s="1694"/>
      <c r="K20" s="1773"/>
      <c r="L20" s="1723"/>
      <c r="M20" s="1723"/>
      <c r="N20" s="1694"/>
      <c r="O20" s="1695"/>
      <c r="P20" s="1694"/>
      <c r="Q20" s="1694"/>
      <c r="R20" s="1694"/>
      <c r="S20" s="1694"/>
      <c r="T20" s="1694"/>
      <c r="U20" s="1694"/>
    </row>
    <row r="21" spans="1:21">
      <c r="A21" s="1762" t="s">
        <v>1962</v>
      </c>
      <c r="B21" s="1763" t="s">
        <v>1963</v>
      </c>
      <c r="C21" s="1759">
        <f>'数据-汇总表'!E3</f>
        <v>331165.86</v>
      </c>
      <c r="D21" s="1760" t="s">
        <v>1964</v>
      </c>
      <c r="E21" s="3243" t="s">
        <v>2002</v>
      </c>
      <c r="F21" s="3244"/>
      <c r="G21" s="3244"/>
      <c r="H21" s="3244"/>
      <c r="I21" s="3245"/>
      <c r="J21" s="1694"/>
      <c r="K21" s="1773"/>
      <c r="L21" s="1723"/>
      <c r="M21" s="1723"/>
      <c r="N21" s="1694"/>
      <c r="O21" s="1695"/>
      <c r="P21" s="1694"/>
      <c r="Q21" s="1694"/>
      <c r="R21" s="1694"/>
      <c r="S21" s="1694"/>
      <c r="T21" s="1694"/>
      <c r="U21" s="1694"/>
    </row>
    <row r="22" spans="1:21">
      <c r="A22" s="2662" t="s">
        <v>953</v>
      </c>
      <c r="B22" s="1662" t="s">
        <v>1965</v>
      </c>
      <c r="C22" s="1686">
        <f>'数据-汇总表'!D3</f>
        <v>97754.96</v>
      </c>
      <c r="D22" s="1687" t="s">
        <v>1964</v>
      </c>
      <c r="E22" s="3243" t="s">
        <v>2896</v>
      </c>
      <c r="F22" s="3244"/>
      <c r="G22" s="3244"/>
      <c r="H22" s="3244"/>
      <c r="I22" s="3245"/>
      <c r="J22" s="1694"/>
      <c r="K22" s="1773"/>
      <c r="L22" s="1723"/>
      <c r="M22" s="1723"/>
      <c r="N22" s="1694"/>
      <c r="O22" s="1695"/>
      <c r="P22" s="1694"/>
      <c r="Q22" s="1694"/>
      <c r="R22" s="1694"/>
      <c r="S22" s="1694"/>
      <c r="T22" s="1694"/>
      <c r="U22" s="1694"/>
    </row>
    <row r="23" spans="1:21" ht="29.25" thickBot="1">
      <c r="A23" s="1764" t="s">
        <v>1966</v>
      </c>
      <c r="B23" s="1701" t="s">
        <v>1967</v>
      </c>
      <c r="C23" s="1702"/>
      <c r="D23" s="1703" t="s">
        <v>1968</v>
      </c>
      <c r="E23" s="1704"/>
      <c r="F23" s="1705" t="str">
        <f>IF(AND(C23="是",E23="否"),"是否提供他项权证或相关说明","")</f>
        <v/>
      </c>
      <c r="G23" s="1706"/>
      <c r="H23" s="1694"/>
      <c r="I23" s="1707"/>
      <c r="J23" s="1694"/>
      <c r="K23" s="1773"/>
      <c r="L23" s="1723"/>
      <c r="M23" s="1723"/>
      <c r="N23" s="1694"/>
      <c r="O23" s="1695"/>
      <c r="P23" s="1694"/>
      <c r="Q23" s="1694"/>
      <c r="R23" s="1694"/>
      <c r="S23" s="1694"/>
      <c r="T23" s="1694"/>
      <c r="U23" s="1694"/>
    </row>
    <row r="24" spans="1:21">
      <c r="A24" s="1750" t="s">
        <v>1969</v>
      </c>
      <c r="B24" s="3246" t="s">
        <v>1970</v>
      </c>
      <c r="C24" s="3247"/>
      <c r="D24" s="3248" t="s">
        <v>1971</v>
      </c>
      <c r="E24" s="3249"/>
      <c r="F24" s="1708" t="s">
        <v>1972</v>
      </c>
      <c r="G24" s="1694"/>
      <c r="H24" s="1694"/>
      <c r="I24" s="1707"/>
      <c r="J24" s="1694"/>
      <c r="K24" s="3234"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3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1"/>
      <c r="E26" s="1661"/>
      <c r="F26" s="1688"/>
      <c r="G26" s="1694"/>
      <c r="H26" s="1694"/>
      <c r="I26" s="1707"/>
      <c r="J26" s="1694"/>
      <c r="K26" s="323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6" t="s">
        <v>1977</v>
      </c>
      <c r="E27" s="1714"/>
      <c r="F27" s="1688"/>
      <c r="G27" s="1694"/>
      <c r="H27" s="1694"/>
      <c r="I27" s="1707"/>
      <c r="J27" s="1694"/>
      <c r="K27" s="1773"/>
      <c r="L27" s="1723"/>
      <c r="M27" s="1723"/>
      <c r="N27" s="1694"/>
      <c r="O27" s="1695"/>
      <c r="P27" s="1694"/>
      <c r="Q27" s="1694"/>
      <c r="R27" s="1694"/>
      <c r="S27" s="1694"/>
      <c r="T27" s="1694"/>
      <c r="U27" s="1694"/>
    </row>
    <row r="28" spans="1:21">
      <c r="A28" s="1756"/>
      <c r="B28" s="1753" t="s">
        <v>1978</v>
      </c>
      <c r="C28" s="1715"/>
      <c r="D28" s="2677" t="s">
        <v>1978</v>
      </c>
      <c r="E28" s="1716"/>
      <c r="F28" s="1688"/>
      <c r="G28" s="1694"/>
      <c r="H28" s="1694"/>
      <c r="I28" s="1707"/>
      <c r="J28" s="1694"/>
      <c r="K28" s="1773"/>
      <c r="L28" s="1723"/>
      <c r="M28" s="1723"/>
      <c r="N28" s="1694"/>
      <c r="O28" s="1695"/>
      <c r="P28" s="1694"/>
      <c r="Q28" s="1694"/>
      <c r="R28" s="1694"/>
      <c r="S28" s="1694"/>
      <c r="T28" s="1694"/>
      <c r="U28" s="1694"/>
    </row>
    <row r="29" spans="1:21">
      <c r="A29" s="1756"/>
      <c r="B29" s="1753" t="s">
        <v>1979</v>
      </c>
      <c r="C29" s="1715"/>
      <c r="D29" s="2677" t="s">
        <v>1979</v>
      </c>
      <c r="E29" s="1716"/>
      <c r="F29" s="1688"/>
      <c r="G29" s="1694"/>
      <c r="H29" s="1694"/>
      <c r="I29" s="1707"/>
      <c r="J29" s="1694"/>
      <c r="K29" s="1773"/>
      <c r="L29" s="1723"/>
      <c r="M29" s="1723"/>
      <c r="N29" s="1694"/>
      <c r="O29" s="1695"/>
      <c r="P29" s="1694"/>
      <c r="Q29" s="1694"/>
      <c r="R29" s="1694"/>
      <c r="S29" s="1694"/>
      <c r="T29" s="1694"/>
      <c r="U29" s="1694"/>
    </row>
    <row r="30" spans="1:21" ht="15" thickBot="1">
      <c r="A30" s="1757"/>
      <c r="B30" s="1754" t="s">
        <v>1980</v>
      </c>
      <c r="C30" s="1717"/>
      <c r="D30" s="2678" t="s">
        <v>1980</v>
      </c>
      <c r="E30" s="1718"/>
      <c r="F30" s="1689"/>
      <c r="G30" s="1742"/>
      <c r="H30" s="1742"/>
      <c r="I30" s="1743"/>
      <c r="J30" s="1694"/>
      <c r="K30" s="1773"/>
      <c r="L30" s="1723"/>
      <c r="M30" s="1723"/>
      <c r="N30" s="1694"/>
      <c r="O30" s="1695"/>
      <c r="P30" s="1694"/>
      <c r="Q30" s="1694"/>
      <c r="R30" s="1694"/>
      <c r="S30" s="1694"/>
      <c r="T30" s="1694"/>
      <c r="U30" s="1694"/>
    </row>
    <row r="31" spans="1:21" ht="15" thickTop="1">
      <c r="A31" s="3220" t="s">
        <v>2005</v>
      </c>
      <c r="B31" s="1763" t="s">
        <v>2006</v>
      </c>
      <c r="C31" s="3259"/>
      <c r="D31" s="3260"/>
      <c r="E31" s="1694"/>
      <c r="F31" s="1694"/>
      <c r="G31" s="1694"/>
      <c r="H31" s="1694"/>
      <c r="I31" s="1707"/>
      <c r="J31" s="1694"/>
      <c r="K31" s="2482"/>
      <c r="L31" s="1694"/>
      <c r="M31" s="1694"/>
      <c r="N31" s="1694"/>
      <c r="O31" s="1694"/>
      <c r="P31" s="1694"/>
      <c r="Q31" s="1694"/>
      <c r="R31" s="1694"/>
      <c r="S31" s="1694"/>
      <c r="T31" s="1694"/>
      <c r="U31" s="1694"/>
    </row>
    <row r="32" spans="1:21">
      <c r="A32" s="3220"/>
      <c r="B32" s="1662" t="s">
        <v>2007</v>
      </c>
      <c r="C32" s="1719"/>
      <c r="D32" s="1720"/>
      <c r="E32" s="1694"/>
      <c r="F32" s="1694"/>
      <c r="G32" s="1694"/>
      <c r="H32" s="1694"/>
      <c r="I32" s="1707"/>
      <c r="J32" s="1694"/>
      <c r="K32" s="2482"/>
      <c r="L32" s="1694"/>
      <c r="M32" s="1694"/>
      <c r="N32" s="1694"/>
      <c r="O32" s="1694"/>
      <c r="P32" s="1694"/>
      <c r="Q32" s="1694"/>
      <c r="R32" s="1694"/>
      <c r="S32" s="1694"/>
      <c r="T32" s="1694"/>
      <c r="U32" s="1694"/>
    </row>
    <row r="33" spans="1:21">
      <c r="A33" s="3220"/>
      <c r="B33" s="1662" t="s">
        <v>2008</v>
      </c>
      <c r="C33" s="1721"/>
      <c r="D33" s="1837"/>
      <c r="E33" s="1694"/>
      <c r="F33" s="1694"/>
      <c r="G33" s="1694"/>
      <c r="H33" s="1694"/>
      <c r="I33" s="1707"/>
      <c r="J33" s="1694"/>
      <c r="K33" s="2482"/>
      <c r="L33" s="1694"/>
      <c r="M33" s="1694"/>
      <c r="N33" s="1694"/>
      <c r="O33" s="1694"/>
      <c r="P33" s="1694"/>
      <c r="Q33" s="1694"/>
      <c r="R33" s="1694"/>
      <c r="S33" s="1694"/>
      <c r="T33" s="1694"/>
      <c r="U33" s="1694"/>
    </row>
    <row r="34" spans="1:21">
      <c r="A34" s="3221"/>
      <c r="B34" s="1662" t="s">
        <v>2009</v>
      </c>
      <c r="C34" s="3222"/>
      <c r="D34" s="3223"/>
      <c r="E34" s="1694"/>
      <c r="F34" s="1694"/>
      <c r="G34" s="1694"/>
      <c r="H34" s="1694"/>
      <c r="I34" s="1707"/>
      <c r="J34" s="1694"/>
      <c r="K34" s="2482"/>
      <c r="L34" s="1694"/>
      <c r="M34" s="1694"/>
      <c r="N34" s="1694"/>
      <c r="O34" s="1694"/>
      <c r="P34" s="1694"/>
      <c r="Q34" s="1694"/>
      <c r="R34" s="1694"/>
      <c r="S34" s="1694"/>
      <c r="T34" s="1694"/>
      <c r="U34" s="1694"/>
    </row>
    <row r="35" spans="1:21">
      <c r="A35" s="3224" t="s">
        <v>848</v>
      </c>
      <c r="B35" s="1722"/>
      <c r="C35" s="1775" t="str">
        <f>IF(B35="场地平整","——","具体情况：")</f>
        <v>具体情况：</v>
      </c>
      <c r="D35" s="3226"/>
      <c r="E35" s="3227"/>
      <c r="F35" s="3227"/>
      <c r="G35" s="3227"/>
      <c r="H35" s="3227"/>
      <c r="I35" s="3228"/>
      <c r="J35" s="1694"/>
      <c r="K35" s="1774"/>
      <c r="L35" s="1723"/>
      <c r="M35" s="1723"/>
      <c r="N35" s="1694"/>
      <c r="O35" s="1695"/>
      <c r="P35" s="1694"/>
      <c r="Q35" s="1694"/>
      <c r="R35" s="1694"/>
      <c r="S35" s="1694"/>
      <c r="T35" s="1694"/>
      <c r="U35" s="1694"/>
    </row>
    <row r="36" spans="1:21">
      <c r="A36" s="3220"/>
      <c r="B36" s="3229" t="s">
        <v>2058</v>
      </c>
      <c r="C36" s="3230"/>
      <c r="D36" s="1791"/>
      <c r="E36" s="3231"/>
      <c r="F36" s="3231"/>
      <c r="G36" s="1687" t="str">
        <f>IF(B35="场地未平整","估价结果处理","")</f>
        <v/>
      </c>
      <c r="H36" s="3232"/>
      <c r="I36" s="3232"/>
      <c r="J36" s="1694"/>
      <c r="K36" s="1774"/>
      <c r="L36" s="1723"/>
      <c r="M36" s="1723"/>
      <c r="N36" s="1694"/>
      <c r="O36" s="1695"/>
      <c r="P36" s="1694"/>
      <c r="Q36" s="1694"/>
      <c r="R36" s="1694"/>
      <c r="S36" s="1694"/>
      <c r="T36" s="1694"/>
      <c r="U36" s="1694"/>
    </row>
    <row r="37" spans="1:21" ht="28.5">
      <c r="A37" s="3220"/>
      <c r="B37" s="3250" t="s">
        <v>849</v>
      </c>
      <c r="C37" s="1724" t="s">
        <v>850</v>
      </c>
      <c r="D37" s="1725"/>
      <c r="E37" s="1726"/>
      <c r="F37" s="1694"/>
      <c r="G37" s="1694"/>
      <c r="H37" s="1694"/>
      <c r="I37" s="1707"/>
      <c r="J37" s="1694"/>
      <c r="K37" s="1774"/>
      <c r="L37" s="1694"/>
      <c r="M37" s="1694"/>
      <c r="N37" s="1694"/>
      <c r="O37" s="1694"/>
      <c r="P37" s="1694"/>
      <c r="Q37" s="1694"/>
      <c r="R37" s="1694"/>
      <c r="S37" s="1694"/>
      <c r="T37" s="1694"/>
      <c r="U37" s="1694"/>
    </row>
    <row r="38" spans="1:21">
      <c r="A38" s="3220"/>
      <c r="B38" s="3251"/>
      <c r="C38" s="1670" t="s">
        <v>851</v>
      </c>
      <c r="D38" s="1790">
        <f>ROUNDDOWN(MIN(('数据-取费表'!$B$2-D37)/365,D34),1)</f>
        <v>117.8</v>
      </c>
      <c r="E38" s="1727" t="s">
        <v>852</v>
      </c>
      <c r="F38" s="1694"/>
      <c r="G38" s="1694"/>
      <c r="H38" s="1694"/>
      <c r="I38" s="1707"/>
      <c r="J38" s="1694"/>
      <c r="K38" s="1774"/>
      <c r="L38" s="1694"/>
      <c r="M38" s="1694"/>
      <c r="N38" s="1694"/>
      <c r="O38" s="1694"/>
      <c r="P38" s="1694"/>
      <c r="Q38" s="1694"/>
      <c r="R38" s="1694"/>
      <c r="S38" s="1694"/>
      <c r="T38" s="1694"/>
      <c r="U38" s="1694"/>
    </row>
    <row r="39" spans="1:21">
      <c r="A39" s="3221"/>
      <c r="B39" s="325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3"/>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33" t="s">
        <v>1989</v>
      </c>
      <c r="T40" s="1731" t="str">
        <f>NUMBERSTRING(7-K40,1)&amp;"通"</f>
        <v>七通</v>
      </c>
      <c r="U40" s="1694"/>
    </row>
    <row r="41" spans="1:21" ht="28.5">
      <c r="A41" s="1664"/>
      <c r="B41" s="3225" t="s">
        <v>1723</v>
      </c>
      <c r="C41" s="3225"/>
      <c r="D41" s="3225"/>
      <c r="E41" s="3225"/>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3"/>
      <c r="T41" s="1733" t="str">
        <f>IF(T40="一通",L41,IF(T40="二通",M41,IF(T40="三通",N41,IF(T40="四通",O41,IF(T40="五通",P41,IF(T40="六通",Q41,R41))))))</f>
        <v>、、、、、、</v>
      </c>
      <c r="U41" s="1694"/>
    </row>
    <row r="42" spans="1:21">
      <c r="A42" s="1735"/>
      <c r="B42" s="1765" t="s">
        <v>1899</v>
      </c>
      <c r="C42" s="1765" t="s">
        <v>1900</v>
      </c>
      <c r="D42" s="1765" t="s">
        <v>1901</v>
      </c>
      <c r="E42" s="1699" t="s">
        <v>1902</v>
      </c>
      <c r="F42" s="1736"/>
      <c r="G42" s="1694"/>
      <c r="H42" s="1694"/>
      <c r="I42" s="1707"/>
      <c r="J42" s="1694"/>
      <c r="K42" s="1773"/>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3"/>
      <c r="L43" s="1723"/>
      <c r="M43" s="1723"/>
      <c r="N43" s="1694"/>
      <c r="O43" s="1695"/>
      <c r="P43" s="1694"/>
      <c r="Q43" s="1694"/>
      <c r="R43" s="1694"/>
      <c r="S43" s="1694"/>
      <c r="T43" s="1694"/>
      <c r="U43" s="1694"/>
    </row>
    <row r="44" spans="1:21">
      <c r="A44" s="1737" t="s">
        <v>1709</v>
      </c>
      <c r="B44" s="1738"/>
      <c r="C44" s="1738"/>
      <c r="D44" s="1738"/>
      <c r="E44" s="1791"/>
      <c r="F44" s="1739"/>
      <c r="G44" s="1694"/>
      <c r="H44" s="1694"/>
      <c r="I44" s="1707"/>
      <c r="J44" s="1694"/>
      <c r="K44" s="1773"/>
      <c r="L44" s="1723"/>
      <c r="M44" s="1723"/>
      <c r="N44" s="1694"/>
      <c r="O44" s="1695"/>
      <c r="P44" s="1694"/>
      <c r="Q44" s="1694"/>
      <c r="R44" s="1694"/>
      <c r="S44" s="1694"/>
      <c r="T44" s="1694"/>
      <c r="U44" s="1694"/>
    </row>
    <row r="45" spans="1:21" s="3096" customFormat="1" ht="21" thickBot="1">
      <c r="A45" s="3097" t="s">
        <v>2897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3"/>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3"/>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1" t="s">
        <v>2020</v>
      </c>
      <c r="K48" s="1765" t="s">
        <v>2021</v>
      </c>
      <c r="L48" s="1765" t="s">
        <v>2022</v>
      </c>
      <c r="M48" s="1765"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8"/>
      <c r="K49" s="1839"/>
      <c r="L49" s="1839"/>
      <c r="M49" s="1730"/>
      <c r="N49" s="1730"/>
      <c r="O49" s="1730"/>
      <c r="P49" s="1730"/>
      <c r="Q49" s="1730"/>
      <c r="R49" s="1730"/>
      <c r="S49" s="1694"/>
      <c r="T49" s="1694"/>
      <c r="U49" s="1694"/>
    </row>
    <row r="50" spans="1:21">
      <c r="A50" s="1696"/>
      <c r="B50" s="1696"/>
      <c r="C50" s="1730"/>
      <c r="D50" s="1730"/>
      <c r="E50" s="1730"/>
      <c r="F50" s="1730"/>
      <c r="G50" s="1730"/>
      <c r="H50" s="1730"/>
      <c r="I50" s="1730"/>
      <c r="J50" s="1838"/>
      <c r="K50" s="1839"/>
      <c r="L50" s="1839"/>
      <c r="M50" s="1730"/>
      <c r="N50" s="1730"/>
      <c r="O50" s="1730"/>
      <c r="P50" s="1730"/>
      <c r="Q50" s="1730"/>
      <c r="R50" s="1730"/>
      <c r="S50" s="1694"/>
      <c r="T50" s="1694"/>
      <c r="U50" s="1694"/>
    </row>
    <row r="51" spans="1:21">
      <c r="A51" s="1696"/>
      <c r="B51" s="1696"/>
      <c r="C51" s="1730"/>
      <c r="D51" s="1730"/>
      <c r="E51" s="1730"/>
      <c r="F51" s="1730"/>
      <c r="G51" s="1730"/>
      <c r="H51" s="1730"/>
      <c r="I51" s="1730"/>
      <c r="J51" s="1838"/>
      <c r="K51" s="1839"/>
      <c r="L51" s="1839"/>
      <c r="M51" s="1730"/>
      <c r="N51" s="1730"/>
      <c r="O51" s="1730"/>
      <c r="P51" s="1730"/>
      <c r="Q51" s="1730"/>
      <c r="R51" s="1730"/>
      <c r="S51" s="1694"/>
      <c r="T51" s="1694"/>
      <c r="U51" s="1694"/>
    </row>
    <row r="52" spans="1:21">
      <c r="A52" s="1696"/>
      <c r="B52" s="1696"/>
      <c r="C52" s="1730"/>
      <c r="D52" s="1730"/>
      <c r="E52" s="1730"/>
      <c r="F52" s="1730"/>
      <c r="G52" s="1730"/>
      <c r="H52" s="1730"/>
      <c r="I52" s="1730"/>
      <c r="J52" s="1838"/>
      <c r="K52" s="1839"/>
      <c r="L52" s="1839"/>
      <c r="M52" s="1730"/>
      <c r="N52" s="1730"/>
      <c r="O52" s="1730"/>
      <c r="P52" s="1730"/>
      <c r="Q52" s="1730"/>
      <c r="R52" s="1730"/>
      <c r="S52" s="1694"/>
      <c r="T52" s="1694"/>
      <c r="U52" s="1694"/>
    </row>
    <row r="53" spans="1:21">
      <c r="A53" s="1696"/>
      <c r="B53" s="1696"/>
      <c r="C53" s="1730"/>
      <c r="D53" s="1730"/>
      <c r="E53" s="1730"/>
      <c r="F53" s="1730"/>
      <c r="G53" s="1730"/>
      <c r="H53" s="1730"/>
      <c r="I53" s="1730"/>
      <c r="J53" s="1838"/>
      <c r="K53" s="1839"/>
      <c r="L53" s="1839"/>
      <c r="M53" s="1730"/>
      <c r="N53" s="1730"/>
      <c r="O53" s="1730"/>
      <c r="P53" s="1730"/>
      <c r="Q53" s="1730"/>
      <c r="R53" s="1730"/>
      <c r="S53" s="1694"/>
      <c r="T53" s="1694"/>
      <c r="U53" s="1694"/>
    </row>
    <row r="54" spans="1:21">
      <c r="A54" s="1696"/>
      <c r="B54" s="1696"/>
      <c r="C54" s="1696"/>
      <c r="D54" s="1696"/>
      <c r="E54" s="1696"/>
      <c r="F54" s="1730"/>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30"/>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30"/>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30"/>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30"/>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AP13" activePane="bottomRight" state="frozen"/>
      <selection pane="topRight" activeCell="E1" sqref="E1"/>
      <selection pane="bottomLeft" activeCell="A12" sqref="A12"/>
      <selection pane="bottomRight" activeCell="AS30" sqref="AS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0" t="s">
        <v>2337</v>
      </c>
      <c r="BA2" s="2361"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面积表!B16+面积表!D16</f>
        <v>97754.959999999992</v>
      </c>
      <c r="B3" s="22">
        <f>IF(C3="否",G5-AT5,G5)</f>
        <v>331165.86</v>
      </c>
      <c r="C3" s="23" t="s">
        <v>3025</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2"/>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331165.86</v>
      </c>
      <c r="H5" s="27">
        <f t="shared" ref="H5:AT5" si="0">SUM(H13:H641)</f>
        <v>326125.86</v>
      </c>
      <c r="I5" s="27">
        <f t="shared" si="0"/>
        <v>218152</v>
      </c>
      <c r="J5" s="27">
        <f t="shared" si="0"/>
        <v>0</v>
      </c>
      <c r="K5" s="27">
        <f t="shared" si="0"/>
        <v>5395.86</v>
      </c>
      <c r="L5" s="27">
        <f t="shared" si="0"/>
        <v>0</v>
      </c>
      <c r="M5" s="27">
        <f t="shared" si="0"/>
        <v>76965</v>
      </c>
      <c r="N5" s="27">
        <f t="shared" si="0"/>
        <v>0</v>
      </c>
      <c r="O5" s="27">
        <f t="shared" si="0"/>
        <v>25613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5040</v>
      </c>
      <c r="AD5" s="27">
        <f t="shared" si="0"/>
        <v>4900</v>
      </c>
      <c r="AE5" s="27">
        <f t="shared" si="0"/>
        <v>0</v>
      </c>
      <c r="AF5" s="27">
        <f t="shared" si="0"/>
        <v>0</v>
      </c>
      <c r="AG5" s="27">
        <f t="shared" si="0"/>
        <v>0</v>
      </c>
      <c r="AH5" s="27">
        <f t="shared" si="0"/>
        <v>0</v>
      </c>
      <c r="AI5" s="27">
        <f t="shared" si="0"/>
        <v>0</v>
      </c>
      <c r="AJ5" s="27">
        <f t="shared" si="0"/>
        <v>0</v>
      </c>
      <c r="AK5" s="27">
        <f t="shared" si="0"/>
        <v>0</v>
      </c>
      <c r="AL5" s="27">
        <f t="shared" si="0"/>
        <v>140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331165.86</v>
      </c>
      <c r="BA5" s="29">
        <f t="shared" si="1"/>
        <v>326125.86</v>
      </c>
      <c r="BB5" s="29">
        <f t="shared" si="1"/>
        <v>218152</v>
      </c>
      <c r="BC5" s="29">
        <f t="shared" si="1"/>
        <v>5395.86</v>
      </c>
      <c r="BD5" s="29">
        <f t="shared" si="1"/>
        <v>76965</v>
      </c>
      <c r="BE5" s="29">
        <f t="shared" si="1"/>
        <v>25613</v>
      </c>
      <c r="BF5" s="29">
        <f t="shared" si="1"/>
        <v>0</v>
      </c>
      <c r="BG5" s="29">
        <f t="shared" si="1"/>
        <v>0</v>
      </c>
      <c r="BH5" s="29">
        <f t="shared" si="1"/>
        <v>0</v>
      </c>
      <c r="BI5" s="29">
        <f t="shared" si="1"/>
        <v>0</v>
      </c>
      <c r="BJ5" s="29">
        <f t="shared" si="1"/>
        <v>0</v>
      </c>
      <c r="BK5" s="29">
        <f t="shared" si="1"/>
        <v>0</v>
      </c>
      <c r="BL5" s="29">
        <f t="shared" si="1"/>
        <v>5040</v>
      </c>
      <c r="BM5" s="29">
        <f t="shared" si="1"/>
        <v>4900</v>
      </c>
      <c r="BN5" s="29">
        <f t="shared" si="1"/>
        <v>0</v>
      </c>
      <c r="BO5" s="29">
        <f t="shared" si="1"/>
        <v>0</v>
      </c>
      <c r="BP5" s="29">
        <f t="shared" si="1"/>
        <v>0</v>
      </c>
      <c r="BQ5" s="29">
        <f t="shared" si="1"/>
        <v>140</v>
      </c>
      <c r="BR5" s="29">
        <f t="shared" si="1"/>
        <v>0</v>
      </c>
      <c r="BS5" s="29">
        <f t="shared" si="1"/>
        <v>0</v>
      </c>
      <c r="BT5" s="30">
        <f t="shared" si="1"/>
        <v>0</v>
      </c>
    </row>
    <row r="6" spans="1:72" s="37" customFormat="1" ht="12.75">
      <c r="A6" s="26" t="s">
        <v>169</v>
      </c>
      <c r="B6" s="31"/>
      <c r="C6" s="31"/>
      <c r="D6" s="32"/>
      <c r="E6" s="27">
        <f>H6+AC6+AT6</f>
        <v>97754.959999999992</v>
      </c>
      <c r="F6" s="27" t="s">
        <v>1</v>
      </c>
      <c r="G6" s="27" t="s">
        <v>2</v>
      </c>
      <c r="H6" s="33">
        <f>SUMIF(I$12:AB$12,"总值",I6:AB6)</f>
        <v>96267.23</v>
      </c>
      <c r="I6" s="27">
        <f t="shared" ref="I6:AB6" si="2">ROUND($A$3*I5/$B$3,2)</f>
        <v>64395.040000000001</v>
      </c>
      <c r="J6" s="27">
        <f t="shared" si="2"/>
        <v>0</v>
      </c>
      <c r="K6" s="27">
        <f t="shared" si="2"/>
        <v>1592.77</v>
      </c>
      <c r="L6" s="27">
        <f t="shared" si="2"/>
        <v>0</v>
      </c>
      <c r="M6" s="27">
        <f t="shared" si="2"/>
        <v>22718.86</v>
      </c>
      <c r="N6" s="27">
        <f t="shared" si="2"/>
        <v>0</v>
      </c>
      <c r="O6" s="27">
        <f t="shared" si="2"/>
        <v>7560.56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1487.73</v>
      </c>
      <c r="AD6" s="27">
        <f t="shared" ref="AD6:AS6" si="3">ROUND($A$3*AD5/$B$3,2)</f>
        <v>1446.4</v>
      </c>
      <c r="AE6" s="27">
        <f t="shared" si="3"/>
        <v>0</v>
      </c>
      <c r="AF6" s="27">
        <f t="shared" si="3"/>
        <v>0</v>
      </c>
      <c r="AG6" s="27">
        <f t="shared" si="3"/>
        <v>0</v>
      </c>
      <c r="AH6" s="27">
        <f t="shared" si="3"/>
        <v>0</v>
      </c>
      <c r="AI6" s="27">
        <f t="shared" si="3"/>
        <v>0</v>
      </c>
      <c r="AJ6" s="27">
        <f t="shared" si="3"/>
        <v>0</v>
      </c>
      <c r="AK6" s="27">
        <f t="shared" si="3"/>
        <v>0</v>
      </c>
      <c r="AL6" s="27">
        <f t="shared" si="3"/>
        <v>41.33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97754.96</v>
      </c>
      <c r="AZ6" s="27" t="s">
        <v>3</v>
      </c>
      <c r="BA6" s="27">
        <f>ROUND($AY$6*BA5/$AZ$5,2)</f>
        <v>96267.23</v>
      </c>
      <c r="BB6" s="27">
        <f>ROUND($AY$6*BB5/$AZ$5,2)</f>
        <v>64395.040000000001</v>
      </c>
      <c r="BC6" s="27">
        <f t="shared" ref="BC6:BH6" si="4">ROUND($AY$6*BC5/$AZ$5,2)</f>
        <v>1592.77</v>
      </c>
      <c r="BD6" s="27">
        <f t="shared" si="4"/>
        <v>22718.86</v>
      </c>
      <c r="BE6" s="27">
        <f t="shared" si="4"/>
        <v>7560.56</v>
      </c>
      <c r="BF6" s="27">
        <f t="shared" si="4"/>
        <v>0</v>
      </c>
      <c r="BG6" s="27">
        <f t="shared" si="4"/>
        <v>0</v>
      </c>
      <c r="BH6" s="27">
        <f t="shared" si="4"/>
        <v>0</v>
      </c>
      <c r="BI6" s="27">
        <f t="shared" ref="BI6:BT6" si="5">ROUND($AY$6*BI5/$AZ$5,2)</f>
        <v>0</v>
      </c>
      <c r="BJ6" s="27">
        <f t="shared" si="5"/>
        <v>0</v>
      </c>
      <c r="BK6" s="27">
        <f t="shared" si="5"/>
        <v>0</v>
      </c>
      <c r="BL6" s="27">
        <f t="shared" si="5"/>
        <v>1487.73</v>
      </c>
      <c r="BM6" s="27">
        <f t="shared" si="5"/>
        <v>1446.4</v>
      </c>
      <c r="BN6" s="27">
        <f t="shared" si="5"/>
        <v>0</v>
      </c>
      <c r="BO6" s="27">
        <f t="shared" si="5"/>
        <v>0</v>
      </c>
      <c r="BP6" s="27">
        <f t="shared" si="5"/>
        <v>0</v>
      </c>
      <c r="BQ6" s="27">
        <f t="shared" si="5"/>
        <v>41.33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7"/>
      <c r="AT8" s="2328"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2" t="s">
        <v>2992</v>
      </c>
      <c r="J9" s="51"/>
      <c r="K9" s="3042" t="s">
        <v>2992</v>
      </c>
      <c r="L9" s="51"/>
      <c r="M9" s="3042" t="s">
        <v>2993</v>
      </c>
      <c r="N9" s="51"/>
      <c r="O9" s="59" t="s">
        <v>2992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29"/>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2" t="s">
        <v>924</v>
      </c>
      <c r="J10" s="51"/>
      <c r="K10" s="3044" t="s">
        <v>2989</v>
      </c>
      <c r="L10" s="51"/>
      <c r="M10" s="3044" t="s">
        <v>2994</v>
      </c>
      <c r="N10" s="51"/>
      <c r="O10" s="66" t="s">
        <v>2989</v>
      </c>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3" t="s">
        <v>2995</v>
      </c>
      <c r="J11" s="71"/>
      <c r="K11" s="3043" t="s">
        <v>2996</v>
      </c>
      <c r="L11" s="71"/>
      <c r="M11" s="70" t="s">
        <v>2994</v>
      </c>
      <c r="N11" s="71"/>
      <c r="O11" s="70" t="s">
        <v>3017</v>
      </c>
      <c r="P11" s="71"/>
      <c r="Q11" s="70"/>
      <c r="R11" s="71"/>
      <c r="S11" s="70"/>
      <c r="T11" s="71"/>
      <c r="U11" s="70"/>
      <c r="V11" s="71"/>
      <c r="W11" s="70"/>
      <c r="X11" s="71"/>
      <c r="Y11" s="70"/>
      <c r="Z11" s="71"/>
      <c r="AA11" s="70"/>
      <c r="AB11" s="71"/>
      <c r="AC11" s="55"/>
      <c r="AD11" s="2334" t="s">
        <v>2334</v>
      </c>
      <c r="AE11" s="1004"/>
      <c r="AF11" s="2334" t="s">
        <v>2334</v>
      </c>
      <c r="AG11" s="1004"/>
      <c r="AH11" s="2334" t="s">
        <v>2333</v>
      </c>
      <c r="AI11" s="2335"/>
      <c r="AJ11" s="2334" t="s">
        <v>2333</v>
      </c>
      <c r="AK11" s="2333"/>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车库</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底商</v>
      </c>
      <c r="BD12" s="79" t="str">
        <f>M11</f>
        <v>车库</v>
      </c>
      <c r="BE12" s="50" t="str">
        <f>O11</f>
        <v>公寓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0"/>
      <c r="B13" s="3040"/>
      <c r="C13" s="3040" t="s">
        <v>2991</v>
      </c>
      <c r="D13" s="3041" t="s">
        <v>1680</v>
      </c>
      <c r="E13" s="27">
        <f t="shared" ref="E13:E20" si="6">IF($C$3="是",ROUND($A$3*G13/$B$3,2),ROUND($A$3*(G13-AT13)/$B$3,2))</f>
        <v>64395.040000000001</v>
      </c>
      <c r="F13" s="81"/>
      <c r="G13" s="82">
        <f t="shared" ref="G13:G20" si="7">H13+AC13+AT13</f>
        <v>218152</v>
      </c>
      <c r="H13" s="33">
        <f t="shared" ref="H13:H20" si="8">SUMIF(I$12:AB$12,"总值",I13:AB13)</f>
        <v>218152</v>
      </c>
      <c r="I13" s="83">
        <f>面积表!B2+面积表!D2</f>
        <v>218152</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3186" t="str">
        <f t="shared" si="10"/>
        <v>住宅</v>
      </c>
      <c r="AY13" s="998">
        <f t="shared" ref="AY13:AY20" si="11">ROUND($AY$6*AZ13/$AZ$5,2)</f>
        <v>64395.040000000001</v>
      </c>
      <c r="AZ13" s="27">
        <f t="shared" ref="AZ13:AZ20" si="12">BA13+BL13</f>
        <v>218152</v>
      </c>
      <c r="BA13" s="27">
        <f t="shared" ref="BA13:BA20" si="13">SUM(BB13:BK13)</f>
        <v>218152</v>
      </c>
      <c r="BB13" s="27">
        <f t="shared" ref="BB13:BB20" si="14">IF($D13="是",I13-J13,0)</f>
        <v>218152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0" t="s">
        <v>3101</v>
      </c>
      <c r="D14" s="3041" t="s">
        <v>1680</v>
      </c>
      <c r="E14" s="27">
        <f t="shared" si="6"/>
        <v>1592.77</v>
      </c>
      <c r="F14" s="81"/>
      <c r="G14" s="82">
        <f t="shared" si="7"/>
        <v>5395.86</v>
      </c>
      <c r="H14" s="33">
        <f t="shared" si="8"/>
        <v>5395.86</v>
      </c>
      <c r="I14" s="83"/>
      <c r="J14" s="83"/>
      <c r="K14" s="83">
        <f>面积表!B4+面积表!D4</f>
        <v>5395.86</v>
      </c>
      <c r="L14" s="83"/>
      <c r="M14" s="83"/>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3186" t="str">
        <f t="shared" si="10"/>
        <v>商业</v>
      </c>
      <c r="AY14" s="998">
        <f t="shared" si="11"/>
        <v>1592.77</v>
      </c>
      <c r="AZ14" s="27">
        <f t="shared" si="12"/>
        <v>5395.86</v>
      </c>
      <c r="BA14" s="27">
        <f t="shared" si="13"/>
        <v>5395.86</v>
      </c>
      <c r="BB14" s="27">
        <f t="shared" si="14"/>
        <v>0</v>
      </c>
      <c r="BC14" s="27">
        <f t="shared" si="15"/>
        <v>5395.86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0" t="s">
        <v>3102</v>
      </c>
      <c r="D15" s="3041" t="s">
        <v>1680</v>
      </c>
      <c r="E15" s="27">
        <f t="shared" si="6"/>
        <v>22718.86</v>
      </c>
      <c r="F15" s="81"/>
      <c r="G15" s="82">
        <f t="shared" si="7"/>
        <v>76965</v>
      </c>
      <c r="H15" s="33">
        <f t="shared" si="8"/>
        <v>76965</v>
      </c>
      <c r="I15" s="83"/>
      <c r="J15" s="83"/>
      <c r="K15" s="83"/>
      <c r="L15" s="83"/>
      <c r="M15" s="83">
        <f>面积表!B6+面积表!D6</f>
        <v>76965</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3186" t="str">
        <f t="shared" si="10"/>
        <v>车位</v>
      </c>
      <c r="AY15" s="998">
        <f t="shared" si="11"/>
        <v>22718.86</v>
      </c>
      <c r="AZ15" s="27">
        <f t="shared" si="12"/>
        <v>76965</v>
      </c>
      <c r="BA15" s="27">
        <f t="shared" si="13"/>
        <v>76965</v>
      </c>
      <c r="BB15" s="27">
        <f t="shared" si="14"/>
        <v>0</v>
      </c>
      <c r="BC15" s="27">
        <f t="shared" si="15"/>
        <v>0</v>
      </c>
      <c r="BD15" s="27">
        <f t="shared" si="16"/>
        <v>76965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0" t="s">
        <v>3103</v>
      </c>
      <c r="D16" s="3041" t="s">
        <v>1680</v>
      </c>
      <c r="E16" s="27">
        <f t="shared" si="6"/>
        <v>897.36</v>
      </c>
      <c r="F16" s="81"/>
      <c r="G16" s="82">
        <f t="shared" si="7"/>
        <v>3040</v>
      </c>
      <c r="H16" s="33">
        <f t="shared" si="8"/>
        <v>0</v>
      </c>
      <c r="I16" s="83"/>
      <c r="J16" s="83"/>
      <c r="K16" s="83"/>
      <c r="L16" s="83"/>
      <c r="M16" s="83"/>
      <c r="N16" s="83"/>
      <c r="O16" s="83"/>
      <c r="P16" s="83"/>
      <c r="Q16" s="83"/>
      <c r="R16" s="83"/>
      <c r="S16" s="83"/>
      <c r="T16" s="83"/>
      <c r="U16" s="83"/>
      <c r="V16" s="83"/>
      <c r="W16" s="83"/>
      <c r="X16" s="83"/>
      <c r="Y16" s="83"/>
      <c r="Z16" s="83"/>
      <c r="AA16" s="83"/>
      <c r="AB16" s="83"/>
      <c r="AC16" s="27">
        <f t="shared" si="9"/>
        <v>3040</v>
      </c>
      <c r="AD16" s="83">
        <f>面积表!B8+面积表!D8</f>
        <v>2900</v>
      </c>
      <c r="AE16" s="3045"/>
      <c r="AF16" s="3045"/>
      <c r="AG16" s="3045"/>
      <c r="AH16" s="3045"/>
      <c r="AI16" s="3045"/>
      <c r="AJ16" s="3045"/>
      <c r="AK16" s="3045"/>
      <c r="AL16" s="83">
        <f>面积表!B12</f>
        <v>140</v>
      </c>
      <c r="AM16" s="3045"/>
      <c r="AN16" s="3045"/>
      <c r="AO16" s="3045"/>
      <c r="AP16" s="3045"/>
      <c r="AQ16" s="3045"/>
      <c r="AR16" s="3045"/>
      <c r="AS16" s="3045"/>
      <c r="AT16" s="3046"/>
      <c r="AU16" s="3047"/>
      <c r="AV16" s="17">
        <f t="shared" si="10"/>
        <v>0</v>
      </c>
      <c r="AW16" s="17">
        <f t="shared" si="10"/>
        <v>0</v>
      </c>
      <c r="AX16" s="3186" t="str">
        <f t="shared" si="10"/>
        <v>配套</v>
      </c>
      <c r="AY16" s="998">
        <f t="shared" si="11"/>
        <v>897.36</v>
      </c>
      <c r="AZ16" s="27">
        <f t="shared" si="12"/>
        <v>3040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3040</v>
      </c>
      <c r="BM16" s="27">
        <f t="shared" si="25"/>
        <v>2900</v>
      </c>
      <c r="BN16" s="27">
        <f t="shared" si="26"/>
        <v>0</v>
      </c>
      <c r="BO16" s="27">
        <f t="shared" si="27"/>
        <v>0</v>
      </c>
      <c r="BP16" s="27">
        <f t="shared" si="28"/>
        <v>0</v>
      </c>
      <c r="BQ16" s="27">
        <f t="shared" si="29"/>
        <v>140</v>
      </c>
      <c r="BR16" s="27">
        <f t="shared" si="30"/>
        <v>0</v>
      </c>
      <c r="BS16" s="27">
        <f t="shared" si="31"/>
        <v>0</v>
      </c>
      <c r="BT16" s="36">
        <f t="shared" si="32"/>
        <v>0</v>
      </c>
    </row>
    <row r="17" spans="1:72" s="18" customFormat="1" ht="12.75">
      <c r="A17" s="3040"/>
      <c r="B17" s="3040"/>
      <c r="C17" s="3040" t="s">
        <v>3104</v>
      </c>
      <c r="D17" s="3041" t="s">
        <v>1680</v>
      </c>
      <c r="E17" s="27">
        <f t="shared" si="6"/>
        <v>7560.56</v>
      </c>
      <c r="F17" s="81"/>
      <c r="G17" s="82">
        <f t="shared" si="7"/>
        <v>25613</v>
      </c>
      <c r="H17" s="33">
        <f t="shared" si="8"/>
        <v>25613</v>
      </c>
      <c r="I17" s="83"/>
      <c r="J17" s="83"/>
      <c r="K17" s="83"/>
      <c r="L17" s="83"/>
      <c r="M17" s="83"/>
      <c r="N17" s="83"/>
      <c r="O17" s="83">
        <f>面积表!B10+面积表!D10</f>
        <v>25613</v>
      </c>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3186" t="str">
        <f t="shared" si="10"/>
        <v>公寓</v>
      </c>
      <c r="AY17" s="998">
        <f t="shared" si="11"/>
        <v>7560.56</v>
      </c>
      <c r="AZ17" s="27">
        <f t="shared" si="12"/>
        <v>25613</v>
      </c>
      <c r="BA17" s="27">
        <f t="shared" si="13"/>
        <v>25613</v>
      </c>
      <c r="BB17" s="27">
        <f t="shared" si="14"/>
        <v>0</v>
      </c>
      <c r="BC17" s="27">
        <f t="shared" si="15"/>
        <v>0</v>
      </c>
      <c r="BD17" s="27">
        <f t="shared" si="16"/>
        <v>0</v>
      </c>
      <c r="BE17" s="27">
        <f t="shared" si="17"/>
        <v>25613</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40" t="s">
        <v>3105</v>
      </c>
      <c r="D18" s="3041" t="s">
        <v>1680</v>
      </c>
      <c r="E18" s="27">
        <f t="shared" si="6"/>
        <v>590.37</v>
      </c>
      <c r="F18" s="81"/>
      <c r="G18" s="82">
        <f t="shared" si="7"/>
        <v>2000</v>
      </c>
      <c r="H18" s="33">
        <f t="shared" si="8"/>
        <v>0</v>
      </c>
      <c r="I18" s="1396"/>
      <c r="J18" s="91"/>
      <c r="K18" s="1396"/>
      <c r="L18" s="91"/>
      <c r="M18" s="91"/>
      <c r="N18" s="91"/>
      <c r="O18" s="91"/>
      <c r="P18" s="91"/>
      <c r="Q18" s="91"/>
      <c r="R18" s="91"/>
      <c r="S18" s="91"/>
      <c r="T18" s="91"/>
      <c r="U18" s="91"/>
      <c r="V18" s="91"/>
      <c r="W18" s="91"/>
      <c r="X18" s="91"/>
      <c r="Y18" s="91"/>
      <c r="Z18" s="91"/>
      <c r="AA18" s="91"/>
      <c r="AB18" s="91"/>
      <c r="AC18" s="27">
        <f t="shared" si="9"/>
        <v>2000</v>
      </c>
      <c r="AD18" s="83">
        <f>面积表!D9</f>
        <v>2000</v>
      </c>
      <c r="AE18" s="92"/>
      <c r="AF18" s="1396"/>
      <c r="AG18" s="92"/>
      <c r="AH18" s="92"/>
      <c r="AI18" s="92"/>
      <c r="AJ18" s="92"/>
      <c r="AK18" s="92"/>
      <c r="AL18" s="1366"/>
      <c r="AM18" s="92"/>
      <c r="AN18" s="1396"/>
      <c r="AO18" s="92"/>
      <c r="AP18" s="92"/>
      <c r="AQ18" s="92"/>
      <c r="AR18" s="92"/>
      <c r="AS18" s="92"/>
      <c r="AT18" s="93"/>
      <c r="AU18" s="94"/>
      <c r="AV18" s="17">
        <f t="shared" si="10"/>
        <v>0</v>
      </c>
      <c r="AW18" s="17">
        <f t="shared" si="10"/>
        <v>0</v>
      </c>
      <c r="AX18" s="3186" t="str">
        <f t="shared" si="10"/>
        <v>幼儿园</v>
      </c>
      <c r="AY18" s="3183">
        <f t="shared" si="11"/>
        <v>590.37</v>
      </c>
      <c r="AZ18" s="27">
        <f t="shared" si="12"/>
        <v>2000</v>
      </c>
      <c r="BA18" s="27">
        <f t="shared" si="13"/>
        <v>0</v>
      </c>
      <c r="BB18" s="27">
        <f t="shared" si="14"/>
        <v>0</v>
      </c>
      <c r="BC18" s="27">
        <f t="shared" si="15"/>
        <v>0</v>
      </c>
      <c r="BD18" s="27">
        <f t="shared" si="16"/>
        <v>0</v>
      </c>
      <c r="BE18" s="27">
        <f t="shared" si="17"/>
        <v>0</v>
      </c>
      <c r="BF18" s="87">
        <f t="shared" si="18"/>
        <v>0</v>
      </c>
      <c r="BG18" s="87">
        <f t="shared" si="19"/>
        <v>0</v>
      </c>
      <c r="BH18" s="87">
        <f t="shared" si="20"/>
        <v>0</v>
      </c>
      <c r="BI18" s="87">
        <f t="shared" si="21"/>
        <v>0</v>
      </c>
      <c r="BJ18" s="87">
        <f t="shared" si="22"/>
        <v>0</v>
      </c>
      <c r="BK18" s="87">
        <f t="shared" si="23"/>
        <v>0</v>
      </c>
      <c r="BL18" s="27">
        <f t="shared" si="24"/>
        <v>2000</v>
      </c>
      <c r="BM18" s="27">
        <f t="shared" si="25"/>
        <v>2000</v>
      </c>
      <c r="BN18" s="27">
        <f t="shared" si="26"/>
        <v>0</v>
      </c>
      <c r="BO18" s="27">
        <f t="shared" si="27"/>
        <v>0</v>
      </c>
      <c r="BP18" s="27">
        <f t="shared" si="28"/>
        <v>0</v>
      </c>
      <c r="BQ18" s="27">
        <f t="shared" si="29"/>
        <v>0</v>
      </c>
      <c r="BR18" s="27">
        <f t="shared" si="30"/>
        <v>0</v>
      </c>
      <c r="BS18" s="27">
        <f t="shared" si="31"/>
        <v>0</v>
      </c>
      <c r="BT18" s="3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B17" sqref="B17:G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2" t="s">
        <v>203</v>
      </c>
      <c r="B2" s="3272"/>
      <c r="C2" s="3272"/>
      <c r="D2" s="1975" t="s">
        <v>204</v>
      </c>
      <c r="E2" s="106" t="s">
        <v>205</v>
      </c>
      <c r="F2" s="1984"/>
      <c r="G2" s="1200"/>
      <c r="H2" s="1201"/>
      <c r="I2" s="1202" t="s">
        <v>858</v>
      </c>
      <c r="J2" s="1984"/>
      <c r="K2" s="1984"/>
      <c r="L2" s="1984"/>
    </row>
    <row r="3" spans="1:16" ht="15.75" thickBot="1">
      <c r="A3" s="3273" t="s">
        <v>206</v>
      </c>
      <c r="B3" s="3273"/>
      <c r="C3" s="3273"/>
      <c r="D3" s="107">
        <f>'数据-基础表'!AY6</f>
        <v>97754.96</v>
      </c>
      <c r="E3" s="107">
        <f>'数据-基础表'!AZ5</f>
        <v>331165.86</v>
      </c>
      <c r="F3" s="1984"/>
      <c r="G3" s="280" t="s">
        <v>859</v>
      </c>
      <c r="H3" s="275" t="s">
        <v>860</v>
      </c>
      <c r="I3" s="1976">
        <f>ROUND('数据-基础表'!B3/'数据-基础表'!A3,2)</f>
        <v>3.39</v>
      </c>
      <c r="J3" s="1984"/>
      <c r="K3" s="1984"/>
      <c r="L3" s="1984"/>
    </row>
    <row r="4" spans="1:16" ht="15">
      <c r="A4" s="3274"/>
      <c r="B4" s="3275"/>
      <c r="C4" s="3276"/>
      <c r="D4" s="108" t="s">
        <v>204</v>
      </c>
      <c r="E4" s="109" t="s">
        <v>205</v>
      </c>
      <c r="F4" s="1984"/>
      <c r="G4" s="1203"/>
      <c r="H4" s="275" t="s">
        <v>861</v>
      </c>
      <c r="I4" s="1976">
        <f>ROUND(SUMIF('数据-基础表'!I9:AS9,"地上",'数据-基础表'!I5:AS5)/'数据-基础表'!A3,2)</f>
        <v>2.6</v>
      </c>
      <c r="J4" s="1984"/>
      <c r="K4" s="1984"/>
      <c r="L4" s="1984"/>
    </row>
    <row r="5" spans="1:16">
      <c r="A5" s="110" t="s">
        <v>207</v>
      </c>
      <c r="B5" s="3277" t="s">
        <v>230</v>
      </c>
      <c r="C5" s="3277"/>
      <c r="D5" s="111">
        <f>ROUND($D$3*E5/$E$3,2)</f>
        <v>64395.040000000001</v>
      </c>
      <c r="E5" s="112">
        <f>SUMIF('数据-基础表'!$11:$11,"住宅",'数据-基础表'!$5:$5)</f>
        <v>218152</v>
      </c>
      <c r="F5" s="1984"/>
      <c r="G5" s="280" t="s">
        <v>862</v>
      </c>
      <c r="H5" s="275" t="s">
        <v>860</v>
      </c>
      <c r="I5" s="1976">
        <f>ROUND(E31/D31,2)</f>
        <v>3.39</v>
      </c>
      <c r="J5" s="1984"/>
      <c r="K5" s="1984"/>
      <c r="L5" s="1984"/>
    </row>
    <row r="6" spans="1:16" ht="15" thickBot="1">
      <c r="A6" s="113"/>
      <c r="B6" s="3277" t="s">
        <v>208</v>
      </c>
      <c r="C6" s="3277"/>
      <c r="D6" s="111">
        <f>ROUND($D$3*E6/$E$3,2)</f>
        <v>33359.919999999998</v>
      </c>
      <c r="E6" s="112">
        <f>E3-E5</f>
        <v>113013.85999999999</v>
      </c>
      <c r="F6" s="1984"/>
      <c r="G6" s="1203"/>
      <c r="H6" s="275" t="s">
        <v>861</v>
      </c>
      <c r="I6" s="1976">
        <f>ROUND(F31/D31,2)</f>
        <v>2.6</v>
      </c>
      <c r="J6" s="1984"/>
      <c r="K6" s="1984"/>
      <c r="L6" s="1984"/>
    </row>
    <row r="7" spans="1:16" ht="15">
      <c r="A7" s="3269"/>
      <c r="B7" s="3270"/>
      <c r="C7" s="3271"/>
      <c r="D7" s="108" t="s">
        <v>204</v>
      </c>
      <c r="E7" s="114" t="s">
        <v>231</v>
      </c>
      <c r="F7" s="1984"/>
      <c r="G7" s="1158" t="s">
        <v>1647</v>
      </c>
      <c r="H7" s="1159"/>
      <c r="I7" s="1846"/>
      <c r="J7" s="1984"/>
      <c r="K7" s="1984"/>
      <c r="L7" s="1984"/>
    </row>
    <row r="8" spans="1:16">
      <c r="A8" s="110" t="s">
        <v>209</v>
      </c>
      <c r="B8" s="115" t="s">
        <v>210</v>
      </c>
      <c r="C8" s="111" t="s">
        <v>211</v>
      </c>
      <c r="D8" s="111">
        <f t="shared" ref="D8:D15" si="0">ROUND($D$3*E8/$E$3,2)</f>
        <v>73548.37</v>
      </c>
      <c r="E8" s="116">
        <f>SUMIF('数据-基础表'!BB10:BK10,"地上",'数据-基础表'!BB5:BK5)</f>
        <v>249160.86</v>
      </c>
      <c r="F8" s="1984"/>
      <c r="G8" s="1986"/>
      <c r="H8" s="1986"/>
      <c r="I8" s="1984"/>
      <c r="J8" s="1984"/>
      <c r="K8" s="1984"/>
      <c r="L8" s="1984"/>
    </row>
    <row r="9" spans="1:16" hidden="1">
      <c r="A9" s="117"/>
      <c r="B9" s="118"/>
      <c r="C9" s="111" t="s">
        <v>212</v>
      </c>
      <c r="D9" s="111">
        <f t="shared" si="0"/>
        <v>0</v>
      </c>
      <c r="E9" s="119">
        <v>0</v>
      </c>
      <c r="F9" s="1984"/>
      <c r="G9" s="1986"/>
      <c r="H9" s="1986"/>
      <c r="I9" s="1984"/>
      <c r="J9" s="1984"/>
      <c r="K9" s="1984"/>
      <c r="L9" s="1984"/>
    </row>
    <row r="10" spans="1:16" hidden="1">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idden="1">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hidden="1">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5" thickBot="1">
      <c r="A13" s="117"/>
      <c r="B13" s="118"/>
      <c r="C13" s="2331" t="s">
        <v>2338</v>
      </c>
      <c r="D13" s="111">
        <f t="shared" si="0"/>
        <v>22718.86</v>
      </c>
      <c r="E13" s="116">
        <f>SUMPRODUCT(('数据-基础表'!BB10:BK10="地下")*('数据-基础表'!BB11:BK11="车库")*('数据-基础表'!BB5:BK5))</f>
        <v>76965</v>
      </c>
      <c r="F13" s="1984"/>
      <c r="G13" s="1986"/>
      <c r="H13" s="1986"/>
      <c r="I13" s="1984"/>
      <c r="J13" s="1984"/>
      <c r="K13" s="1984"/>
      <c r="L13" s="1984"/>
    </row>
    <row r="14" spans="1:16" hidden="1">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hidden="1"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96267.23</v>
      </c>
      <c r="E16" s="120">
        <f>SUM(E8:E15)</f>
        <v>326125.86</v>
      </c>
      <c r="F16" s="1984"/>
      <c r="G16" s="1986"/>
      <c r="H16" s="970" t="s">
        <v>219</v>
      </c>
      <c r="I16" s="971"/>
      <c r="J16" s="1984"/>
      <c r="K16" s="3263" t="s">
        <v>2571</v>
      </c>
      <c r="L16" s="3264"/>
      <c r="M16" s="3264"/>
      <c r="N16" s="3264"/>
      <c r="O16" s="3264"/>
      <c r="P16" s="3265"/>
    </row>
    <row r="17" spans="1:19" ht="15">
      <c r="A17" s="121" t="s">
        <v>216</v>
      </c>
      <c r="B17" s="122" t="s">
        <v>217</v>
      </c>
      <c r="C17" s="2298" t="s">
        <v>2317</v>
      </c>
      <c r="D17" s="108" t="s">
        <v>204</v>
      </c>
      <c r="E17" s="124" t="s">
        <v>205</v>
      </c>
      <c r="F17" s="125"/>
      <c r="G17" s="1367"/>
      <c r="H17" s="972" t="s">
        <v>218</v>
      </c>
      <c r="I17" s="973" t="s">
        <v>2316</v>
      </c>
      <c r="J17" s="1984"/>
      <c r="K17" s="3266" t="s">
        <v>2572</v>
      </c>
      <c r="L17" s="3267"/>
      <c r="M17" s="3268"/>
      <c r="N17" s="3266" t="s">
        <v>2573</v>
      </c>
      <c r="O17" s="3267"/>
      <c r="P17" s="3268"/>
      <c r="R17" s="2299" t="s">
        <v>2315</v>
      </c>
      <c r="S17" s="144"/>
    </row>
    <row r="18" spans="1:19" ht="15">
      <c r="A18" s="117"/>
      <c r="B18" s="128"/>
      <c r="C18" s="129"/>
      <c r="D18" s="2667"/>
      <c r="E18" s="130" t="s">
        <v>220</v>
      </c>
      <c r="F18" s="131" t="s">
        <v>221</v>
      </c>
      <c r="G18" s="1368" t="s">
        <v>222</v>
      </c>
      <c r="H18" s="974" t="s">
        <v>223</v>
      </c>
      <c r="I18" s="975" t="s">
        <v>224</v>
      </c>
      <c r="J18" s="1984"/>
      <c r="K18" s="2629" t="s">
        <v>2574</v>
      </c>
      <c r="L18" s="2630" t="s">
        <v>2575</v>
      </c>
      <c r="M18" s="2631" t="s">
        <v>2576</v>
      </c>
      <c r="N18" s="2629" t="s">
        <v>2574</v>
      </c>
      <c r="O18" s="2630" t="s">
        <v>2575</v>
      </c>
      <c r="P18" s="2631" t="s">
        <v>2576</v>
      </c>
      <c r="R18" s="2300" t="s">
        <v>2313</v>
      </c>
      <c r="S18" s="2300" t="s">
        <v>2314</v>
      </c>
    </row>
    <row r="19" spans="1:19">
      <c r="A19" s="133"/>
      <c r="B19" s="115" t="s">
        <v>225</v>
      </c>
      <c r="C19" s="3048" t="s">
        <v>2997</v>
      </c>
      <c r="D19" s="111">
        <f t="shared" ref="D19:D26" si="1">ROUND($D$3*E19/$E$3,2)</f>
        <v>64395.040000000001</v>
      </c>
      <c r="E19" s="134">
        <f t="shared" ref="E19:E26" si="2">SUM(F19:G19)</f>
        <v>218152</v>
      </c>
      <c r="F19" s="135">
        <f>'数据-基础表'!I13</f>
        <v>218152</v>
      </c>
      <c r="G19" s="1369">
        <v>0</v>
      </c>
      <c r="H19" s="976">
        <f>ROUND($D$3*I19/$E$3,2)</f>
        <v>1474.05</v>
      </c>
      <c r="I19" s="116">
        <f>IF($I$17="自定义",P19,M19)</f>
        <v>4993.6499999999996</v>
      </c>
      <c r="J19" s="1984"/>
      <c r="K19" s="2632">
        <f t="shared" ref="K19:K26" si="3">ROUND(E$28*E19/E$27,2)</f>
        <v>93.65</v>
      </c>
      <c r="L19" s="275">
        <f t="shared" ref="L19:L26" si="4">ROUND(IF(COUNTIF(C19,"*住宅*")&gt;0,E$29*E19/E$32,0),2)</f>
        <v>4900</v>
      </c>
      <c r="M19" s="2633">
        <f>K19+L19</f>
        <v>4993.6499999999996</v>
      </c>
      <c r="N19" s="2634"/>
      <c r="O19" s="2635"/>
      <c r="P19" s="2636">
        <f>N19+O19</f>
        <v>0</v>
      </c>
      <c r="R19" s="275">
        <f t="shared" ref="R19:S26" si="5">D19+H19</f>
        <v>65869.09</v>
      </c>
      <c r="S19" s="2301">
        <f t="shared" si="5"/>
        <v>223145.65</v>
      </c>
    </row>
    <row r="20" spans="1:19">
      <c r="A20" s="138"/>
      <c r="B20" s="115" t="s">
        <v>226</v>
      </c>
      <c r="C20" s="3048" t="s">
        <v>2998</v>
      </c>
      <c r="D20" s="111">
        <f t="shared" si="1"/>
        <v>1592.77</v>
      </c>
      <c r="E20" s="134">
        <f t="shared" si="2"/>
        <v>5395.86</v>
      </c>
      <c r="F20" s="135">
        <f>'数据-基础表'!K14</f>
        <v>5395.86</v>
      </c>
      <c r="G20" s="135">
        <v>0</v>
      </c>
      <c r="H20" s="976">
        <f t="shared" ref="H20:H26" si="6">ROUND($D$3*I20/$E$3,2)</f>
        <v>0.68</v>
      </c>
      <c r="I20" s="116">
        <f t="shared" ref="I20:I26" si="7">IF($I$17="自定义",P20,M20)</f>
        <v>2.3199999999999998</v>
      </c>
      <c r="J20" s="1984"/>
      <c r="K20" s="2632">
        <f t="shared" si="3"/>
        <v>2.3199999999999998</v>
      </c>
      <c r="L20" s="275">
        <f t="shared" si="4"/>
        <v>0</v>
      </c>
      <c r="M20" s="2633">
        <f t="shared" ref="M20:M26" si="8">K20+L20</f>
        <v>2.3199999999999998</v>
      </c>
      <c r="N20" s="2634"/>
      <c r="O20" s="2635"/>
      <c r="P20" s="2636">
        <f t="shared" ref="P20:P26" si="9">N20+O20</f>
        <v>0</v>
      </c>
      <c r="R20" s="275">
        <f t="shared" si="5"/>
        <v>1593.45</v>
      </c>
      <c r="S20" s="2301">
        <f t="shared" si="5"/>
        <v>5398.1799999999994</v>
      </c>
    </row>
    <row r="21" spans="1:19">
      <c r="A21" s="138"/>
      <c r="B21" s="115" t="s">
        <v>226</v>
      </c>
      <c r="C21" s="3048" t="s">
        <v>2999</v>
      </c>
      <c r="D21" s="111">
        <f t="shared" si="1"/>
        <v>22718.86</v>
      </c>
      <c r="E21" s="134">
        <f t="shared" si="2"/>
        <v>76965</v>
      </c>
      <c r="F21" s="135">
        <v>0</v>
      </c>
      <c r="G21" s="135">
        <f>'数据-基础表'!M15</f>
        <v>76965</v>
      </c>
      <c r="H21" s="976">
        <f t="shared" si="6"/>
        <v>9.75</v>
      </c>
      <c r="I21" s="116">
        <f t="shared" si="7"/>
        <v>33.04</v>
      </c>
      <c r="J21" s="1984"/>
      <c r="K21" s="2632">
        <f t="shared" si="3"/>
        <v>33.04</v>
      </c>
      <c r="L21" s="275">
        <f t="shared" si="4"/>
        <v>0</v>
      </c>
      <c r="M21" s="2633">
        <f t="shared" si="8"/>
        <v>33.04</v>
      </c>
      <c r="N21" s="2634"/>
      <c r="O21" s="2635"/>
      <c r="P21" s="2636">
        <f t="shared" si="9"/>
        <v>0</v>
      </c>
      <c r="R21" s="275">
        <f t="shared" si="5"/>
        <v>22728.61</v>
      </c>
      <c r="S21" s="2301">
        <f t="shared" si="5"/>
        <v>76998.039999999994</v>
      </c>
    </row>
    <row r="22" spans="1:19">
      <c r="A22" s="138"/>
      <c r="B22" s="115" t="s">
        <v>226</v>
      </c>
      <c r="C22" s="3048" t="s">
        <v>3106</v>
      </c>
      <c r="D22" s="111">
        <f t="shared" si="1"/>
        <v>7560.56</v>
      </c>
      <c r="E22" s="134">
        <f t="shared" si="2"/>
        <v>25613</v>
      </c>
      <c r="F22" s="135">
        <f>'数据-基础表'!O17</f>
        <v>25613</v>
      </c>
      <c r="G22" s="135">
        <v>0</v>
      </c>
      <c r="H22" s="976">
        <f t="shared" si="6"/>
        <v>3.25</v>
      </c>
      <c r="I22" s="116">
        <f t="shared" si="7"/>
        <v>11</v>
      </c>
      <c r="J22" s="1984"/>
      <c r="K22" s="2632">
        <f t="shared" si="3"/>
        <v>11</v>
      </c>
      <c r="L22" s="275">
        <f t="shared" si="4"/>
        <v>0</v>
      </c>
      <c r="M22" s="2633">
        <f t="shared" si="8"/>
        <v>11</v>
      </c>
      <c r="N22" s="2634"/>
      <c r="O22" s="2635"/>
      <c r="P22" s="2636">
        <f t="shared" si="9"/>
        <v>0</v>
      </c>
      <c r="R22" s="275">
        <f t="shared" si="5"/>
        <v>7563.81</v>
      </c>
      <c r="S22" s="2301">
        <f t="shared" si="5"/>
        <v>25624</v>
      </c>
    </row>
    <row r="23" spans="1:19" hidden="1">
      <c r="A23" s="138"/>
      <c r="B23" s="115" t="s">
        <v>226</v>
      </c>
      <c r="C23" s="139"/>
      <c r="D23" s="111">
        <f>ROUND($D$3*E23/$E$3,2)</f>
        <v>0</v>
      </c>
      <c r="E23" s="134">
        <f>SUM(F23:G23)</f>
        <v>0</v>
      </c>
      <c r="F23" s="140"/>
      <c r="G23" s="1370"/>
      <c r="H23" s="976">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hidden="1">
      <c r="A24" s="138"/>
      <c r="B24" s="115" t="s">
        <v>226</v>
      </c>
      <c r="C24" s="139"/>
      <c r="D24" s="111">
        <f>ROUND($D$3*E24/$E$3,2)</f>
        <v>0</v>
      </c>
      <c r="E24" s="134">
        <f>SUM(F24:G24)</f>
        <v>0</v>
      </c>
      <c r="F24" s="140"/>
      <c r="G24" s="1370"/>
      <c r="H24" s="976">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idden="1">
      <c r="A25" s="138"/>
      <c r="B25" s="115" t="s">
        <v>226</v>
      </c>
      <c r="C25" s="139"/>
      <c r="D25" s="111">
        <f t="shared" si="1"/>
        <v>0</v>
      </c>
      <c r="E25" s="134">
        <f t="shared" si="2"/>
        <v>0</v>
      </c>
      <c r="F25" s="140"/>
      <c r="G25" s="1370"/>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idden="1">
      <c r="A26" s="138"/>
      <c r="B26" s="115" t="s">
        <v>226</v>
      </c>
      <c r="C26" s="142"/>
      <c r="D26" s="111">
        <f t="shared" si="1"/>
        <v>0</v>
      </c>
      <c r="E26" s="134">
        <f t="shared" si="2"/>
        <v>0</v>
      </c>
      <c r="F26" s="140"/>
      <c r="G26" s="1370"/>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96267.23</v>
      </c>
      <c r="E27" s="143">
        <f>IF(SUM(E19:E26)='数据-基础表'!BA5,SUM(E19:E26),IF(F27="地上面积有误","面积有误","地下面积有误"))</f>
        <v>326125.86</v>
      </c>
      <c r="F27" s="134">
        <f>IF(SUM(F19:F26)=E8,SUM(F19:F26),"地上面积有误")</f>
        <v>249160.86</v>
      </c>
      <c r="G27" s="112">
        <f>SUM(G19:G26)</f>
        <v>76965</v>
      </c>
      <c r="H27" s="977">
        <f>SUM(H19:H26)</f>
        <v>1487.73</v>
      </c>
      <c r="I27" s="978">
        <f>SUM(I19:I26)</f>
        <v>5040.0099999999993</v>
      </c>
      <c r="J27" s="1984"/>
      <c r="K27" s="2641">
        <f>SUM(K19:K26)</f>
        <v>140.01</v>
      </c>
      <c r="L27" s="2642">
        <f>SUM(L19:L26)</f>
        <v>4900</v>
      </c>
      <c r="M27" s="2643">
        <f>SUM(M19:M26)</f>
        <v>5040.0099999999993</v>
      </c>
      <c r="N27" s="2641">
        <f t="shared" ref="N27:O27" si="10">SUM(N19:N26)</f>
        <v>0</v>
      </c>
      <c r="O27" s="2642">
        <f t="shared" si="10"/>
        <v>0</v>
      </c>
      <c r="P27" s="2644">
        <f>SUM(P19:P26)</f>
        <v>0</v>
      </c>
      <c r="R27" s="2305">
        <f>IF(SUM(R19:R26)=$D$3,SUM(R19:R26),SUM(R19:R26)&amp;"误差"&amp;ROUND(SUM(R19:R26)-$D$3,2))</f>
        <v>97754.959999999992</v>
      </c>
      <c r="S27" s="275" t="str">
        <f>IF(SUM(S19:S26)=$E$3,SUM(S19:S26),SUM(S19:S26)&amp;"误差"&amp;ROUND(SUM(S19:S26)-E3,2))</f>
        <v>331165.87误差0.01</v>
      </c>
    </row>
    <row r="28" spans="1:19">
      <c r="A28" s="138"/>
      <c r="B28" s="115" t="s">
        <v>227</v>
      </c>
      <c r="C28" s="136" t="s">
        <v>228</v>
      </c>
      <c r="D28" s="111">
        <f>ROUND($D$3*E28/$E$3,2)</f>
        <v>41.33</v>
      </c>
      <c r="E28" s="134">
        <f>SUM(F28:G28)</f>
        <v>140</v>
      </c>
      <c r="F28" s="144">
        <f>'数据-基础表'!BQ5+'数据-基础表'!BS5</f>
        <v>140</v>
      </c>
      <c r="G28" s="145">
        <f>'数据-基础表'!BR5+'数据-基础表'!BT5</f>
        <v>0</v>
      </c>
      <c r="H28" s="1984"/>
      <c r="I28" s="1984"/>
      <c r="J28" s="1984"/>
      <c r="K28" s="1984"/>
      <c r="L28" s="1984"/>
    </row>
    <row r="29" spans="1:19">
      <c r="A29" s="138"/>
      <c r="B29" s="115" t="s">
        <v>227</v>
      </c>
      <c r="C29" s="2313" t="s">
        <v>2324</v>
      </c>
      <c r="D29" s="111">
        <f>ROUND($D$3*E29/$E$3,2)</f>
        <v>1446.4</v>
      </c>
      <c r="E29" s="134">
        <f>SUM(F29:G29)</f>
        <v>4900</v>
      </c>
      <c r="F29" s="144">
        <f>'数据-基础表'!BM5+'数据-基础表'!BO5</f>
        <v>4900</v>
      </c>
      <c r="G29" s="146">
        <f>'数据-基础表'!BN5+'数据-基础表'!BP5</f>
        <v>0</v>
      </c>
      <c r="H29" s="1984"/>
      <c r="I29" s="1984"/>
      <c r="J29" s="1984"/>
      <c r="K29" s="1984"/>
      <c r="L29" s="1984"/>
    </row>
    <row r="30" spans="1:19">
      <c r="A30" s="138"/>
      <c r="B30" s="111"/>
      <c r="C30" s="147" t="s">
        <v>215</v>
      </c>
      <c r="D30" s="134">
        <f>SUM(D28:D29)</f>
        <v>1487.73</v>
      </c>
      <c r="E30" s="134">
        <f>SUM(E28:E29)</f>
        <v>5040</v>
      </c>
      <c r="F30" s="134">
        <f>SUM(F28:F29)</f>
        <v>5040</v>
      </c>
      <c r="G30" s="112">
        <f>SUM(G28:G29)</f>
        <v>0</v>
      </c>
      <c r="H30" s="1984"/>
      <c r="I30" s="1984"/>
      <c r="J30" s="1984"/>
      <c r="K30" s="1984"/>
      <c r="L30" s="1984"/>
    </row>
    <row r="31" spans="1:19" ht="32.25" customHeight="1" thickBot="1">
      <c r="A31" s="1371"/>
      <c r="B31" s="1372" t="s">
        <v>229</v>
      </c>
      <c r="C31" s="2330" t="s">
        <v>2326</v>
      </c>
      <c r="D31" s="1373">
        <f>D27+D30</f>
        <v>97754.959999999992</v>
      </c>
      <c r="E31" s="1373">
        <f>E27+E30</f>
        <v>331165.86</v>
      </c>
      <c r="F31" s="1374">
        <f>F27+F30</f>
        <v>254200.86</v>
      </c>
      <c r="G31" s="1375">
        <f>G27+G30</f>
        <v>76965</v>
      </c>
      <c r="H31" s="1984"/>
      <c r="I31" s="1984"/>
      <c r="J31" s="1984"/>
      <c r="K31" s="1984"/>
      <c r="L31" s="1984"/>
    </row>
    <row r="32" spans="1:19">
      <c r="A32" s="1984"/>
      <c r="B32" s="2363" t="s">
        <v>2325</v>
      </c>
      <c r="C32" s="2672"/>
      <c r="D32" s="1203"/>
      <c r="E32" s="1203">
        <f>SUMIF(C19:C26,"*住宅*",E19:E26)</f>
        <v>218152</v>
      </c>
      <c r="F32" s="1203"/>
      <c r="G32" s="1203"/>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AH8" sqref="AH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hidden="1" customWidth="1"/>
    <col min="20" max="20" width="12.125" style="1205" hidden="1"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customWidth="1"/>
    <col min="32" max="32" width="7.25" style="1205" hidden="1" customWidth="1"/>
    <col min="33" max="34" width="7.25" style="1205" customWidth="1"/>
    <col min="35" max="39" width="8" style="1205" customWidth="1"/>
    <col min="40" max="41" width="13.75" style="1998"/>
    <col min="42" max="42" width="0" style="1998" hidden="1" customWidth="1"/>
    <col min="43" max="83" width="13.75" style="1998"/>
    <col min="84" max="16384" width="13.75" style="1205"/>
  </cols>
  <sheetData>
    <row r="1" spans="1:83" ht="19.5" thickBot="1">
      <c r="A1" s="148" t="s">
        <v>234</v>
      </c>
      <c r="B1" s="1204"/>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8" customFormat="1" ht="15.75" thickBot="1">
      <c r="A2" s="149" t="s">
        <v>235</v>
      </c>
      <c r="B2" s="2338">
        <f>项目基本情况!D3</f>
        <v>43025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8" customFormat="1" ht="15" thickBot="1">
      <c r="A3" s="1209"/>
      <c r="B3" s="1206"/>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4"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2835</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8"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61420</v>
      </c>
      <c r="F6" s="174">
        <f>SUMIF(项目基本情况!D$15:I$15,C6,项目基本情况!D$19:I$19)</f>
        <v>50.39</v>
      </c>
      <c r="G6" s="175">
        <f>IF(ISERROR(ROUND(POWER(1+H6,D6-F6)*(POWER(1+H6,F6)-1)/(POWER(1+H6,D6)-1),3)),0,ROUND(POWER(1+H6,D6-F6)*(POWER(1+H6,F6)-1)/(POWER(1+H6,D6)-1),3))</f>
        <v>0.92100000000000004</v>
      </c>
      <c r="H6" s="3049">
        <v>0.04</v>
      </c>
      <c r="I6" s="3049">
        <v>0.05</v>
      </c>
      <c r="J6" s="176">
        <v>8.5000000000000006E-2</v>
      </c>
      <c r="K6" s="179">
        <f>SUMIF('数据-汇总表'!C$19:C$33,'数据-取费表'!A6,'数据-汇总表'!E$19:E$33)</f>
        <v>218152</v>
      </c>
      <c r="L6" s="3050">
        <v>2200</v>
      </c>
      <c r="M6" s="177">
        <f t="shared" ref="M6:M14" si="0">ROUND(K6*L6/10000,0)</f>
        <v>47993</v>
      </c>
      <c r="N6" s="3051">
        <v>0</v>
      </c>
      <c r="O6" s="177">
        <f>IF($N$5="成新度","——",ROUND(M6*N6,0))</f>
        <v>0</v>
      </c>
      <c r="P6" s="178">
        <f>IF($N$5="成新度","——",M6-O6)</f>
        <v>47993</v>
      </c>
      <c r="Q6" s="3052">
        <v>0.1</v>
      </c>
      <c r="R6" s="179">
        <f>SUMIF('数据-汇总表'!C$19:C$33,A6,'数据-汇总表'!R$19:R$33)</f>
        <v>65869.09</v>
      </c>
      <c r="S6" s="132">
        <f>IF('数据-汇总表'!$I$17="按面积比例",SUMIF('数据-汇总表'!C$19:C$33,A6,'数据-汇总表'!K$19:K$33),SUMIF('数据-汇总表'!C$19:C$33,A6,'数据-汇总表'!N$19:N$33))</f>
        <v>93.65</v>
      </c>
      <c r="T6" s="2234">
        <f>IF($T$4="按面积比例",IF(ISERROR(ROUND($M$14*S6/S$16,0)),"0",ROUND($M$14*S6/S$16,0)),"需自行计算录入")</f>
        <v>21</v>
      </c>
      <c r="U6" s="180"/>
      <c r="V6" s="181"/>
      <c r="W6" s="181"/>
      <c r="X6" s="2321"/>
      <c r="Y6" s="182"/>
      <c r="Z6" s="183"/>
      <c r="AA6" s="176"/>
      <c r="AB6" s="176"/>
      <c r="AC6" s="2324"/>
      <c r="AD6" s="184"/>
      <c r="AE6" s="974">
        <f ca="1">IF(AN6="",0,SUMIF(INDIRECT("'"&amp;AN6&amp;"'"&amp;"!E:E"),$AE$5,INDIRECT("'"&amp;AN6&amp;"'"&amp;"!F:F")))</f>
        <v>0</v>
      </c>
      <c r="AF6" s="141"/>
      <c r="AG6" s="1215">
        <f>IF(AF6="",0,AE6-AF6)</f>
        <v>0</v>
      </c>
      <c r="AH6" s="141"/>
      <c r="AI6" s="187"/>
      <c r="AJ6" s="188"/>
      <c r="AK6" s="189"/>
      <c r="AL6" s="190"/>
      <c r="AM6" s="3063"/>
      <c r="AN6" s="2416"/>
      <c r="AO6" s="2000"/>
      <c r="AP6" s="1206">
        <f>ROUND(1-1/(1+H6)^F6,3)</f>
        <v>0.86099999999999999</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8" customFormat="1" ht="14.25">
      <c r="A7" s="2302" t="str">
        <f>'数据-汇总表'!C20</f>
        <v>商业</v>
      </c>
      <c r="B7" s="2337" t="str">
        <f t="shared" ref="B7:B13" si="1">IF(A7=0,"","经营性")</f>
        <v>经营性</v>
      </c>
      <c r="C7" s="173" t="s">
        <v>2989</v>
      </c>
      <c r="D7" s="2308">
        <f>SUMIF(项目基本情况!D$15:I$15,C7,项目基本情况!D$18:I$18)</f>
        <v>40</v>
      </c>
      <c r="E7" s="2309">
        <f>IF(B7="","",SUMIF(项目基本情况!D$15:I$15,C7,项目基本情况!D$17:I$17))</f>
        <v>50463</v>
      </c>
      <c r="F7" s="174">
        <f>SUMIF(项目基本情况!D$15:I$15,C7,项目基本情况!D$19:I$19)</f>
        <v>20.37</v>
      </c>
      <c r="G7" s="175">
        <f t="shared" ref="G7:G11" si="2">IF(ISERROR(ROUND(POWER(1+H7,D7-F7)*(POWER(1+H7,F7)-1)/(POWER(1+H7,D7)-1),3)),0,ROUND(POWER(1+H7,D7-F7)*(POWER(1+H7,F7)-1)/(POWER(1+H7,D7)-1),3))</f>
        <v>0.71499999999999997</v>
      </c>
      <c r="H7" s="3049">
        <v>4.4999999999999998E-2</v>
      </c>
      <c r="I7" s="3049">
        <v>5.5E-2</v>
      </c>
      <c r="J7" s="176">
        <v>8.5000000000000006E-2</v>
      </c>
      <c r="K7" s="179">
        <f>SUMIF('数据-汇总表'!C$19:C$33,'数据-取费表'!A7,'数据-汇总表'!E$19:E$33)</f>
        <v>5395.86</v>
      </c>
      <c r="L7" s="3050">
        <v>2400</v>
      </c>
      <c r="M7" s="177">
        <f t="shared" si="0"/>
        <v>1295</v>
      </c>
      <c r="N7" s="3051">
        <v>0</v>
      </c>
      <c r="O7" s="177">
        <f t="shared" ref="O7:O14" si="3">IF($N$5="成新度","——",ROUND(M7*N7,0))</f>
        <v>0</v>
      </c>
      <c r="P7" s="178">
        <f t="shared" ref="P7:P14" si="4">IF($N$5="成新度","——",M7-O7)</f>
        <v>1295</v>
      </c>
      <c r="Q7" s="3052">
        <v>0.2</v>
      </c>
      <c r="R7" s="179">
        <f>SUMIF('数据-汇总表'!C$19:C$33,A7,'数据-汇总表'!R$19:R$33)</f>
        <v>1593.45</v>
      </c>
      <c r="S7" s="132">
        <f>IF('数据-汇总表'!$I$17="按面积比例",SUMIF('数据-汇总表'!C$19:C$33,A7,'数据-汇总表'!K$19:K$33),SUMIF('数据-汇总表'!C$19:C$33,A7,'数据-汇总表'!N$19:N$33))</f>
        <v>2.3199999999999998</v>
      </c>
      <c r="T7" s="2234">
        <f t="shared" ref="T7:T13" si="5">IF($T$4="按面积比例",IF(ISERROR(ROUND($M$14*S7/S$16,0)),"0",ROUND($M$14*S7/S$16,0)),"需自行计算录入")</f>
        <v>1</v>
      </c>
      <c r="U7" s="180">
        <v>5</v>
      </c>
      <c r="V7" s="181">
        <v>0.03</v>
      </c>
      <c r="W7" s="181">
        <v>0.1</v>
      </c>
      <c r="X7" s="2321"/>
      <c r="Y7" s="182">
        <v>1</v>
      </c>
      <c r="Z7" s="183"/>
      <c r="AA7" s="176"/>
      <c r="AB7" s="176"/>
      <c r="AC7" s="2324"/>
      <c r="AD7" s="184">
        <v>1</v>
      </c>
      <c r="AE7" s="974">
        <f t="shared" ref="AE7:AE13" ca="1" si="6">IF(AN7="",0,SUMIF(INDIRECT("'"&amp;AN7&amp;"'"&amp;"!E:E"),$AE$5,INDIRECT("'"&amp;AN7&amp;"'"&amp;"!F:F")))</f>
        <v>17.87</v>
      </c>
      <c r="AF7" s="141"/>
      <c r="AG7" s="1215">
        <f t="shared" ref="AG7:AG13" si="7">IF(AF7="",0,AE7-AF7)</f>
        <v>0</v>
      </c>
      <c r="AH7" s="141"/>
      <c r="AI7" s="187">
        <v>365</v>
      </c>
      <c r="AJ7" s="188"/>
      <c r="AK7" s="3188">
        <v>1.4999999999999999E-2</v>
      </c>
      <c r="AL7" s="190">
        <v>2E-3</v>
      </c>
      <c r="AM7" s="2414">
        <v>0.01</v>
      </c>
      <c r="AN7" s="2416" t="s">
        <v>3049</v>
      </c>
      <c r="AO7" s="2000"/>
      <c r="AP7" s="1206">
        <f t="shared" ref="AP7:AP13" si="8">ROUND(1-1/(1+H7)^F7,3)</f>
        <v>0.59199999999999997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8" customFormat="1" ht="14.25">
      <c r="A8" s="2302" t="str">
        <f>'数据-汇总表'!C21</f>
        <v>车库</v>
      </c>
      <c r="B8" s="2337" t="str">
        <f t="shared" si="1"/>
        <v>经营性</v>
      </c>
      <c r="C8" s="173" t="s">
        <v>2994</v>
      </c>
      <c r="D8" s="2308">
        <f>SUMIF(项目基本情况!D$15:I$15,C8,项目基本情况!D$18:I$18)</f>
        <v>50</v>
      </c>
      <c r="E8" s="2309">
        <f>IF(B8="","",SUMIF(项目基本情况!D$15:I$15,C8,项目基本情况!D$17:I$17))</f>
        <v>54115</v>
      </c>
      <c r="F8" s="174">
        <f>SUMIF(项目基本情况!D$15:I$15,C8,项目基本情况!D$19:I$19)</f>
        <v>30.38</v>
      </c>
      <c r="G8" s="175">
        <f t="shared" si="2"/>
        <v>0.82899999999999996</v>
      </c>
      <c r="H8" s="3049">
        <v>4.4999999999999998E-2</v>
      </c>
      <c r="I8" s="3049">
        <v>5.5E-2</v>
      </c>
      <c r="J8" s="176">
        <v>8.5000000000000006E-2</v>
      </c>
      <c r="K8" s="179">
        <f>SUMIF('数据-汇总表'!C$19:C$33,'数据-取费表'!A8,'数据-汇总表'!E$19:E$33)</f>
        <v>76965</v>
      </c>
      <c r="L8" s="3050">
        <v>2400</v>
      </c>
      <c r="M8" s="177">
        <f>ROUND(K8*L8/10000,0)</f>
        <v>18472</v>
      </c>
      <c r="N8" s="3051">
        <v>0</v>
      </c>
      <c r="O8" s="177">
        <f t="shared" si="3"/>
        <v>0</v>
      </c>
      <c r="P8" s="178">
        <f t="shared" si="4"/>
        <v>18472</v>
      </c>
      <c r="Q8" s="3052">
        <v>0.03</v>
      </c>
      <c r="R8" s="179">
        <f>SUMIF('数据-汇总表'!C$19:C$33,A8,'数据-汇总表'!R$19:R$33)</f>
        <v>22728.61</v>
      </c>
      <c r="S8" s="132">
        <f>IF('数据-汇总表'!$I$17="按面积比例",SUMIF('数据-汇总表'!C$19:C$33,A8,'数据-汇总表'!K$19:K$33),SUMIF('数据-汇总表'!C$19:C$33,A8,'数据-汇总表'!N$19:N$33))</f>
        <v>33.04</v>
      </c>
      <c r="T8" s="2234">
        <f t="shared" si="5"/>
        <v>7</v>
      </c>
      <c r="U8" s="180">
        <v>600</v>
      </c>
      <c r="V8" s="181">
        <v>0.02</v>
      </c>
      <c r="W8" s="181">
        <v>0.05</v>
      </c>
      <c r="X8" s="2321"/>
      <c r="Y8" s="182">
        <v>1</v>
      </c>
      <c r="Z8" s="183"/>
      <c r="AA8" s="176"/>
      <c r="AB8" s="176"/>
      <c r="AC8" s="2324"/>
      <c r="AD8" s="184">
        <v>1</v>
      </c>
      <c r="AE8" s="974">
        <f t="shared" ca="1" si="6"/>
        <v>27.88</v>
      </c>
      <c r="AF8" s="141"/>
      <c r="AG8" s="1215">
        <f t="shared" si="7"/>
        <v>0</v>
      </c>
      <c r="AH8" s="141">
        <f>面积表!B7+面积表!D7</f>
        <v>2081</v>
      </c>
      <c r="AI8" s="187">
        <v>12</v>
      </c>
      <c r="AJ8" s="188"/>
      <c r="AK8" s="3188">
        <v>1.4999999999999999E-2</v>
      </c>
      <c r="AL8" s="190">
        <v>2E-3</v>
      </c>
      <c r="AM8" s="2414">
        <v>0.01</v>
      </c>
      <c r="AN8" s="2416" t="s">
        <v>3023</v>
      </c>
      <c r="AO8" s="2000"/>
      <c r="AP8" s="1206">
        <f t="shared" si="8"/>
        <v>0.73699999999999999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8" customFormat="1" ht="14.25">
      <c r="A9" s="2302" t="str">
        <f>'数据-汇总表'!C22</f>
        <v>公寓</v>
      </c>
      <c r="B9" s="2337" t="str">
        <f t="shared" si="1"/>
        <v>经营性</v>
      </c>
      <c r="C9" s="173" t="s">
        <v>1679</v>
      </c>
      <c r="D9" s="2308">
        <f>SUMIF(项目基本情况!D$15:I$15,C9,项目基本情况!D$18:I$18)</f>
        <v>50</v>
      </c>
      <c r="E9" s="2309">
        <f>IF(B9="","",SUMIF(项目基本情况!D$15:I$15,C9,项目基本情况!D$17:I$17))</f>
        <v>54115</v>
      </c>
      <c r="F9" s="174">
        <f>SUMIF(项目基本情况!D$15:I$15,C9,项目基本情况!D$19:I$19)</f>
        <v>30.38</v>
      </c>
      <c r="G9" s="175">
        <f t="shared" si="2"/>
        <v>0.82899999999999996</v>
      </c>
      <c r="H9" s="3049">
        <v>4.4999999999999998E-2</v>
      </c>
      <c r="I9" s="3049">
        <v>5.5E-2</v>
      </c>
      <c r="J9" s="176">
        <v>8.5000000000000006E-2</v>
      </c>
      <c r="K9" s="179">
        <f>SUMIF('数据-汇总表'!C$19:C$33,'数据-取费表'!A9,'数据-汇总表'!E$19:E$33)</f>
        <v>25613</v>
      </c>
      <c r="L9" s="193">
        <v>2400</v>
      </c>
      <c r="M9" s="177">
        <f t="shared" si="0"/>
        <v>6147</v>
      </c>
      <c r="N9" s="194">
        <v>0</v>
      </c>
      <c r="O9" s="177">
        <f t="shared" si="3"/>
        <v>0</v>
      </c>
      <c r="P9" s="178">
        <f t="shared" si="4"/>
        <v>6147</v>
      </c>
      <c r="Q9" s="192">
        <v>0.15</v>
      </c>
      <c r="R9" s="179">
        <f>SUMIF('数据-汇总表'!C$19:C$33,A9,'数据-汇总表'!R$19:R$33)</f>
        <v>7563.81</v>
      </c>
      <c r="S9" s="132">
        <f>IF('数据-汇总表'!$I$17="按面积比例",SUMIF('数据-汇总表'!C$19:C$33,A9,'数据-汇总表'!K$19:K$33),SUMIF('数据-汇总表'!C$19:C$33,A9,'数据-汇总表'!N$19:N$33))</f>
        <v>11</v>
      </c>
      <c r="T9" s="2234">
        <f t="shared" si="5"/>
        <v>2</v>
      </c>
      <c r="U9" s="180"/>
      <c r="V9" s="181"/>
      <c r="W9" s="181"/>
      <c r="X9" s="2321"/>
      <c r="Y9" s="182"/>
      <c r="Z9" s="183"/>
      <c r="AA9" s="176"/>
      <c r="AB9" s="176"/>
      <c r="AC9" s="2324"/>
      <c r="AD9" s="184"/>
      <c r="AE9" s="974">
        <f t="shared" ca="1" si="6"/>
        <v>0</v>
      </c>
      <c r="AF9" s="141"/>
      <c r="AG9" s="1215">
        <f t="shared" si="7"/>
        <v>0</v>
      </c>
      <c r="AH9" s="141"/>
      <c r="AI9" s="187"/>
      <c r="AJ9" s="188"/>
      <c r="AK9" s="189"/>
      <c r="AL9" s="190"/>
      <c r="AM9" s="2414"/>
      <c r="AN9" s="2416"/>
      <c r="AO9" s="2000"/>
      <c r="AP9" s="1206">
        <f t="shared" si="8"/>
        <v>0.73699999999999999</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8"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4">
        <f t="shared" ca="1" si="6"/>
        <v>0</v>
      </c>
      <c r="AF10" s="141"/>
      <c r="AG10" s="1215">
        <f t="shared" si="7"/>
        <v>0</v>
      </c>
      <c r="AH10" s="141"/>
      <c r="AI10" s="187"/>
      <c r="AJ10" s="188"/>
      <c r="AK10" s="189"/>
      <c r="AL10" s="190"/>
      <c r="AM10" s="2414"/>
      <c r="AN10" s="2416"/>
      <c r="AO10" s="2000"/>
      <c r="AP10" s="1206">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8"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4">
        <f t="shared" ca="1" si="6"/>
        <v>0</v>
      </c>
      <c r="AF11" s="141"/>
      <c r="AG11" s="1215">
        <f t="shared" si="7"/>
        <v>0</v>
      </c>
      <c r="AH11" s="141"/>
      <c r="AI11" s="187"/>
      <c r="AJ11" s="188"/>
      <c r="AK11" s="196"/>
      <c r="AL11" s="197"/>
      <c r="AM11" s="1817"/>
      <c r="AN11" s="2416"/>
      <c r="AO11" s="2000"/>
      <c r="AP11" s="1206">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8"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4">
        <f t="shared" ca="1" si="6"/>
        <v>0</v>
      </c>
      <c r="AF12" s="141"/>
      <c r="AG12" s="1215">
        <f t="shared" si="7"/>
        <v>0</v>
      </c>
      <c r="AH12" s="141"/>
      <c r="AI12" s="187"/>
      <c r="AJ12" s="188"/>
      <c r="AK12" s="196"/>
      <c r="AL12" s="197"/>
      <c r="AM12" s="1817"/>
      <c r="AN12" s="2416"/>
      <c r="AO12" s="2000"/>
      <c r="AP12" s="1206">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8"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4">
        <f t="shared" ca="1" si="6"/>
        <v>0</v>
      </c>
      <c r="AF13" s="141"/>
      <c r="AG13" s="1215">
        <f t="shared" si="7"/>
        <v>0</v>
      </c>
      <c r="AH13" s="141"/>
      <c r="AI13" s="187"/>
      <c r="AJ13" s="188"/>
      <c r="AK13" s="189"/>
      <c r="AL13" s="190"/>
      <c r="AM13" s="2414"/>
      <c r="AN13" s="2416"/>
      <c r="AO13" s="2000"/>
      <c r="AP13" s="1206">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8" customFormat="1" ht="14.25">
      <c r="A14" s="2303" t="s">
        <v>2318</v>
      </c>
      <c r="B14" s="2306" t="s">
        <v>1681</v>
      </c>
      <c r="C14" s="2307" t="s">
        <v>2318</v>
      </c>
      <c r="D14" s="2308"/>
      <c r="E14" s="2309"/>
      <c r="F14" s="174"/>
      <c r="G14" s="175"/>
      <c r="H14" s="2310"/>
      <c r="I14" s="2310"/>
      <c r="J14" s="2310"/>
      <c r="K14" s="179">
        <f>SUMIF('数据-汇总表'!C$19:C$33,'数据-取费表'!A14,'数据-汇总表'!E$19:E$33)</f>
        <v>140</v>
      </c>
      <c r="L14" s="3187">
        <v>2200</v>
      </c>
      <c r="M14" s="177">
        <f t="shared" si="0"/>
        <v>31</v>
      </c>
      <c r="N14" s="194">
        <v>0</v>
      </c>
      <c r="O14" s="177">
        <f t="shared" si="3"/>
        <v>0</v>
      </c>
      <c r="P14" s="178">
        <f t="shared" si="4"/>
        <v>31</v>
      </c>
      <c r="Q14" s="2318"/>
      <c r="R14" s="179"/>
      <c r="S14" s="132"/>
      <c r="T14" s="2317"/>
      <c r="U14" s="976"/>
      <c r="V14" s="2320"/>
      <c r="W14" s="2320"/>
      <c r="X14" s="2321"/>
      <c r="Y14" s="2322"/>
      <c r="Z14" s="136"/>
      <c r="AA14" s="2323"/>
      <c r="AB14" s="2323"/>
      <c r="AC14" s="2324"/>
      <c r="AD14" s="2321"/>
      <c r="AE14" s="974"/>
      <c r="AF14" s="2296"/>
      <c r="AG14" s="1215"/>
      <c r="AH14" s="2296"/>
      <c r="AI14" s="1573"/>
      <c r="AJ14" s="1573"/>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8" customFormat="1" ht="27">
      <c r="A15" s="2312" t="s">
        <v>2320</v>
      </c>
      <c r="B15" s="2306" t="s">
        <v>1681</v>
      </c>
      <c r="C15" s="2307" t="s">
        <v>2319</v>
      </c>
      <c r="D15" s="2308"/>
      <c r="E15" s="2309"/>
      <c r="F15" s="174"/>
      <c r="G15" s="175"/>
      <c r="H15" s="2310"/>
      <c r="I15" s="2310"/>
      <c r="J15" s="2310"/>
      <c r="K15" s="179">
        <f>SUMIF('数据-汇总表'!C$19:C$33,'数据-取费表'!A15,'数据-汇总表'!E$19:E$33)</f>
        <v>4900</v>
      </c>
      <c r="L15" s="2316"/>
      <c r="M15" s="177"/>
      <c r="N15" s="2319"/>
      <c r="O15" s="177"/>
      <c r="P15" s="178"/>
      <c r="Q15" s="2318"/>
      <c r="R15" s="179"/>
      <c r="S15" s="132"/>
      <c r="T15" s="2317"/>
      <c r="U15" s="976"/>
      <c r="V15" s="2320"/>
      <c r="W15" s="2320"/>
      <c r="X15" s="2321"/>
      <c r="Y15" s="2322"/>
      <c r="Z15" s="136"/>
      <c r="AA15" s="2323"/>
      <c r="AB15" s="2323"/>
      <c r="AC15" s="2324"/>
      <c r="AD15" s="2321"/>
      <c r="AE15" s="974"/>
      <c r="AF15" s="2296"/>
      <c r="AG15" s="1215"/>
      <c r="AH15" s="2296"/>
      <c r="AI15" s="1573"/>
      <c r="AJ15" s="1573"/>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8" customFormat="1" ht="15.75" thickBot="1">
      <c r="A16" s="198" t="s">
        <v>262</v>
      </c>
      <c r="B16" s="199"/>
      <c r="C16" s="200"/>
      <c r="D16" s="201"/>
      <c r="E16" s="199"/>
      <c r="F16" s="199"/>
      <c r="G16" s="202">
        <f>ROUND(SUMPRODUCT(G6:G13,K6:K13)/SUMPRODUCT((G6:G13&gt;0)*(K6:K13)),3)</f>
        <v>0.88900000000000001</v>
      </c>
      <c r="H16" s="203">
        <f>ROUND(SUMPRODUCT(H6:H13,K6:K13)/SUMPRODUCT((H6:H13&gt;0)*(K6:K13)),3)</f>
        <v>4.2000000000000003E-2</v>
      </c>
      <c r="I16" s="204"/>
      <c r="J16" s="204"/>
      <c r="K16" s="205">
        <f>SUM(K6:K15)</f>
        <v>331165.86</v>
      </c>
      <c r="L16" s="206">
        <f>ROUND(M16*10000/SUM(K6:K14),0)</f>
        <v>2266</v>
      </c>
      <c r="M16" s="206">
        <f>SUM(M6:M14)</f>
        <v>73938</v>
      </c>
      <c r="N16" s="207">
        <f>ROUND(SUMPRODUCT(M6:M14,N6:N14)/M16,3)</f>
        <v>0</v>
      </c>
      <c r="O16" s="206">
        <f>SUM(O6:O14)</f>
        <v>0</v>
      </c>
      <c r="P16" s="206">
        <f>SUM(P6:P14)</f>
        <v>73938</v>
      </c>
      <c r="Q16" s="208">
        <f>ROUND(SUMPRODUCT(Q6:Q13,K6:K13)/SUMPRODUCT((Q6:Q13&gt;0)*(K6:K13)),2)</f>
        <v>0.09</v>
      </c>
      <c r="R16" s="2311">
        <f>SUM(R6:R13)</f>
        <v>97754.959999999992</v>
      </c>
      <c r="S16" s="209">
        <f>SUM(S6:S13)</f>
        <v>140.01</v>
      </c>
      <c r="T16" s="210">
        <f>IF(SUMIF(T6:T13,"&lt;9E307")=M14,SUMIF(T6:T13,"&lt;9E307"),"有误，请检查")</f>
        <v>31</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6">
        <f>ROUND(SUMPRODUCT(AP6:AP13,K6:K13)/SUMPRODUCT((AP6:AP13&gt;0)*(K6:K13)),3)</f>
        <v>0.81799999999999995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6"/>
      <c r="B17" s="1204"/>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6"/>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9"/>
      <c r="B25" s="1206"/>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7" customFormat="1" ht="27.75">
      <c r="A27" s="226" t="s">
        <v>2342</v>
      </c>
      <c r="B27" s="227">
        <v>170</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7" customFormat="1" ht="27.75">
      <c r="A28" s="228" t="s">
        <v>2343</v>
      </c>
      <c r="B28" s="229">
        <v>170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7" customFormat="1" ht="28.5" thickBot="1">
      <c r="A29" s="231" t="s">
        <v>2341</v>
      </c>
      <c r="B29" s="232">
        <v>0</v>
      </c>
      <c r="C29" s="1554"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7" customFormat="1" ht="27">
      <c r="A30" s="235" t="s">
        <v>273</v>
      </c>
      <c r="B30" s="980">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7" customFormat="1" ht="27">
      <c r="A31" s="228" t="s">
        <v>274</v>
      </c>
      <c r="B31" s="230">
        <f>B30-B32</f>
        <v>100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7" customFormat="1" ht="27.75" thickBot="1">
      <c r="A32" s="237" t="s">
        <v>275</v>
      </c>
      <c r="B32" s="1379">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7" customFormat="1" ht="14.25">
      <c r="A33" s="226" t="s">
        <v>278</v>
      </c>
      <c r="B33" s="1380">
        <v>0.03</v>
      </c>
      <c r="C33" s="2365" t="s">
        <v>2898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2899</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2901</v>
      </c>
      <c r="D36" s="1990"/>
      <c r="E36" s="1204"/>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3">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81" t="s">
        <v>283</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81"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8" t="s">
        <v>2906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99" t="s">
        <v>2907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9" t="s">
        <v>2908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3000</v>
      </c>
      <c r="C53" s="3100" t="s">
        <v>2909</v>
      </c>
      <c r="D53" s="3101"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2911</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2912</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2913</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3001</v>
      </c>
      <c r="B57" s="186">
        <v>3</v>
      </c>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2914</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2915</v>
      </c>
      <c r="B59" s="186"/>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8" t="s">
        <v>1665</v>
      </c>
      <c r="B1" s="3279"/>
      <c r="C1" s="3279"/>
      <c r="D1" s="3279"/>
      <c r="E1" s="3279"/>
      <c r="F1" s="3279"/>
      <c r="G1" s="3279"/>
      <c r="H1" s="2002"/>
      <c r="I1" s="2003"/>
      <c r="J1" s="2004"/>
      <c r="K1" s="2002"/>
      <c r="L1" s="2003"/>
      <c r="M1" s="2004"/>
      <c r="N1" s="2002"/>
      <c r="O1" s="2003"/>
      <c r="P1" s="2004"/>
      <c r="Q1" s="2005"/>
      <c r="R1" s="2006"/>
    </row>
    <row r="2" spans="1:18" ht="14.25" thickBot="1">
      <c r="A2" s="1223"/>
      <c r="B2" s="1224"/>
      <c r="C2" s="1225" t="s">
        <v>1666</v>
      </c>
      <c r="D2" s="1226"/>
      <c r="E2" s="1227"/>
      <c r="F2" s="1228"/>
      <c r="G2" s="1225" t="s">
        <v>1667</v>
      </c>
      <c r="H2" s="2008"/>
      <c r="I2" s="2008"/>
      <c r="J2" s="2008"/>
      <c r="K2" s="2008"/>
      <c r="L2" s="2008"/>
      <c r="M2" s="2008"/>
      <c r="N2" s="2008"/>
      <c r="O2" s="2008"/>
      <c r="P2" s="2008"/>
      <c r="Q2" s="2008"/>
      <c r="R2" s="2008"/>
    </row>
    <row r="3" spans="1:18" ht="54">
      <c r="A3" s="1229" t="s">
        <v>1668</v>
      </c>
      <c r="B3" s="1230" t="s">
        <v>1655</v>
      </c>
      <c r="C3" s="3105" t="s">
        <v>2926</v>
      </c>
      <c r="D3" s="2009"/>
      <c r="E3" s="1231" t="s">
        <v>1668</v>
      </c>
      <c r="F3" s="1232" t="s">
        <v>1656</v>
      </c>
      <c r="G3" s="3109" t="s">
        <v>2925</v>
      </c>
      <c r="H3" s="2008"/>
      <c r="I3" s="2008"/>
      <c r="J3" s="2008"/>
      <c r="K3" s="2008"/>
      <c r="L3" s="2008"/>
      <c r="M3" s="2008"/>
      <c r="N3" s="2008"/>
      <c r="O3" s="2008"/>
      <c r="P3" s="2008"/>
      <c r="Q3" s="2008"/>
      <c r="R3" s="2008"/>
    </row>
    <row r="4" spans="1:18" ht="41.25">
      <c r="A4" s="1231"/>
      <c r="B4" s="1233" t="s">
        <v>1669</v>
      </c>
      <c r="C4" s="3106" t="s">
        <v>2927</v>
      </c>
      <c r="D4" s="2009"/>
      <c r="E4" s="1234"/>
      <c r="F4" s="1235" t="s">
        <v>1670</v>
      </c>
      <c r="G4" s="3107" t="s">
        <v>2922</v>
      </c>
      <c r="H4" s="2008"/>
      <c r="I4" s="2008"/>
      <c r="J4" s="2008"/>
      <c r="K4" s="2008"/>
      <c r="L4" s="2008"/>
      <c r="M4" s="2008"/>
      <c r="N4" s="2008"/>
      <c r="O4" s="2008"/>
      <c r="P4" s="2008"/>
      <c r="Q4" s="2008"/>
      <c r="R4" s="2008"/>
    </row>
    <row r="5" spans="1:18" ht="41.25">
      <c r="A5" s="1231"/>
      <c r="B5" s="1233" t="s">
        <v>1671</v>
      </c>
      <c r="C5" s="3106" t="s">
        <v>2928</v>
      </c>
      <c r="D5" s="2009"/>
      <c r="E5" s="1234"/>
      <c r="F5" s="1233" t="s">
        <v>2551</v>
      </c>
      <c r="G5" s="3107" t="s">
        <v>2923</v>
      </c>
      <c r="H5" s="2008"/>
      <c r="I5" s="2008"/>
      <c r="J5" s="2008"/>
      <c r="K5" s="2008"/>
      <c r="L5" s="2008"/>
      <c r="M5" s="2008"/>
      <c r="N5" s="2008"/>
      <c r="O5" s="2008"/>
      <c r="P5" s="2008"/>
      <c r="Q5" s="2008"/>
      <c r="R5" s="2008"/>
    </row>
    <row r="6" spans="1:18" ht="54">
      <c r="A6" s="1231"/>
      <c r="B6" s="1233" t="s">
        <v>1657</v>
      </c>
      <c r="C6" s="3107" t="s">
        <v>2922</v>
      </c>
      <c r="D6" s="2009"/>
      <c r="E6" s="1234"/>
      <c r="F6" s="1233" t="s">
        <v>2552</v>
      </c>
      <c r="G6" s="3107" t="s">
        <v>2920</v>
      </c>
      <c r="H6" s="2008"/>
      <c r="I6" s="2008"/>
      <c r="J6" s="2008"/>
      <c r="K6" s="2008"/>
      <c r="L6" s="2008"/>
      <c r="M6" s="2008"/>
      <c r="N6" s="2008"/>
      <c r="O6" s="2008"/>
      <c r="P6" s="2008"/>
      <c r="Q6" s="2008"/>
      <c r="R6" s="2008"/>
    </row>
    <row r="7" spans="1:18" ht="41.25" thickBot="1">
      <c r="A7" s="1231"/>
      <c r="B7" s="1233" t="s">
        <v>2551</v>
      </c>
      <c r="C7" s="3107" t="s">
        <v>2923</v>
      </c>
      <c r="D7" s="2010"/>
      <c r="E7" s="1236"/>
      <c r="F7" s="1237" t="s">
        <v>1672</v>
      </c>
      <c r="G7" s="3110" t="s">
        <v>2924</v>
      </c>
      <c r="H7" s="2008"/>
      <c r="I7" s="2008"/>
      <c r="J7" s="2008"/>
      <c r="K7" s="2008"/>
      <c r="L7" s="2008"/>
      <c r="M7" s="2008"/>
      <c r="N7" s="2008"/>
      <c r="O7" s="2008"/>
      <c r="P7" s="2008"/>
      <c r="Q7" s="2008"/>
      <c r="R7" s="2008"/>
    </row>
    <row r="8" spans="1:18" ht="27">
      <c r="A8" s="1231"/>
      <c r="B8" s="1233" t="s">
        <v>2552</v>
      </c>
      <c r="C8" s="3107" t="s">
        <v>2920</v>
      </c>
      <c r="D8" s="2010"/>
      <c r="E8" s="2010"/>
      <c r="F8" s="1555"/>
      <c r="G8" s="1555"/>
      <c r="H8" s="2008"/>
      <c r="I8" s="2008"/>
      <c r="J8" s="2008"/>
      <c r="K8" s="2008"/>
      <c r="L8" s="2008"/>
      <c r="M8" s="2008"/>
      <c r="N8" s="2008"/>
      <c r="O8" s="2008"/>
      <c r="P8" s="2008"/>
      <c r="Q8" s="2008"/>
      <c r="R8" s="2008"/>
    </row>
    <row r="9" spans="1:18" ht="40.5">
      <c r="A9" s="1231"/>
      <c r="B9" s="1233" t="s">
        <v>1658</v>
      </c>
      <c r="C9" s="3106" t="s">
        <v>2921</v>
      </c>
      <c r="D9" s="2009"/>
      <c r="E9" s="2010"/>
      <c r="F9" s="1555"/>
      <c r="G9" s="1555"/>
      <c r="H9" s="2008"/>
      <c r="I9" s="2008"/>
      <c r="J9" s="2008"/>
      <c r="K9" s="2008"/>
      <c r="L9" s="2008"/>
      <c r="M9" s="2008"/>
      <c r="N9" s="2008"/>
      <c r="O9" s="2008"/>
      <c r="P9" s="2008"/>
      <c r="Q9" s="2008"/>
      <c r="R9" s="2008"/>
    </row>
    <row r="10" spans="1:18" s="2016" customFormat="1" ht="15" thickBot="1">
      <c r="A10" s="1238"/>
      <c r="B10" s="1239" t="s">
        <v>1673</v>
      </c>
      <c r="C10" s="3108"/>
      <c r="D10" s="2009"/>
      <c r="E10" s="2009"/>
      <c r="F10" s="1555"/>
      <c r="G10" s="1555"/>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6"/>
      <c r="E13" s="2602"/>
      <c r="F13" s="2602"/>
      <c r="G13" s="2602"/>
    </row>
    <row r="14" spans="1:18" ht="14.25" thickBot="1">
      <c r="A14" s="1240"/>
      <c r="B14" s="1241"/>
      <c r="C14" s="1242" t="s">
        <v>1666</v>
      </c>
      <c r="D14" s="2009"/>
      <c r="E14" s="1243"/>
      <c r="F14" s="1243"/>
      <c r="G14" s="1225" t="s">
        <v>1667</v>
      </c>
    </row>
    <row r="15" spans="1:18" ht="54">
      <c r="A15" s="2612" t="s">
        <v>1659</v>
      </c>
      <c r="B15" s="1244" t="s">
        <v>1655</v>
      </c>
      <c r="C15" s="1245" t="str">
        <f>C3</f>
        <v>估价对象周边居住用地比例、居住小区规模和社区发展完善程度，综合评价居住社区成熟度一般</v>
      </c>
      <c r="D15" s="2009"/>
      <c r="E15" s="2609" t="s">
        <v>1660</v>
      </c>
      <c r="F15" s="1244" t="s">
        <v>1675</v>
      </c>
      <c r="G15" s="1246" t="str">
        <f>G3</f>
        <v>估价对象位于XX开发区，园区建设成熟度XX，产业集聚程度XX</v>
      </c>
    </row>
    <row r="16" spans="1:18" ht="40.5">
      <c r="A16" s="2613"/>
      <c r="B16" s="1247" t="s">
        <v>1669</v>
      </c>
      <c r="C16" s="1248" t="str">
        <f>C4</f>
        <v>估价对象位于XX商圈，周边商业氛围成熟，人流量大，商业繁华度好</v>
      </c>
      <c r="D16" s="2009"/>
      <c r="E16" s="2610"/>
      <c r="F16" s="1249" t="s">
        <v>1670</v>
      </c>
      <c r="G16" s="1007" t="str">
        <f>G4</f>
        <v>估价对象周边道路状况、公共交通通达情况、停车便捷程度，综合评价交通便捷度较好</v>
      </c>
    </row>
    <row r="17" spans="1:7" ht="40.5">
      <c r="A17" s="2613"/>
      <c r="B17" s="1247" t="s">
        <v>1671</v>
      </c>
      <c r="C17" s="1248" t="str">
        <f>C5</f>
        <v>估价对象位于XX商圈，周边办公楼项目较多，入驻率高，办公集聚程度较好</v>
      </c>
      <c r="D17" s="2010"/>
      <c r="E17" s="2610"/>
      <c r="F17" s="1249" t="s">
        <v>1676</v>
      </c>
      <c r="G17" s="2820"/>
    </row>
    <row r="18" spans="1:7" ht="54">
      <c r="A18" s="2613"/>
      <c r="B18" s="1249" t="s">
        <v>1657</v>
      </c>
      <c r="C18" s="1007" t="str">
        <f>C6</f>
        <v>估价对象周边道路状况、公共交通通达情况、停车便捷程度，综合评价交通便捷度较好</v>
      </c>
      <c r="D18" s="2010"/>
      <c r="E18" s="2610"/>
      <c r="F18" s="1249" t="s">
        <v>1672</v>
      </c>
      <c r="G18" s="1007" t="str">
        <f>G7</f>
        <v>该园区内是否有污染型企业，绿化情况，卫生条件，整体环境状况判断</v>
      </c>
    </row>
    <row r="19" spans="1:7" ht="27">
      <c r="A19" s="2613"/>
      <c r="B19" s="1249" t="s">
        <v>1661</v>
      </c>
      <c r="C19" s="2820"/>
      <c r="D19" s="2009"/>
      <c r="E19" s="2610"/>
      <c r="F19" s="1233" t="s">
        <v>2551</v>
      </c>
      <c r="G19" s="1007" t="str">
        <f>G5</f>
        <v>估价对象所在区域公共配套设施齐备情况</v>
      </c>
    </row>
    <row r="20" spans="1:7" ht="40.5">
      <c r="A20" s="2613"/>
      <c r="B20" s="1249" t="s">
        <v>1662</v>
      </c>
      <c r="C20" s="1248" t="str">
        <f>C9</f>
        <v>区域自然环境：；人文环境；综合评价环境状况一般</v>
      </c>
      <c r="D20" s="2010"/>
      <c r="E20" s="2610"/>
      <c r="F20" s="1233" t="s">
        <v>2552</v>
      </c>
      <c r="G20" s="1007" t="str">
        <f>G6</f>
        <v>估价对象所在区域基础设施水平</v>
      </c>
    </row>
    <row r="21" spans="1:7" ht="27">
      <c r="A21" s="2613"/>
      <c r="B21" s="1233" t="s">
        <v>2551</v>
      </c>
      <c r="C21" s="1007" t="str">
        <f>C7</f>
        <v>估价对象所在区域公共配套设施齐备情况</v>
      </c>
      <c r="D21" s="2009"/>
      <c r="E21" s="2610"/>
      <c r="F21" s="1249" t="s">
        <v>1663</v>
      </c>
      <c r="G21" s="3111"/>
    </row>
    <row r="22" spans="1:7" ht="27">
      <c r="A22" s="2613"/>
      <c r="B22" s="1233" t="s">
        <v>2552</v>
      </c>
      <c r="C22" s="1007" t="str">
        <f>C8</f>
        <v>估价对象所在区域基础设施水平</v>
      </c>
      <c r="D22" s="2009"/>
      <c r="E22" s="2610"/>
      <c r="F22" s="1249" t="s">
        <v>1673</v>
      </c>
      <c r="G22" s="2820"/>
    </row>
    <row r="23" spans="1:7" ht="15" thickBot="1">
      <c r="A23" s="2613"/>
      <c r="B23" s="1249" t="s">
        <v>1663</v>
      </c>
      <c r="C23" s="3111"/>
      <c r="E23" s="2611"/>
      <c r="F23" s="1250" t="s">
        <v>1677</v>
      </c>
      <c r="G23" s="3112"/>
    </row>
    <row r="24" spans="1:7" ht="14.25" thickBot="1">
      <c r="A24" s="2614"/>
      <c r="B24" s="1250" t="s">
        <v>1664</v>
      </c>
      <c r="C24" s="1251">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9" t="s">
        <v>2851</v>
      </c>
      <c r="B1" s="3069">
        <f>SUM(B14:B23)</f>
        <v>331165.86</v>
      </c>
      <c r="C1" s="3070"/>
      <c r="D1" s="3070"/>
      <c r="E1" s="3070"/>
      <c r="F1" s="3070"/>
    </row>
    <row r="2" spans="1:9" ht="16.5">
      <c r="A2" s="3069" t="s">
        <v>2852</v>
      </c>
      <c r="B2" s="3069">
        <f>SUM(C14:C23)</f>
        <v>97754.96</v>
      </c>
      <c r="C2" s="3070"/>
      <c r="D2" s="3070"/>
      <c r="E2" s="3070"/>
      <c r="F2" s="3070"/>
    </row>
    <row r="3" spans="1:9" ht="16.5">
      <c r="A3" s="3069" t="s">
        <v>2853</v>
      </c>
      <c r="B3" s="3071">
        <f>项目基本情况!D3</f>
        <v>43025</v>
      </c>
      <c r="C3" s="3070"/>
      <c r="D3" s="3070"/>
      <c r="E3" s="3070"/>
      <c r="F3" s="3070"/>
    </row>
    <row r="4" spans="1:9" ht="33">
      <c r="A4" s="3069" t="s">
        <v>2854</v>
      </c>
      <c r="B4" s="3069" t="s">
        <v>2855</v>
      </c>
      <c r="C4" s="3069" t="s">
        <v>2856</v>
      </c>
      <c r="D4" s="3069" t="s">
        <v>2857</v>
      </c>
      <c r="E4" s="3070"/>
      <c r="F4" s="3070"/>
    </row>
    <row r="5" spans="1:9" ht="16.5">
      <c r="A5" s="3069" t="s">
        <v>2858</v>
      </c>
      <c r="B5" s="3069">
        <f ca="1">SUM(D14:D23)</f>
        <v>208331</v>
      </c>
      <c r="C5" s="3069">
        <f ca="1">ROUND(B5*10000/$B$1,0)</f>
        <v>6291</v>
      </c>
      <c r="D5" s="3069">
        <f ca="1">ROUND(B5*10000/$B$2,0)</f>
        <v>21312</v>
      </c>
      <c r="E5" s="3070"/>
      <c r="F5" s="3070"/>
    </row>
    <row r="6" spans="1:9" ht="16.5">
      <c r="A6" s="3069" t="s">
        <v>2859</v>
      </c>
      <c r="B6" s="3069">
        <f ca="1">SUM(G14:G23)</f>
        <v>208331</v>
      </c>
      <c r="C6" s="3069">
        <f t="shared" ref="C6:C8" ca="1" si="0">ROUND(B6*10000/$B$1,0)</f>
        <v>6291</v>
      </c>
      <c r="D6" s="3069">
        <f t="shared" ref="D6:D8" ca="1" si="1">ROUND(B6*10000/$B$2,0)</f>
        <v>21312</v>
      </c>
      <c r="E6" s="3070"/>
      <c r="F6" s="3070"/>
    </row>
    <row r="7" spans="1:9" ht="16.5">
      <c r="A7" s="3069" t="s">
        <v>2860</v>
      </c>
      <c r="B7" s="3069">
        <f>SUM(H14:H23)</f>
        <v>0</v>
      </c>
      <c r="C7" s="3069">
        <f t="shared" si="0"/>
        <v>0</v>
      </c>
      <c r="D7" s="3069">
        <f t="shared" si="1"/>
        <v>0</v>
      </c>
      <c r="E7" s="3070"/>
      <c r="F7" s="3070"/>
    </row>
    <row r="8" spans="1:9" ht="16.5">
      <c r="A8" s="3069" t="s">
        <v>2861</v>
      </c>
      <c r="B8" s="3069">
        <f ca="1">SUM(I14:I23)</f>
        <v>107749</v>
      </c>
      <c r="C8" s="3069">
        <f t="shared" ca="1" si="0"/>
        <v>3254</v>
      </c>
      <c r="D8" s="3069">
        <f t="shared" ca="1" si="1"/>
        <v>11022</v>
      </c>
      <c r="E8" s="3070"/>
      <c r="F8" s="3070"/>
    </row>
    <row r="9" spans="1:9" ht="16.5">
      <c r="A9" s="3069" t="s">
        <v>2862</v>
      </c>
      <c r="B9" s="3072"/>
      <c r="C9" s="3070"/>
      <c r="D9" s="3070"/>
      <c r="E9" s="3070"/>
      <c r="F9" s="3070"/>
    </row>
    <row r="10" spans="1:9" ht="16.5">
      <c r="A10" s="3069" t="s">
        <v>2863</v>
      </c>
      <c r="B10" s="3072"/>
      <c r="C10" s="3070"/>
      <c r="D10" s="3070"/>
      <c r="E10" s="3070"/>
      <c r="F10" s="3070"/>
    </row>
    <row r="11" spans="1:9" ht="16.5">
      <c r="A11" s="3069" t="s">
        <v>2880</v>
      </c>
      <c r="B11" s="3072"/>
      <c r="C11" s="3070"/>
      <c r="D11" s="3070"/>
      <c r="E11" s="3070"/>
      <c r="F11" s="3070"/>
    </row>
    <row r="12" spans="1:9" ht="16.5">
      <c r="A12" s="3070"/>
      <c r="B12" s="3070"/>
      <c r="C12" s="3070"/>
      <c r="D12" s="3070"/>
      <c r="E12" s="3070"/>
      <c r="F12" s="3070"/>
    </row>
    <row r="13" spans="1:9" ht="33">
      <c r="A13" s="3075" t="s">
        <v>2879</v>
      </c>
      <c r="B13" s="3073" t="s">
        <v>2851</v>
      </c>
      <c r="C13" s="3073" t="s">
        <v>2852</v>
      </c>
      <c r="D13" s="3073" t="s">
        <v>2864</v>
      </c>
      <c r="E13" s="3069" t="s">
        <v>2878</v>
      </c>
      <c r="F13" s="3069" t="s">
        <v>2857</v>
      </c>
      <c r="G13" s="3073" t="s">
        <v>2865</v>
      </c>
      <c r="H13" s="3073" t="s">
        <v>2866</v>
      </c>
      <c r="I13" s="3073" t="s">
        <v>2867</v>
      </c>
    </row>
    <row r="14" spans="1:9" ht="16.5">
      <c r="A14" s="3076" t="s">
        <v>2877</v>
      </c>
      <c r="B14" s="3073">
        <f>'数据-汇总表'!E3</f>
        <v>331165.86</v>
      </c>
      <c r="C14" s="3073">
        <f>'数据-汇总表'!D3</f>
        <v>97754.96</v>
      </c>
      <c r="D14" s="3073">
        <f ca="1">结果表!C42</f>
        <v>208331</v>
      </c>
      <c r="E14" s="3073">
        <f ca="1">ROUND(D14*10000/B14,0)</f>
        <v>6291</v>
      </c>
      <c r="F14" s="3073">
        <f ca="1">ROUND(D14*10000/C14,0)</f>
        <v>21312</v>
      </c>
      <c r="G14" s="3073">
        <f ca="1">结果表!C44</f>
        <v>208331</v>
      </c>
      <c r="H14" s="3073" t="str">
        <f>结果表!C45</f>
        <v>——</v>
      </c>
      <c r="I14" s="3073">
        <f ca="1">结果表!C46</f>
        <v>107749</v>
      </c>
    </row>
    <row r="15" spans="1:9" ht="16.5">
      <c r="A15" s="3076" t="s">
        <v>2868</v>
      </c>
      <c r="B15" s="3077"/>
      <c r="C15" s="3077"/>
      <c r="D15" s="3077"/>
      <c r="E15" s="3073" t="e">
        <f t="shared" ref="E15:E23" si="2">ROUND(D15*10000/B15,0)</f>
        <v>#DIV/0!</v>
      </c>
      <c r="F15" s="3073" t="e">
        <f t="shared" ref="F15:F23" si="3">ROUND(D15*10000/C15,0)</f>
        <v>#DIV/0!</v>
      </c>
      <c r="G15" s="3074"/>
      <c r="H15" s="3074"/>
      <c r="I15" s="3077"/>
    </row>
    <row r="16" spans="1:9" ht="16.5">
      <c r="A16" s="3076" t="s">
        <v>2869</v>
      </c>
      <c r="B16" s="3077"/>
      <c r="C16" s="3077"/>
      <c r="D16" s="3077"/>
      <c r="E16" s="3073" t="e">
        <f t="shared" si="2"/>
        <v>#DIV/0!</v>
      </c>
      <c r="F16" s="3073" t="e">
        <f t="shared" si="3"/>
        <v>#DIV/0!</v>
      </c>
      <c r="G16" s="3074"/>
      <c r="H16" s="3074"/>
      <c r="I16" s="3077"/>
    </row>
    <row r="17" spans="1:9" ht="16.5">
      <c r="A17" s="3076" t="s">
        <v>2870</v>
      </c>
      <c r="B17" s="3077"/>
      <c r="C17" s="3077"/>
      <c r="D17" s="3077"/>
      <c r="E17" s="3073" t="e">
        <f t="shared" si="2"/>
        <v>#DIV/0!</v>
      </c>
      <c r="F17" s="3073" t="e">
        <f t="shared" si="3"/>
        <v>#DIV/0!</v>
      </c>
      <c r="G17" s="3074"/>
      <c r="H17" s="3074"/>
      <c r="I17" s="3077"/>
    </row>
    <row r="18" spans="1:9" ht="16.5">
      <c r="A18" s="3076" t="s">
        <v>2871</v>
      </c>
      <c r="B18" s="3077"/>
      <c r="C18" s="3077"/>
      <c r="D18" s="3077"/>
      <c r="E18" s="3073" t="e">
        <f t="shared" si="2"/>
        <v>#DIV/0!</v>
      </c>
      <c r="F18" s="3073" t="e">
        <f t="shared" si="3"/>
        <v>#DIV/0!</v>
      </c>
      <c r="G18" s="3077"/>
      <c r="H18" s="3077"/>
      <c r="I18" s="3077"/>
    </row>
    <row r="19" spans="1:9" ht="16.5">
      <c r="A19" s="3076" t="s">
        <v>2872</v>
      </c>
      <c r="B19" s="3077"/>
      <c r="C19" s="3077"/>
      <c r="D19" s="3077"/>
      <c r="E19" s="3073" t="e">
        <f t="shared" si="2"/>
        <v>#DIV/0!</v>
      </c>
      <c r="F19" s="3073" t="e">
        <f t="shared" si="3"/>
        <v>#DIV/0!</v>
      </c>
      <c r="G19" s="3077"/>
      <c r="H19" s="3077"/>
      <c r="I19" s="3077"/>
    </row>
    <row r="20" spans="1:9" ht="16.5">
      <c r="A20" s="3076" t="s">
        <v>2873</v>
      </c>
      <c r="B20" s="3077"/>
      <c r="C20" s="3077"/>
      <c r="D20" s="3077"/>
      <c r="E20" s="3073" t="e">
        <f t="shared" si="2"/>
        <v>#DIV/0!</v>
      </c>
      <c r="F20" s="3073" t="e">
        <f t="shared" si="3"/>
        <v>#DIV/0!</v>
      </c>
      <c r="G20" s="3077"/>
      <c r="H20" s="3077"/>
      <c r="I20" s="3077"/>
    </row>
    <row r="21" spans="1:9" ht="16.5">
      <c r="A21" s="3076" t="s">
        <v>2874</v>
      </c>
      <c r="B21" s="3077"/>
      <c r="C21" s="3077"/>
      <c r="D21" s="3077"/>
      <c r="E21" s="3073" t="e">
        <f t="shared" si="2"/>
        <v>#DIV/0!</v>
      </c>
      <c r="F21" s="3073" t="e">
        <f t="shared" si="3"/>
        <v>#DIV/0!</v>
      </c>
      <c r="G21" s="3077"/>
      <c r="H21" s="3077"/>
      <c r="I21" s="3077"/>
    </row>
    <row r="22" spans="1:9" ht="16.5">
      <c r="A22" s="3076" t="s">
        <v>2875</v>
      </c>
      <c r="B22" s="3077"/>
      <c r="C22" s="3077"/>
      <c r="D22" s="3077"/>
      <c r="E22" s="3073" t="e">
        <f t="shared" si="2"/>
        <v>#DIV/0!</v>
      </c>
      <c r="F22" s="3073" t="e">
        <f t="shared" si="3"/>
        <v>#DIV/0!</v>
      </c>
      <c r="G22" s="3077"/>
      <c r="H22" s="3077"/>
      <c r="I22" s="3077"/>
    </row>
    <row r="23" spans="1:9" ht="16.5">
      <c r="A23" s="3076" t="s">
        <v>2876</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5" zoomScale="85" zoomScaleNormal="100" zoomScaleSheetLayoutView="85" zoomScalePageLayoutView="80" workbookViewId="0">
      <selection activeCell="A101" sqref="A101:H115"/>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6" t="s">
        <v>2059</v>
      </c>
      <c r="B1" s="1777"/>
      <c r="C1" s="1805" t="s">
        <v>2060</v>
      </c>
      <c r="D1" s="1806" t="s">
        <v>3027</v>
      </c>
      <c r="E1" s="1805" t="s">
        <v>2061</v>
      </c>
      <c r="F1" s="1807" t="s">
        <v>3028</v>
      </c>
      <c r="G1" s="314"/>
      <c r="H1" s="314"/>
      <c r="I1" s="314"/>
      <c r="J1" s="2029"/>
      <c r="K1" s="2029"/>
      <c r="L1" s="2029"/>
      <c r="M1" s="2029"/>
      <c r="N1" s="2029"/>
      <c r="O1" s="2029"/>
      <c r="P1" s="2029"/>
      <c r="Q1" s="2029"/>
      <c r="R1" s="2029"/>
      <c r="S1" s="2029"/>
      <c r="T1" s="2029"/>
      <c r="U1" s="2029"/>
      <c r="V1" s="2029"/>
    </row>
    <row r="2" spans="1:22" ht="21.75" customHeight="1" thickBot="1">
      <c r="A2" s="3316" t="str">
        <f>项目基本情况!K2</f>
        <v>河南省郑州市惠济区金达路南北、裕泰路西出让国有建设用地使用权</v>
      </c>
      <c r="B2" s="3317"/>
      <c r="C2" s="3318"/>
      <c r="D2" s="3318"/>
      <c r="E2" s="3318"/>
      <c r="F2" s="3318"/>
      <c r="G2" s="3317"/>
      <c r="H2" s="3317"/>
      <c r="I2" s="3319"/>
      <c r="J2" s="2030"/>
      <c r="K2" s="2029"/>
      <c r="L2" s="2029"/>
      <c r="M2" s="2029"/>
      <c r="N2" s="2029"/>
      <c r="O2" s="2029"/>
      <c r="P2" s="2029"/>
      <c r="Q2" s="2029"/>
      <c r="R2" s="2029"/>
      <c r="S2" s="2029"/>
      <c r="T2" s="2029"/>
      <c r="U2" s="2029"/>
      <c r="V2" s="2029"/>
    </row>
    <row r="3" spans="1:22" ht="14.25">
      <c r="A3" s="3309" t="s">
        <v>298</v>
      </c>
      <c r="B3" s="3310"/>
      <c r="C3" s="3310"/>
      <c r="D3" s="3310"/>
      <c r="E3" s="3310"/>
      <c r="F3" s="3310"/>
      <c r="G3" s="3310"/>
      <c r="H3" s="3310"/>
      <c r="I3" s="3310"/>
      <c r="J3" s="2030"/>
      <c r="K3" s="2029"/>
      <c r="L3" s="2029"/>
      <c r="M3" s="2029"/>
      <c r="N3" s="2029"/>
      <c r="O3" s="2029"/>
      <c r="P3" s="2029"/>
      <c r="Q3" s="2029"/>
      <c r="R3" s="2029"/>
      <c r="S3" s="2029"/>
      <c r="T3" s="2029"/>
      <c r="U3" s="2029"/>
      <c r="V3" s="2029"/>
    </row>
    <row r="4" spans="1:22" ht="14.25">
      <c r="A4" s="258" t="s">
        <v>299</v>
      </c>
      <c r="B4" s="259" t="s">
        <v>300</v>
      </c>
      <c r="C4" s="260" t="s">
        <v>3029</v>
      </c>
      <c r="D4" s="260" t="s">
        <v>3030</v>
      </c>
      <c r="E4" s="3281" t="s">
        <v>301</v>
      </c>
      <c r="F4" s="3282"/>
      <c r="G4" s="3282"/>
      <c r="H4" s="3282"/>
      <c r="I4" s="3311"/>
      <c r="J4" s="2030"/>
      <c r="K4" s="2029"/>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280" t="s">
        <v>302</v>
      </c>
      <c r="B5" s="3306">
        <v>25</v>
      </c>
      <c r="C5" s="3304"/>
      <c r="D5" s="3308"/>
      <c r="E5" s="261" t="s">
        <v>303</v>
      </c>
      <c r="F5" s="262"/>
      <c r="G5" s="262"/>
      <c r="H5" s="262"/>
      <c r="I5" s="263"/>
      <c r="J5" s="2030"/>
      <c r="K5" s="2029"/>
      <c r="L5" s="2029"/>
      <c r="M5" s="2029"/>
      <c r="N5" s="2029"/>
      <c r="O5" s="2029"/>
      <c r="P5" s="2029"/>
      <c r="Q5" s="2029"/>
      <c r="R5" s="2029"/>
      <c r="S5" s="2029"/>
      <c r="T5" s="2029"/>
      <c r="U5" s="2029"/>
      <c r="V5" s="2029"/>
    </row>
    <row r="6" spans="1:22" ht="14.25" hidden="1">
      <c r="A6" s="3280"/>
      <c r="B6" s="3306"/>
      <c r="C6" s="3307"/>
      <c r="D6" s="3308"/>
      <c r="E6" s="261" t="s">
        <v>304</v>
      </c>
      <c r="F6" s="262"/>
      <c r="G6" s="262"/>
      <c r="H6" s="262"/>
      <c r="I6" s="263"/>
      <c r="J6" s="2030"/>
      <c r="K6" s="2029"/>
      <c r="L6" s="2029"/>
      <c r="M6" s="2029"/>
      <c r="N6" s="2029"/>
      <c r="O6" s="2029"/>
      <c r="P6" s="2029"/>
      <c r="Q6" s="2029"/>
      <c r="R6" s="2029"/>
      <c r="S6" s="2029"/>
      <c r="T6" s="2029"/>
      <c r="U6" s="2029"/>
      <c r="V6" s="2029"/>
    </row>
    <row r="7" spans="1:22" ht="14.25" hidden="1">
      <c r="A7" s="3280"/>
      <c r="B7" s="3306"/>
      <c r="C7" s="3305"/>
      <c r="D7" s="3308"/>
      <c r="E7" s="261" t="s">
        <v>305</v>
      </c>
      <c r="F7" s="262"/>
      <c r="G7" s="262"/>
      <c r="H7" s="262"/>
      <c r="I7" s="263"/>
      <c r="J7" s="2030"/>
      <c r="K7" s="2029"/>
      <c r="L7" s="2029"/>
      <c r="M7" s="2029"/>
      <c r="N7" s="2029"/>
      <c r="O7" s="2029"/>
      <c r="P7" s="2029"/>
      <c r="Q7" s="2029"/>
      <c r="R7" s="2029"/>
      <c r="S7" s="2029"/>
      <c r="T7" s="2029"/>
      <c r="U7" s="2029"/>
      <c r="V7" s="2029"/>
    </row>
    <row r="8" spans="1:22" ht="14.25" hidden="1">
      <c r="A8" s="3280" t="s">
        <v>306</v>
      </c>
      <c r="B8" s="3306">
        <v>15</v>
      </c>
      <c r="C8" s="3304"/>
      <c r="D8" s="3308"/>
      <c r="E8" s="261" t="s">
        <v>307</v>
      </c>
      <c r="F8" s="262"/>
      <c r="G8" s="262"/>
      <c r="H8" s="262"/>
      <c r="I8" s="263"/>
      <c r="J8" s="2030"/>
      <c r="K8" s="2029"/>
      <c r="L8" s="2029"/>
      <c r="M8" s="2029"/>
      <c r="N8" s="2029"/>
      <c r="O8" s="2029"/>
      <c r="P8" s="2029"/>
      <c r="Q8" s="2029"/>
      <c r="R8" s="2029"/>
      <c r="S8" s="2029"/>
      <c r="T8" s="2029"/>
      <c r="U8" s="2029"/>
      <c r="V8" s="2029"/>
    </row>
    <row r="9" spans="1:22" ht="14.25" hidden="1">
      <c r="A9" s="3280"/>
      <c r="B9" s="3306"/>
      <c r="C9" s="3305"/>
      <c r="D9" s="3308"/>
      <c r="E9" s="261" t="s">
        <v>308</v>
      </c>
      <c r="F9" s="262"/>
      <c r="G9" s="262"/>
      <c r="H9" s="262"/>
      <c r="I9" s="263"/>
      <c r="J9" s="2030"/>
      <c r="K9" s="2029"/>
      <c r="L9" s="2029"/>
      <c r="M9" s="2029"/>
      <c r="N9" s="2029"/>
      <c r="O9" s="2029"/>
      <c r="P9" s="2029"/>
      <c r="Q9" s="2029"/>
      <c r="R9" s="2029"/>
      <c r="S9" s="2029"/>
      <c r="T9" s="2029"/>
      <c r="U9" s="2029"/>
      <c r="V9" s="2029"/>
    </row>
    <row r="10" spans="1:22" ht="14.25" hidden="1">
      <c r="A10" s="3280" t="s">
        <v>309</v>
      </c>
      <c r="B10" s="3306">
        <v>15</v>
      </c>
      <c r="C10" s="3304"/>
      <c r="D10" s="3308"/>
      <c r="E10" s="261" t="s">
        <v>310</v>
      </c>
      <c r="F10" s="262"/>
      <c r="G10" s="262"/>
      <c r="H10" s="262"/>
      <c r="I10" s="263"/>
      <c r="J10" s="2030"/>
      <c r="K10" s="2029"/>
      <c r="L10" s="2029"/>
      <c r="M10" s="2029"/>
      <c r="N10" s="2029"/>
      <c r="O10" s="2029"/>
      <c r="P10" s="2029"/>
      <c r="Q10" s="2029"/>
      <c r="R10" s="2029"/>
      <c r="S10" s="2029"/>
      <c r="T10" s="2029"/>
      <c r="U10" s="2029"/>
      <c r="V10" s="2029"/>
    </row>
    <row r="11" spans="1:22" ht="14.25" hidden="1">
      <c r="A11" s="3280"/>
      <c r="B11" s="3306"/>
      <c r="C11" s="3305"/>
      <c r="D11" s="3308"/>
      <c r="E11" s="261" t="s">
        <v>311</v>
      </c>
      <c r="F11" s="262"/>
      <c r="G11" s="262"/>
      <c r="H11" s="262"/>
      <c r="I11" s="263"/>
      <c r="J11" s="2030"/>
      <c r="K11" s="2029"/>
      <c r="L11" s="2029"/>
      <c r="M11" s="2029"/>
      <c r="N11" s="2029"/>
      <c r="O11" s="2029"/>
      <c r="P11" s="2029"/>
      <c r="Q11" s="2029"/>
      <c r="R11" s="2029"/>
      <c r="S11" s="2029"/>
      <c r="T11" s="2029"/>
      <c r="U11" s="2029"/>
      <c r="V11" s="2029"/>
    </row>
    <row r="12" spans="1:22" ht="14.25" hidden="1">
      <c r="A12" s="3280" t="s">
        <v>312</v>
      </c>
      <c r="B12" s="3306">
        <v>15</v>
      </c>
      <c r="C12" s="3304"/>
      <c r="D12" s="3308"/>
      <c r="E12" s="261" t="s">
        <v>313</v>
      </c>
      <c r="F12" s="262"/>
      <c r="G12" s="262"/>
      <c r="H12" s="262"/>
      <c r="I12" s="263"/>
      <c r="J12" s="2030"/>
      <c r="K12" s="2029"/>
      <c r="L12" s="2029"/>
      <c r="M12" s="2029"/>
      <c r="N12" s="2029"/>
      <c r="O12" s="2029"/>
      <c r="P12" s="2029"/>
      <c r="Q12" s="2029"/>
      <c r="R12" s="2029"/>
      <c r="S12" s="2029"/>
      <c r="T12" s="2029"/>
      <c r="U12" s="2029"/>
      <c r="V12" s="2029"/>
    </row>
    <row r="13" spans="1:22" ht="14.25" hidden="1">
      <c r="A13" s="3280"/>
      <c r="B13" s="3306"/>
      <c r="C13" s="3305"/>
      <c r="D13" s="3308"/>
      <c r="E13" s="261" t="s">
        <v>314</v>
      </c>
      <c r="F13" s="262"/>
      <c r="G13" s="262"/>
      <c r="H13" s="262"/>
      <c r="I13" s="263"/>
      <c r="J13" s="2030"/>
      <c r="K13" s="2029"/>
      <c r="L13" s="2029"/>
      <c r="M13" s="2029"/>
      <c r="N13" s="2029"/>
      <c r="O13" s="2029"/>
      <c r="P13" s="2029"/>
      <c r="Q13" s="2029"/>
      <c r="R13" s="2029"/>
      <c r="S13" s="2029"/>
      <c r="T13" s="2029"/>
      <c r="U13" s="2029"/>
      <c r="V13" s="2029"/>
    </row>
    <row r="14" spans="1:22" ht="14.25" hidden="1">
      <c r="A14" s="3280" t="s">
        <v>315</v>
      </c>
      <c r="B14" s="3306">
        <v>30</v>
      </c>
      <c r="C14" s="3304">
        <v>5</v>
      </c>
      <c r="D14" s="3308">
        <v>5</v>
      </c>
      <c r="E14" s="261" t="s">
        <v>316</v>
      </c>
      <c r="F14" s="262"/>
      <c r="G14" s="262"/>
      <c r="H14" s="262"/>
      <c r="I14" s="263"/>
      <c r="J14" s="2030"/>
      <c r="K14" s="2029"/>
      <c r="L14" s="2029"/>
      <c r="M14" s="2029"/>
      <c r="N14" s="2029"/>
      <c r="O14" s="2029"/>
      <c r="P14" s="2029"/>
      <c r="Q14" s="2029"/>
      <c r="R14" s="2029"/>
      <c r="S14" s="2029"/>
      <c r="T14" s="2029"/>
      <c r="U14" s="2029"/>
      <c r="V14" s="2029"/>
    </row>
    <row r="15" spans="1:22" ht="14.25" hidden="1">
      <c r="A15" s="3280"/>
      <c r="B15" s="3306"/>
      <c r="C15" s="3307"/>
      <c r="D15" s="3308"/>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0"/>
      <c r="B16" s="3306"/>
      <c r="C16" s="3305"/>
      <c r="D16" s="330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4"/>
      <c r="F17" s="314"/>
      <c r="G17" s="314"/>
      <c r="H17" s="314"/>
      <c r="I17" s="314"/>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4"/>
      <c r="F18" s="314"/>
      <c r="G18" s="314"/>
      <c r="H18" s="314"/>
      <c r="I18" s="314"/>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197286</v>
      </c>
      <c r="D19" s="271">
        <f ca="1">SUMIF(INDIRECT("'"&amp;D4&amp;"'"&amp;"!A:A"),结果表!B19,INDIRECT("'"&amp;D4&amp;"'"&amp;"!B:B"))</f>
        <v>219376</v>
      </c>
      <c r="E19" s="268" t="s">
        <v>323</v>
      </c>
      <c r="F19" s="269" t="s">
        <v>322</v>
      </c>
      <c r="G19" s="272">
        <f ca="1">ROUND(C19*$C$18+D19*$D$18,0)</f>
        <v>208331</v>
      </c>
      <c r="H19" s="273" t="s">
        <v>324</v>
      </c>
      <c r="I19" s="314"/>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5957</v>
      </c>
      <c r="D20" s="277">
        <f ca="1">SUMIF(INDIRECT("'"&amp;D4&amp;"'"&amp;"!A:A"),结果表!B20,INDIRECT("'"&amp;D4&amp;"'"&amp;"!B:B"))</f>
        <v>6624</v>
      </c>
      <c r="E20" s="274"/>
      <c r="F20" s="275" t="s">
        <v>325</v>
      </c>
      <c r="G20" s="278">
        <f ca="1">ROUND(C20*$C$18+D20*$D$18,0)</f>
        <v>6291</v>
      </c>
      <c r="H20" s="279" t="s">
        <v>326</v>
      </c>
      <c r="I20" s="314"/>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20182</v>
      </c>
      <c r="D21" s="151">
        <f ca="1">SUMIF(INDIRECT("'"&amp;D4&amp;"'"&amp;"!A:A"),结果表!B21,INDIRECT("'"&amp;D4&amp;"'"&amp;"!B:B"))</f>
        <v>22441</v>
      </c>
      <c r="E21" s="274"/>
      <c r="F21" s="280" t="s">
        <v>327</v>
      </c>
      <c r="G21" s="282">
        <f ca="1">ROUND(C21*$C$18+D21*$D$18,0)</f>
        <v>21312</v>
      </c>
      <c r="H21" s="1253" t="s">
        <v>326</v>
      </c>
      <c r="I21" s="314"/>
      <c r="J21" s="2029"/>
      <c r="K21" s="2029"/>
      <c r="L21" s="2029"/>
      <c r="M21" s="2029"/>
      <c r="N21" s="2029"/>
      <c r="O21" s="2029"/>
      <c r="P21" s="2029"/>
      <c r="Q21" s="2029"/>
      <c r="R21" s="2029"/>
      <c r="S21" s="2029"/>
      <c r="T21" s="2029"/>
      <c r="U21" s="2029"/>
      <c r="V21" s="2029"/>
    </row>
    <row r="22" spans="1:26" ht="15.75" thickBot="1">
      <c r="A22" s="126" t="s">
        <v>328</v>
      </c>
      <c r="B22" s="1254"/>
      <c r="C22" s="1255"/>
      <c r="D22" s="283">
        <f ca="1">IF(C19&lt;D19,D19/C19-1,C19/D19-1)</f>
        <v>0.11196942509858787</v>
      </c>
      <c r="E22" s="284"/>
      <c r="F22" s="285"/>
      <c r="G22" s="286">
        <f ca="1">ROUND(G19/('数据-汇总表'!D3/666.67),0)</f>
        <v>1421</v>
      </c>
      <c r="H22" s="287" t="s">
        <v>329</v>
      </c>
      <c r="I22" s="314"/>
      <c r="J22" s="2029"/>
      <c r="K22" s="2029"/>
      <c r="L22" s="2029"/>
      <c r="M22" s="2029"/>
      <c r="N22" s="2029"/>
      <c r="O22" s="2029"/>
      <c r="P22" s="2029"/>
      <c r="Q22" s="2029"/>
      <c r="R22" s="2029"/>
      <c r="S22" s="2029"/>
      <c r="T22" s="2029"/>
      <c r="U22" s="2029"/>
      <c r="V22" s="2029"/>
    </row>
    <row r="23" spans="1:26" ht="13.5" thickBot="1">
      <c r="A23" s="314"/>
      <c r="B23" s="314"/>
      <c r="C23" s="314"/>
      <c r="D23" s="314"/>
      <c r="E23" s="314"/>
      <c r="F23" s="314"/>
      <c r="G23" s="314"/>
      <c r="H23" s="314"/>
      <c r="I23" s="314"/>
      <c r="J23" s="2029"/>
      <c r="K23" s="2029"/>
      <c r="L23" s="2029"/>
      <c r="M23" s="2029"/>
      <c r="N23" s="2029"/>
      <c r="O23" s="2029"/>
      <c r="P23" s="2029"/>
      <c r="Q23" s="2029"/>
      <c r="R23" s="2029"/>
      <c r="S23" s="2029"/>
      <c r="T23" s="2029"/>
      <c r="U23" s="2029"/>
      <c r="V23" s="2029"/>
    </row>
    <row r="24" spans="1:26" ht="15" thickBot="1">
      <c r="A24" s="3286" t="s">
        <v>330</v>
      </c>
      <c r="B24" s="269" t="s">
        <v>322</v>
      </c>
      <c r="C24" s="288">
        <f>IF(B30=0,0,D30)</f>
        <v>0</v>
      </c>
      <c r="D24" s="289"/>
      <c r="E24" s="314"/>
      <c r="F24" s="314"/>
      <c r="G24" s="314"/>
      <c r="H24" s="314"/>
      <c r="I24" s="314"/>
      <c r="J24" s="2029"/>
      <c r="K24" s="2029"/>
      <c r="L24" s="2029"/>
      <c r="M24" s="2029"/>
      <c r="N24" s="2029"/>
      <c r="O24" s="2029"/>
      <c r="P24" s="2029"/>
      <c r="Q24" s="2029"/>
      <c r="R24" s="2029"/>
      <c r="S24" s="2029"/>
      <c r="T24" s="2029"/>
      <c r="U24" s="2029"/>
      <c r="V24" s="2029"/>
    </row>
    <row r="25" spans="1:26" ht="18">
      <c r="A25" s="3287"/>
      <c r="B25" s="1323" t="s">
        <v>331</v>
      </c>
      <c r="C25" s="290">
        <f>IF(B30=0,0,C30)</f>
        <v>0</v>
      </c>
      <c r="D25" s="291"/>
      <c r="E25" s="314"/>
      <c r="F25" s="314"/>
      <c r="G25" s="314"/>
      <c r="H25" s="314"/>
      <c r="I25" s="314"/>
      <c r="J25" s="2029"/>
      <c r="K25" s="1257" t="str">
        <f ca="1">项目基本情况!B16&amp;"国有建设用地使用权价格："&amp;O38&amp;"万元"</f>
        <v>出让国有建设用地使用权价格：208331万元</v>
      </c>
      <c r="L25" s="1258"/>
      <c r="M25" s="1258"/>
      <c r="N25" s="1258"/>
      <c r="O25" s="1259"/>
      <c r="P25" s="2029"/>
      <c r="Q25" s="2029"/>
      <c r="R25" s="2029"/>
      <c r="S25" s="2029"/>
      <c r="T25" s="2029"/>
      <c r="U25" s="2029"/>
      <c r="V25" s="2029"/>
    </row>
    <row r="26" spans="1:26" s="1256" customFormat="1" ht="18">
      <c r="A26" s="293" t="s">
        <v>332</v>
      </c>
      <c r="B26" s="294" t="s">
        <v>333</v>
      </c>
      <c r="C26" s="294" t="s">
        <v>334</v>
      </c>
      <c r="D26" s="295" t="s">
        <v>335</v>
      </c>
      <c r="E26" s="314"/>
      <c r="F26" s="314"/>
      <c r="G26" s="314"/>
      <c r="H26" s="314"/>
      <c r="I26" s="314"/>
      <c r="J26" s="2029"/>
      <c r="K26" s="1260" t="str">
        <f ca="1">"大写金额：人民币"&amp;NUMBERSTRING(INT(O38*10000),2)&amp;"元整"</f>
        <v>大写金额：人民币贰拾亿捌仟叁佰叁拾壹万元整</v>
      </c>
      <c r="L26" s="1254"/>
      <c r="M26" s="1254"/>
      <c r="N26" s="1254"/>
      <c r="O26" s="1253"/>
      <c r="P26" s="2029"/>
      <c r="Q26" s="2029"/>
      <c r="R26" s="2029"/>
      <c r="S26" s="2029"/>
      <c r="T26" s="2029"/>
      <c r="U26" s="2029"/>
      <c r="V26" s="2029"/>
      <c r="W26" s="292"/>
      <c r="X26" s="292"/>
      <c r="Y26" s="292"/>
      <c r="Z26" s="292"/>
    </row>
    <row r="27" spans="1:26" ht="18">
      <c r="A27" s="293"/>
      <c r="B27" s="294"/>
      <c r="C27" s="294"/>
      <c r="D27" s="295"/>
      <c r="E27" s="314"/>
      <c r="F27" s="314"/>
      <c r="G27" s="314"/>
      <c r="H27" s="314"/>
      <c r="I27" s="314"/>
      <c r="J27" s="2029"/>
      <c r="K27" s="1260" t="str">
        <f ca="1">"单位面积地价："&amp;M38&amp;"元/平方米"</f>
        <v>单位面积地价：21312元/平方米</v>
      </c>
      <c r="L27" s="1254"/>
      <c r="M27" s="1254"/>
      <c r="N27" s="1254"/>
      <c r="O27" s="1253"/>
      <c r="P27" s="2029"/>
      <c r="Q27" s="2029"/>
      <c r="R27" s="2029"/>
      <c r="S27" s="2029"/>
      <c r="T27" s="2029"/>
      <c r="U27" s="2029"/>
      <c r="V27" s="2029"/>
    </row>
    <row r="28" spans="1:26" ht="18.75" customHeight="1">
      <c r="A28" s="293"/>
      <c r="B28" s="294"/>
      <c r="C28" s="294"/>
      <c r="D28" s="295"/>
      <c r="E28" s="314"/>
      <c r="F28" s="314"/>
      <c r="G28" s="314"/>
      <c r="H28" s="314"/>
      <c r="I28" s="314"/>
      <c r="J28" s="2029"/>
      <c r="K28" s="1260" t="str">
        <f ca="1">"楼面地价："&amp;N38&amp;"元/平方米"</f>
        <v>楼面地价：6291元/平方米</v>
      </c>
      <c r="L28" s="1254"/>
      <c r="M28" s="1254"/>
      <c r="N28" s="1254"/>
      <c r="O28" s="1253"/>
      <c r="P28" s="2029"/>
      <c r="V28" s="2029"/>
    </row>
    <row r="29" spans="1:26" ht="18">
      <c r="A29" s="293"/>
      <c r="B29" s="294"/>
      <c r="C29" s="294"/>
      <c r="D29" s="295"/>
      <c r="E29" s="314"/>
      <c r="F29" s="314"/>
      <c r="G29" s="314"/>
      <c r="H29" s="314"/>
      <c r="I29" s="314"/>
      <c r="J29" s="2029"/>
      <c r="K29" s="1260" t="str">
        <f ca="1">IF(OR(项目基本情况!E8="抵押价格",项目基本情况!E8="已注销及未注销"),"抵押价格："&amp;O39&amp;"万元","——")</f>
        <v>抵押价格：208331万元</v>
      </c>
      <c r="L29" s="1254"/>
      <c r="M29" s="1254"/>
      <c r="N29" s="1254"/>
      <c r="O29" s="1253"/>
      <c r="P29" s="2029"/>
      <c r="V29" s="2029"/>
    </row>
    <row r="30" spans="1:26" ht="18.75" thickBot="1">
      <c r="A30" s="296" t="s">
        <v>336</v>
      </c>
      <c r="B30" s="297">
        <f>SUM(B27:B29)</f>
        <v>0</v>
      </c>
      <c r="C30" s="297" t="e">
        <f>ROUND(D30*10000/B30,0)</f>
        <v>#DIV/0!</v>
      </c>
      <c r="D30" s="298">
        <f>SUM(D27:D29)</f>
        <v>0</v>
      </c>
      <c r="E30" s="314"/>
      <c r="F30" s="314"/>
      <c r="G30" s="314"/>
      <c r="H30" s="314"/>
      <c r="I30" s="314"/>
      <c r="J30" s="2029"/>
      <c r="K30" s="1260" t="str">
        <f ca="1">IF(K29="——","——","大写金额：人民币"&amp;NUMBERSTRING(INT(O39*10000),2)&amp;"元整")</f>
        <v>大写金额：人民币贰拾亿捌仟叁佰叁拾壹万元整</v>
      </c>
      <c r="L30" s="1254"/>
      <c r="M30" s="1254"/>
      <c r="N30" s="1254"/>
      <c r="O30" s="1253"/>
      <c r="P30" s="2029"/>
      <c r="V30" s="2029"/>
    </row>
    <row r="31" spans="1:26" ht="24" customHeight="1" thickBot="1">
      <c r="A31" s="314"/>
      <c r="B31" s="314"/>
      <c r="C31" s="314"/>
      <c r="D31" s="314"/>
      <c r="E31" s="314"/>
      <c r="F31" s="314"/>
      <c r="G31" s="314"/>
      <c r="H31" s="314"/>
      <c r="I31" s="314"/>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3" t="s">
        <v>1690</v>
      </c>
      <c r="C32" s="1384">
        <f ca="1">G19-C24</f>
        <v>208331</v>
      </c>
      <c r="D32" s="1385" t="s">
        <v>1691</v>
      </c>
      <c r="E32" s="314"/>
      <c r="F32" s="314"/>
      <c r="G32" s="314"/>
      <c r="H32" s="314"/>
      <c r="I32" s="314"/>
      <c r="J32" s="2029"/>
      <c r="K32" s="2488" t="str">
        <f>IF(K31="——","——","大写金额：人民币"&amp;NUMBERSTRING(INT(O40*10000),2)&amp;"元整")</f>
        <v>——</v>
      </c>
      <c r="L32" s="2491"/>
      <c r="M32" s="2491"/>
      <c r="N32" s="2491"/>
      <c r="O32" s="2492"/>
      <c r="P32" s="2029"/>
      <c r="V32" s="2029"/>
    </row>
    <row r="33" spans="1:26" ht="18.75" thickBot="1">
      <c r="A33" s="301" t="s">
        <v>340</v>
      </c>
      <c r="B33" s="1386" t="s">
        <v>1692</v>
      </c>
      <c r="C33" s="264">
        <f ca="1">ROUND(C32*10000/'数据-汇总表'!E3,0)</f>
        <v>6291</v>
      </c>
      <c r="D33" s="1387" t="s">
        <v>1693</v>
      </c>
      <c r="E33" s="3286" t="s">
        <v>338</v>
      </c>
      <c r="F33" s="299" t="s">
        <v>339</v>
      </c>
      <c r="G33" s="300"/>
      <c r="H33" s="982"/>
      <c r="I33" s="1261"/>
      <c r="J33" s="2029"/>
      <c r="K33" s="1260" t="str">
        <f ca="1">IF(项目基本情况!E9="——","——","抵押净值："&amp;C46&amp;"万元")</f>
        <v>抵押净值：107749万元</v>
      </c>
      <c r="L33" s="1254"/>
      <c r="M33" s="1254"/>
      <c r="N33" s="1254"/>
      <c r="O33" s="1253"/>
      <c r="P33" s="2029"/>
      <c r="V33" s="2029"/>
    </row>
    <row r="34" spans="1:26" s="1256" customFormat="1" ht="18.75" thickBot="1">
      <c r="A34" s="303"/>
      <c r="B34" s="1388" t="s">
        <v>1694</v>
      </c>
      <c r="C34" s="264">
        <f ca="1">ROUND(C32*10000/'数据-汇总表'!D3,0)</f>
        <v>21312</v>
      </c>
      <c r="D34" s="1389" t="s">
        <v>1693</v>
      </c>
      <c r="E34" s="3327"/>
      <c r="F34" s="127" t="s">
        <v>341</v>
      </c>
      <c r="G34" s="302"/>
      <c r="H34" s="105"/>
      <c r="I34" s="314"/>
      <c r="J34" s="2029"/>
      <c r="K34" s="1263" t="str">
        <f ca="1">IF(K33="——","——","大写金额：人民币"&amp;NUMBERSTRING(INT(O41*10000),2)&amp;"元整")</f>
        <v>大写金额：人民币壹拾亿柒仟柒佰肆拾玖万元整</v>
      </c>
      <c r="L34" s="1264"/>
      <c r="M34" s="1264"/>
      <c r="N34" s="1264"/>
      <c r="O34" s="1265"/>
      <c r="P34" s="2029"/>
      <c r="Q34" s="292"/>
      <c r="R34" s="292"/>
      <c r="S34" s="292"/>
      <c r="T34" s="292"/>
      <c r="U34" s="292"/>
      <c r="V34" s="2029"/>
      <c r="W34" s="292"/>
      <c r="X34" s="292"/>
      <c r="Y34" s="292"/>
      <c r="Z34" s="292"/>
    </row>
    <row r="35" spans="1:26" ht="15.75" thickBot="1">
      <c r="A35" s="284"/>
      <c r="B35" s="1390"/>
      <c r="C35" s="1391">
        <f ca="1">ROUND(C32/('数据-汇总表'!D3/666.67),0)</f>
        <v>1421</v>
      </c>
      <c r="D35" s="1392" t="s">
        <v>1695</v>
      </c>
      <c r="E35" s="3328"/>
      <c r="F35" s="304" t="s">
        <v>342</v>
      </c>
      <c r="G35" s="984"/>
      <c r="H35" s="983" t="s">
        <v>343</v>
      </c>
      <c r="I35" s="314"/>
      <c r="J35" s="2029"/>
      <c r="K35" s="3301" t="s">
        <v>350</v>
      </c>
      <c r="L35" s="3301" t="s">
        <v>351</v>
      </c>
      <c r="M35" s="1266" t="s">
        <v>352</v>
      </c>
      <c r="N35" s="3301" t="s">
        <v>353</v>
      </c>
      <c r="O35" s="3301" t="s">
        <v>354</v>
      </c>
      <c r="P35" s="2029"/>
      <c r="V35" s="2029"/>
    </row>
    <row r="36" spans="1:26" ht="16.5" customHeight="1">
      <c r="A36" s="306" t="s">
        <v>344</v>
      </c>
      <c r="B36" s="307" t="s">
        <v>333</v>
      </c>
      <c r="C36" s="308" t="s">
        <v>345</v>
      </c>
      <c r="D36" s="308" t="s">
        <v>346</v>
      </c>
      <c r="E36" s="309" t="s">
        <v>347</v>
      </c>
      <c r="F36" s="314"/>
      <c r="G36" s="314"/>
      <c r="H36" s="314"/>
      <c r="I36" s="314"/>
      <c r="J36" s="2031"/>
      <c r="K36" s="3302"/>
      <c r="L36" s="3302"/>
      <c r="M36" s="1268" t="s">
        <v>355</v>
      </c>
      <c r="N36" s="3302"/>
      <c r="O36" s="3302"/>
      <c r="P36" s="2029"/>
      <c r="V36" s="2029"/>
    </row>
    <row r="37" spans="1:26" ht="16.5" customHeight="1" thickBot="1">
      <c r="A37" s="1262" t="s">
        <v>348</v>
      </c>
      <c r="B37" s="310"/>
      <c r="C37" s="294"/>
      <c r="D37" s="294"/>
      <c r="E37" s="295"/>
      <c r="F37" s="314"/>
      <c r="G37" s="314"/>
      <c r="H37" s="314"/>
      <c r="I37" s="314"/>
      <c r="J37" s="2031"/>
      <c r="K37" s="3303"/>
      <c r="L37" s="3303"/>
      <c r="M37" s="1269"/>
      <c r="N37" s="3303"/>
      <c r="O37" s="3303"/>
      <c r="P37" s="2029"/>
      <c r="V37" s="2029"/>
    </row>
    <row r="38" spans="1:26" ht="16.5" customHeight="1" thickBot="1">
      <c r="A38" s="1262" t="s">
        <v>349</v>
      </c>
      <c r="B38" s="310"/>
      <c r="C38" s="294"/>
      <c r="D38" s="294"/>
      <c r="E38" s="295"/>
      <c r="F38" s="314"/>
      <c r="G38" s="314"/>
      <c r="H38" s="314"/>
      <c r="I38" s="314"/>
      <c r="J38" s="2031"/>
      <c r="K38" s="1270">
        <f>'数据-汇总表'!D3</f>
        <v>97754.96</v>
      </c>
      <c r="L38" s="1271">
        <f>'数据-汇总表'!E3</f>
        <v>331165.86</v>
      </c>
      <c r="M38" s="1271">
        <f ca="1">C34</f>
        <v>21312</v>
      </c>
      <c r="N38" s="1271">
        <f ca="1">C33</f>
        <v>6291</v>
      </c>
      <c r="O38" s="1272">
        <f ca="1">C32</f>
        <v>208331</v>
      </c>
      <c r="P38" s="2029"/>
      <c r="V38" s="2029"/>
    </row>
    <row r="39" spans="1:26" ht="16.5" customHeight="1" thickBot="1">
      <c r="A39" s="1267"/>
      <c r="B39" s="311"/>
      <c r="C39" s="312"/>
      <c r="D39" s="312"/>
      <c r="E39" s="313"/>
      <c r="F39" s="314"/>
      <c r="G39" s="314"/>
      <c r="H39" s="314"/>
      <c r="I39" s="314"/>
      <c r="J39" s="2031"/>
      <c r="K39" s="3346" t="str">
        <f>MID(A44,3,LEN(A44)-2)</f>
        <v>抵押价格</v>
      </c>
      <c r="L39" s="3347"/>
      <c r="M39" s="3347"/>
      <c r="N39" s="3348"/>
      <c r="O39" s="1394">
        <f ca="1">C44</f>
        <v>208331</v>
      </c>
      <c r="P39" s="2029"/>
      <c r="V39" s="2029"/>
    </row>
    <row r="40" spans="1:26" ht="19.5" thickBot="1">
      <c r="A40" s="104" t="s">
        <v>874</v>
      </c>
      <c r="B40" s="314"/>
      <c r="C40" s="314"/>
      <c r="D40" s="314"/>
      <c r="E40" s="314"/>
      <c r="F40" s="314"/>
      <c r="G40" s="314"/>
      <c r="H40" s="314"/>
      <c r="I40" s="314"/>
      <c r="J40" s="2031"/>
      <c r="K40" s="3346" t="str">
        <f t="shared" ref="K40:K41" si="0">MID(A45,3,LEN(A45)-2)</f>
        <v/>
      </c>
      <c r="L40" s="3347"/>
      <c r="M40" s="3347"/>
      <c r="N40" s="3348"/>
      <c r="O40" s="1394" t="str">
        <f>C45</f>
        <v>——</v>
      </c>
      <c r="P40" s="2029"/>
      <c r="V40" s="2029"/>
    </row>
    <row r="41" spans="1:26" ht="16.5" thickBot="1">
      <c r="A41" s="315" t="s">
        <v>356</v>
      </c>
      <c r="B41" s="316"/>
      <c r="C41" s="317" t="s">
        <v>357</v>
      </c>
      <c r="D41" s="318" t="s">
        <v>358</v>
      </c>
      <c r="E41" s="318" t="s">
        <v>359</v>
      </c>
      <c r="F41" s="319" t="s">
        <v>360</v>
      </c>
      <c r="G41" s="314"/>
      <c r="H41" s="314"/>
      <c r="I41" s="314"/>
      <c r="J41" s="2031"/>
      <c r="K41" s="3346" t="str">
        <f t="shared" si="0"/>
        <v>抵押净值</v>
      </c>
      <c r="L41" s="3347"/>
      <c r="M41" s="3347"/>
      <c r="N41" s="3348"/>
      <c r="O41" s="1394">
        <f ca="1">C46</f>
        <v>107749</v>
      </c>
      <c r="P41" s="2029"/>
      <c r="V41" s="2029"/>
    </row>
    <row r="42" spans="1:26" ht="29.25">
      <c r="A42" s="3288" t="s">
        <v>2071</v>
      </c>
      <c r="B42" s="3289"/>
      <c r="C42" s="264">
        <f ca="1">C32</f>
        <v>208331</v>
      </c>
      <c r="D42" s="320">
        <f ca="1">C33</f>
        <v>6291</v>
      </c>
      <c r="E42" s="320">
        <f ca="1">C34</f>
        <v>21312</v>
      </c>
      <c r="F42" s="321">
        <f ca="1">C35</f>
        <v>1421</v>
      </c>
      <c r="G42" s="314"/>
      <c r="H42" s="314"/>
      <c r="I42" s="322"/>
      <c r="J42" s="2031"/>
      <c r="K42" s="1273" t="s">
        <v>361</v>
      </c>
      <c r="L42" s="2048" t="s">
        <v>362</v>
      </c>
      <c r="M42" s="1274" t="s">
        <v>363</v>
      </c>
      <c r="N42" s="2049" t="s">
        <v>364</v>
      </c>
      <c r="O42" s="2050" t="s">
        <v>365</v>
      </c>
      <c r="P42" s="2029"/>
      <c r="V42" s="2029"/>
    </row>
    <row r="43" spans="1:26" ht="30">
      <c r="A43" s="3299" t="s">
        <v>2737</v>
      </c>
      <c r="B43" s="3300"/>
      <c r="C43" s="264">
        <f>IF(H33="正常操作",G33+G34+G35,G34+G35)</f>
        <v>0</v>
      </c>
      <c r="D43" s="320" t="s">
        <v>43</v>
      </c>
      <c r="E43" s="320" t="s">
        <v>44</v>
      </c>
      <c r="F43" s="321" t="s">
        <v>44</v>
      </c>
      <c r="G43" s="2893" t="s">
        <v>953</v>
      </c>
      <c r="H43" s="314"/>
      <c r="I43" s="322"/>
      <c r="J43" s="2031"/>
      <c r="K43" s="1275" t="str">
        <f>C4</f>
        <v>比较法-住宅、综合</v>
      </c>
      <c r="L43" s="1276">
        <f ca="1">IF(L42="估价结果/万元",C19,C20)</f>
        <v>197286</v>
      </c>
      <c r="M43" s="1277">
        <f>C18</f>
        <v>0.5</v>
      </c>
      <c r="N43" s="1278">
        <f ca="1">IF(N42="测算结果/万元",G19,G20)</f>
        <v>208331</v>
      </c>
      <c r="O43" s="1279">
        <f ca="1">IF(O42="最终结果/万元",C32,C33)</f>
        <v>208331</v>
      </c>
      <c r="P43" s="2029"/>
      <c r="V43" s="2029"/>
    </row>
    <row r="44" spans="1:26" ht="30.75" thickBot="1">
      <c r="A44" s="3288" t="str">
        <f>IF(OR(项目基本情况!E8="抵押价格",项目基本情况!E8="已注销及未注销"),"3.抵押价格","——")</f>
        <v>3.抵押价格</v>
      </c>
      <c r="B44" s="3289"/>
      <c r="C44" s="264">
        <f ca="1">IF(A44="——","——",C42-C43)</f>
        <v>208331</v>
      </c>
      <c r="D44" s="320">
        <f ca="1">ROUND(C44*10000/'数据-汇总表'!E3,0)</f>
        <v>6291</v>
      </c>
      <c r="E44" s="320">
        <f ca="1">ROUND(C44*10000/'数据-汇总表'!D3,0)</f>
        <v>21312</v>
      </c>
      <c r="F44" s="321">
        <f ca="1">ROUND(C44/('数据-汇总表'!D3/666.67),0)</f>
        <v>1421</v>
      </c>
      <c r="G44" s="314"/>
      <c r="H44" s="314"/>
      <c r="I44" s="322"/>
      <c r="J44" s="2031"/>
      <c r="K44" s="1280" t="str">
        <f>D4</f>
        <v>剩余法-待开发</v>
      </c>
      <c r="L44" s="1281">
        <f ca="1">IF(L42="估价结果/万元",D19,D20)</f>
        <v>219376</v>
      </c>
      <c r="M44" s="1282">
        <f>D18</f>
        <v>0.5</v>
      </c>
      <c r="N44" s="1283"/>
      <c r="O44" s="1284"/>
      <c r="P44" s="2029"/>
      <c r="V44" s="2029"/>
    </row>
    <row r="45" spans="1:26" ht="15" hidden="1">
      <c r="A45" s="3294" t="str">
        <f>IF(项目基本情况!E8="已注销及未注销","4.抵押担保权已注销时的抵押价格",IF(项目基本情况!E8="已注销","3.抵押担保权已注销时的抵押价格","——"))</f>
        <v>——</v>
      </c>
      <c r="B45" s="3295"/>
      <c r="C45" s="1804"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1"/>
      <c r="K45" s="2029"/>
      <c r="L45" s="2029"/>
      <c r="M45" s="2029"/>
      <c r="N45" s="2029"/>
      <c r="O45" s="2029"/>
      <c r="P45" s="2029"/>
      <c r="V45" s="2029"/>
    </row>
    <row r="46" spans="1:26" ht="15.75" thickBot="1">
      <c r="A46" s="3290" t="str">
        <f>IF(项目基本情况!E9="抵押净值",IF(A45="——","4.抵押净值","5.抵押净值"),"——")</f>
        <v>4.抵押净值</v>
      </c>
      <c r="B46" s="3291"/>
      <c r="C46" s="323">
        <f ca="1">IF(A46="——","——",O79)</f>
        <v>107749</v>
      </c>
      <c r="D46" s="320">
        <f ca="1">ROUND(C46*10000/'数据-汇总表'!E3,0)</f>
        <v>3254</v>
      </c>
      <c r="E46" s="320">
        <f ca="1">ROUND(C46*10000/'数据-汇总表'!D3,0)</f>
        <v>11022</v>
      </c>
      <c r="F46" s="321">
        <f ca="1">ROUND(C46/('数据-汇总表'!D3/666.67),0)</f>
        <v>735</v>
      </c>
      <c r="G46" s="314"/>
      <c r="H46" s="314"/>
      <c r="I46" s="322"/>
      <c r="J46" s="2031"/>
      <c r="K46" s="2029"/>
      <c r="L46" s="2029"/>
      <c r="M46" s="2029"/>
      <c r="N46" s="2029"/>
      <c r="O46" s="2029"/>
      <c r="P46" s="2029"/>
      <c r="Q46" s="2029"/>
      <c r="R46" s="2029"/>
      <c r="S46" s="2029"/>
      <c r="T46" s="2029"/>
      <c r="U46" s="2029"/>
      <c r="V46" s="2029"/>
    </row>
    <row r="47" spans="1:26" ht="15.75">
      <c r="A47" s="324" t="s">
        <v>366</v>
      </c>
      <c r="B47" s="1285"/>
      <c r="C47" s="325" t="s">
        <v>367</v>
      </c>
      <c r="D47" s="326"/>
      <c r="E47" s="326"/>
      <c r="F47" s="326"/>
      <c r="G47" s="327"/>
      <c r="H47" s="328"/>
      <c r="I47" s="329"/>
      <c r="J47" s="2031"/>
      <c r="K47" s="314"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30">
        <v>1</v>
      </c>
      <c r="B48" s="3191" t="s">
        <v>3110</v>
      </c>
      <c r="C48" s="331"/>
      <c r="D48" s="326"/>
      <c r="E48" s="326"/>
      <c r="F48" s="326"/>
      <c r="G48" s="326"/>
      <c r="H48" s="332"/>
      <c r="I48" s="333"/>
      <c r="J48" s="2031"/>
      <c r="K48" s="2029"/>
      <c r="L48" s="2029"/>
      <c r="M48" s="2029"/>
      <c r="N48" s="2029"/>
      <c r="O48" s="2029"/>
      <c r="P48" s="2029"/>
      <c r="Q48" s="2029"/>
      <c r="R48" s="2029"/>
      <c r="S48" s="2029"/>
      <c r="T48" s="2029"/>
      <c r="U48" s="2029"/>
      <c r="V48" s="2029"/>
    </row>
    <row r="49" spans="1:22" ht="12.75" hidden="1">
      <c r="A49" s="330">
        <v>2</v>
      </c>
      <c r="B49" s="331"/>
      <c r="C49" s="331"/>
      <c r="D49" s="326"/>
      <c r="E49" s="326"/>
      <c r="F49" s="326"/>
      <c r="G49" s="326"/>
      <c r="H49" s="332"/>
      <c r="I49" s="333"/>
      <c r="J49" s="2032"/>
      <c r="K49" s="2029"/>
      <c r="L49" s="2029"/>
      <c r="M49" s="2029"/>
      <c r="N49" s="2029"/>
      <c r="O49" s="2029"/>
      <c r="P49" s="2029"/>
      <c r="Q49" s="2029"/>
      <c r="R49" s="2029"/>
      <c r="S49" s="2029"/>
      <c r="T49" s="2029"/>
      <c r="U49" s="2029"/>
      <c r="V49" s="2029"/>
    </row>
    <row r="50" spans="1:22" ht="12.75" hidden="1">
      <c r="A50" s="330">
        <v>3</v>
      </c>
      <c r="B50" s="331"/>
      <c r="C50" s="331"/>
      <c r="D50" s="326"/>
      <c r="E50" s="326"/>
      <c r="F50" s="326"/>
      <c r="G50" s="326"/>
      <c r="H50" s="332"/>
      <c r="I50" s="333"/>
      <c r="J50" s="2032"/>
      <c r="K50" s="2029"/>
      <c r="L50" s="2029"/>
      <c r="M50" s="2029"/>
      <c r="N50" s="2029"/>
      <c r="O50" s="2029"/>
      <c r="P50" s="2029"/>
      <c r="Q50" s="2029"/>
      <c r="R50" s="2029"/>
      <c r="S50" s="2029"/>
      <c r="T50" s="2029"/>
      <c r="U50" s="2029"/>
      <c r="V50" s="2029"/>
    </row>
    <row r="51" spans="1:22" ht="12.75" hidden="1">
      <c r="A51" s="334"/>
      <c r="B51" s="335"/>
      <c r="C51" s="335"/>
      <c r="D51" s="336"/>
      <c r="E51" s="336"/>
      <c r="F51" s="336"/>
      <c r="G51" s="336"/>
      <c r="H51" s="337"/>
      <c r="I51" s="338"/>
      <c r="J51" s="2032"/>
      <c r="K51" s="2029"/>
      <c r="L51" s="2029"/>
      <c r="M51" s="2029"/>
      <c r="N51" s="2029"/>
      <c r="O51" s="2029"/>
      <c r="P51" s="2029"/>
      <c r="Q51" s="2029"/>
      <c r="R51" s="2029"/>
      <c r="S51" s="2029"/>
      <c r="T51" s="2029"/>
      <c r="U51" s="2029"/>
      <c r="V51" s="2029"/>
    </row>
    <row r="52" spans="1:22" ht="12.75" hidden="1">
      <c r="A52" s="331"/>
      <c r="B52" s="331"/>
      <c r="C52" s="331"/>
      <c r="D52" s="326"/>
      <c r="E52" s="326"/>
      <c r="F52" s="326"/>
      <c r="G52" s="326"/>
      <c r="H52" s="332"/>
      <c r="I52" s="257"/>
      <c r="J52" s="2032"/>
      <c r="K52" s="2029"/>
      <c r="L52" s="2029"/>
      <c r="M52" s="2029"/>
      <c r="N52" s="2029"/>
      <c r="O52" s="2029"/>
      <c r="P52" s="2029"/>
      <c r="Q52" s="2029"/>
      <c r="R52" s="2029"/>
      <c r="S52" s="2029"/>
      <c r="T52" s="2029"/>
      <c r="U52" s="2029"/>
      <c r="V52" s="2029"/>
    </row>
    <row r="53" spans="1:22" ht="12.75">
      <c r="A53" s="257"/>
      <c r="B53" s="257" t="s">
        <v>3111</v>
      </c>
      <c r="C53" s="257"/>
      <c r="D53" s="257"/>
      <c r="E53" s="257"/>
      <c r="F53" s="339" t="s">
        <v>368</v>
      </c>
      <c r="G53" s="340"/>
      <c r="H53" s="340"/>
      <c r="I53" s="341" t="s">
        <v>369</v>
      </c>
      <c r="J53" s="2032"/>
      <c r="K53" s="2029"/>
      <c r="L53" s="2029"/>
      <c r="M53" s="2029"/>
      <c r="N53" s="2029"/>
      <c r="O53" s="2029"/>
      <c r="P53" s="2029"/>
      <c r="Q53" s="2029"/>
      <c r="R53" s="2029"/>
      <c r="S53" s="2029"/>
      <c r="T53" s="2029"/>
      <c r="U53" s="2029"/>
      <c r="V53" s="2029"/>
    </row>
    <row r="54" spans="1:22" ht="12.75">
      <c r="A54" s="257"/>
      <c r="B54" s="342"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t="s">
        <v>3107</v>
      </c>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40" t="s">
        <v>3108</v>
      </c>
      <c r="C56" s="340"/>
      <c r="D56" s="340"/>
      <c r="E56" s="340"/>
      <c r="F56" s="340"/>
      <c r="G56" s="340"/>
      <c r="H56" s="340"/>
      <c r="I56" s="341" t="s">
        <v>371</v>
      </c>
      <c r="J56" s="2032"/>
      <c r="K56" s="2029"/>
      <c r="L56" s="2029"/>
      <c r="M56" s="2029"/>
      <c r="N56" s="2029"/>
      <c r="O56" s="2029"/>
      <c r="P56" s="2029"/>
      <c r="Q56" s="2029"/>
      <c r="R56" s="2029"/>
      <c r="S56" s="2029"/>
      <c r="T56" s="2029"/>
      <c r="U56" s="2029"/>
      <c r="V56" s="2029"/>
    </row>
    <row r="57" spans="1:22" ht="12.75">
      <c r="A57" s="257"/>
      <c r="B57" s="342"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42"/>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40"/>
      <c r="C59" s="340"/>
      <c r="D59" s="340"/>
      <c r="E59" s="340"/>
      <c r="F59" s="340"/>
      <c r="G59" s="340"/>
      <c r="H59" s="340"/>
      <c r="I59" s="341" t="s">
        <v>371</v>
      </c>
      <c r="J59" s="2032"/>
      <c r="K59" s="2029"/>
      <c r="L59" s="2029"/>
      <c r="M59" s="2029"/>
      <c r="N59" s="2029"/>
      <c r="O59" s="2029"/>
      <c r="P59" s="2029"/>
      <c r="Q59" s="2029"/>
      <c r="R59" s="2029"/>
      <c r="S59" s="2029"/>
      <c r="T59" s="2029"/>
      <c r="U59" s="2029"/>
      <c r="V59" s="2029"/>
    </row>
    <row r="60" spans="1:22" ht="12.75" hidden="1">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hidden="1">
      <c r="A61" s="257"/>
      <c r="B61" s="342"/>
      <c r="C61" s="343"/>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6" t="s">
        <v>373</v>
      </c>
      <c r="B62" s="1287"/>
      <c r="C62" s="1287"/>
      <c r="D62" s="1288"/>
      <c r="E62" s="1288"/>
      <c r="F62" s="1289"/>
      <c r="G62" s="1289"/>
      <c r="H62" s="1289"/>
      <c r="I62" s="1289"/>
      <c r="J62" s="2033"/>
      <c r="K62" s="2029"/>
      <c r="L62" s="2029"/>
      <c r="M62" s="2029"/>
      <c r="N62" s="2029"/>
      <c r="O62" s="2029"/>
      <c r="P62" s="2029"/>
      <c r="Q62" s="2029"/>
      <c r="R62" s="2029"/>
      <c r="S62" s="2029"/>
      <c r="T62" s="2029"/>
      <c r="U62" s="2029"/>
      <c r="V62" s="2029"/>
    </row>
    <row r="63" spans="1:22" ht="14.25" customHeight="1" thickBot="1">
      <c r="A63" s="3335" t="s">
        <v>374</v>
      </c>
      <c r="B63" s="3336"/>
      <c r="C63" s="3337"/>
      <c r="D63" s="344">
        <f ca="1">ROUND(C42*F63,0)</f>
        <v>166665</v>
      </c>
      <c r="E63" s="305" t="s">
        <v>375</v>
      </c>
      <c r="F63" s="345">
        <v>0.8</v>
      </c>
      <c r="G63" s="346" t="s">
        <v>376</v>
      </c>
      <c r="H63" s="314"/>
      <c r="I63" s="314"/>
      <c r="J63" s="2029"/>
      <c r="K63" s="2029"/>
      <c r="L63" s="2029"/>
      <c r="M63" s="2029"/>
      <c r="N63" s="2029"/>
      <c r="O63" s="2029"/>
      <c r="P63" s="314"/>
      <c r="Q63" s="2029"/>
      <c r="R63" s="2029"/>
      <c r="S63" s="2029"/>
      <c r="T63" s="2029"/>
      <c r="U63" s="2029"/>
      <c r="V63" s="2029"/>
    </row>
    <row r="64" spans="1:22" ht="14.25" customHeight="1">
      <c r="A64" s="3296" t="s">
        <v>378</v>
      </c>
      <c r="B64" s="3297"/>
      <c r="C64" s="3297"/>
      <c r="D64" s="3297"/>
      <c r="E64" s="3297"/>
      <c r="F64" s="3297"/>
      <c r="G64" s="3298"/>
      <c r="H64" s="1290"/>
      <c r="I64" s="950"/>
      <c r="J64" s="1991"/>
      <c r="K64" s="1563" t="s">
        <v>377</v>
      </c>
      <c r="L64" s="11"/>
      <c r="M64" s="11"/>
      <c r="N64" s="11"/>
      <c r="O64" s="11"/>
      <c r="P64" s="314"/>
      <c r="Q64" s="2029"/>
      <c r="R64" s="2029"/>
      <c r="S64" s="2029"/>
      <c r="T64" s="2029"/>
      <c r="U64" s="2029"/>
      <c r="V64" s="2029"/>
    </row>
    <row r="65" spans="1:22" ht="12" customHeight="1">
      <c r="A65" s="347" t="s">
        <v>380</v>
      </c>
      <c r="B65" s="348"/>
      <c r="C65" s="349"/>
      <c r="D65" s="350" t="s">
        <v>381</v>
      </c>
      <c r="E65" s="53" t="s">
        <v>382</v>
      </c>
      <c r="F65" s="351" t="s">
        <v>383</v>
      </c>
      <c r="G65" s="352" t="s">
        <v>384</v>
      </c>
      <c r="H65" s="1290"/>
      <c r="I65" s="950"/>
      <c r="J65" s="1991"/>
      <c r="K65" s="1291"/>
      <c r="L65" s="1292"/>
      <c r="M65" s="1292"/>
      <c r="N65" s="1324" t="s">
        <v>379</v>
      </c>
      <c r="O65" s="1325"/>
      <c r="P65" s="1326"/>
      <c r="Q65" s="2029"/>
      <c r="R65" s="2029"/>
      <c r="S65" s="2029"/>
      <c r="T65" s="2029"/>
      <c r="U65" s="2029"/>
      <c r="V65" s="2029"/>
    </row>
    <row r="66" spans="1:22" ht="25.5">
      <c r="A66" s="3292" t="s">
        <v>386</v>
      </c>
      <c r="B66" s="3293"/>
      <c r="C66" s="3293"/>
      <c r="D66" s="261">
        <f ca="1">IF(H66="情况1",0,IF(H66="情况2",D70,IF(H66="情况3",D71,IF(H66="情况4",D72))))</f>
        <v>8889</v>
      </c>
      <c r="E66" s="995" t="str">
        <f>IF(H66="情况4","(销售额-原购置价)×税（费）率","销售额×税（费）率")</f>
        <v>销售额×税（费）率</v>
      </c>
      <c r="F66" s="353">
        <f>IF(H66="情况1","免征",'数据-取费表'!B41)</f>
        <v>5.6000000000000001E-2</v>
      </c>
      <c r="G66" s="354" t="s">
        <v>387</v>
      </c>
      <c r="H66" s="191" t="s">
        <v>388</v>
      </c>
      <c r="I66" s="1290"/>
      <c r="J66" s="2035"/>
      <c r="K66" s="1293">
        <v>1</v>
      </c>
      <c r="L66" s="3350" t="s">
        <v>385</v>
      </c>
      <c r="M66" s="3351"/>
      <c r="N66" s="2483"/>
      <c r="O66" s="2484"/>
      <c r="P66" s="2485"/>
      <c r="Q66" s="2029"/>
      <c r="R66" s="2029"/>
      <c r="S66" s="2029"/>
      <c r="T66" s="2029"/>
      <c r="U66" s="2029"/>
      <c r="V66" s="2029"/>
    </row>
    <row r="67" spans="1:22" ht="25.5" hidden="1" customHeight="1">
      <c r="A67" s="355" t="s">
        <v>390</v>
      </c>
      <c r="B67" s="3283" t="s">
        <v>391</v>
      </c>
      <c r="C67" s="3283"/>
      <c r="D67" s="356">
        <v>0</v>
      </c>
      <c r="E67" s="41" t="s">
        <v>392</v>
      </c>
      <c r="F67" s="62" t="s">
        <v>21</v>
      </c>
      <c r="G67" s="3338"/>
      <c r="H67" s="314"/>
      <c r="I67" s="1294"/>
      <c r="J67" s="2036"/>
      <c r="K67" s="1977">
        <v>2</v>
      </c>
      <c r="L67" s="3349" t="s">
        <v>389</v>
      </c>
      <c r="M67" s="3349"/>
      <c r="N67" s="1327">
        <f>'数据-取费表'!B2</f>
        <v>43025</v>
      </c>
      <c r="O67" s="1327"/>
      <c r="P67" s="1327"/>
      <c r="Q67" s="2029"/>
      <c r="R67" s="2029"/>
      <c r="S67" s="2029"/>
      <c r="T67" s="2029"/>
      <c r="U67" s="2029"/>
      <c r="V67" s="2029"/>
    </row>
    <row r="68" spans="1:22" ht="25.5" hidden="1" customHeight="1">
      <c r="A68" s="357"/>
      <c r="B68" s="3283" t="s">
        <v>394</v>
      </c>
      <c r="C68" s="3283"/>
      <c r="D68" s="358"/>
      <c r="E68" s="77"/>
      <c r="F68" s="359"/>
      <c r="G68" s="3339"/>
      <c r="H68" s="314"/>
      <c r="I68" s="1294"/>
      <c r="J68" s="2036"/>
      <c r="K68" s="1977">
        <v>3</v>
      </c>
      <c r="L68" s="3349" t="s">
        <v>393</v>
      </c>
      <c r="M68" s="3349"/>
      <c r="N68" s="1295">
        <f ca="1">C42</f>
        <v>208331</v>
      </c>
      <c r="O68" s="1295"/>
      <c r="P68" s="1295"/>
      <c r="Q68" s="2029"/>
      <c r="R68" s="2029"/>
      <c r="S68" s="2029"/>
      <c r="T68" s="2029"/>
      <c r="U68" s="2029"/>
      <c r="V68" s="2029"/>
    </row>
    <row r="69" spans="1:22" ht="12" hidden="1" customHeight="1">
      <c r="A69" s="360"/>
      <c r="B69" s="3283" t="s">
        <v>395</v>
      </c>
      <c r="C69" s="3283"/>
      <c r="D69" s="361"/>
      <c r="E69" s="73"/>
      <c r="F69" s="359"/>
      <c r="G69" s="3340"/>
      <c r="H69" s="314"/>
      <c r="I69" s="1294"/>
      <c r="J69" s="2036"/>
      <c r="K69" s="1296">
        <v>4</v>
      </c>
      <c r="L69" s="3354" t="s">
        <v>2890</v>
      </c>
      <c r="M69" s="3355"/>
      <c r="N69" s="1297">
        <f ca="1">C44</f>
        <v>208331</v>
      </c>
      <c r="O69" s="1297"/>
      <c r="P69" s="1297"/>
      <c r="Q69" s="2029"/>
      <c r="R69" s="2029"/>
      <c r="S69" s="2029"/>
      <c r="T69" s="2029"/>
      <c r="U69" s="2029"/>
      <c r="V69" s="2029"/>
    </row>
    <row r="70" spans="1:22" ht="24" hidden="1" customHeight="1">
      <c r="A70" s="362" t="s">
        <v>396</v>
      </c>
      <c r="B70" s="3283" t="s">
        <v>397</v>
      </c>
      <c r="C70" s="3283"/>
      <c r="D70" s="361">
        <f ca="1">ROUND(D63*'数据-取费表'!B41/(1+'数据-取费表'!C42),0)</f>
        <v>8889</v>
      </c>
      <c r="E70" s="17" t="s">
        <v>398</v>
      </c>
      <c r="F70" s="363">
        <f>'数据-取费表'!B41</f>
        <v>5.6000000000000001E-2</v>
      </c>
      <c r="G70" s="364"/>
      <c r="H70" s="314"/>
      <c r="I70" s="1294"/>
      <c r="J70" s="2036"/>
      <c r="K70" s="3086"/>
      <c r="L70" s="3087"/>
      <c r="M70" s="3087"/>
      <c r="N70" s="3088" t="s">
        <v>2894</v>
      </c>
      <c r="O70" s="3087"/>
      <c r="P70" s="3089"/>
      <c r="Q70" s="2029"/>
      <c r="R70" s="2029"/>
      <c r="S70" s="2029"/>
      <c r="T70" s="2029"/>
      <c r="U70" s="2029"/>
      <c r="V70" s="2029"/>
    </row>
    <row r="71" spans="1:22" ht="12" customHeight="1">
      <c r="A71" s="362" t="s">
        <v>404</v>
      </c>
      <c r="B71" s="3284" t="s">
        <v>405</v>
      </c>
      <c r="C71" s="3285"/>
      <c r="D71" s="361">
        <f ca="1">ROUND(D63*'数据-取费表'!B41/(1+'数据-取费表'!C42),0)</f>
        <v>8889</v>
      </c>
      <c r="E71" s="17" t="s">
        <v>398</v>
      </c>
      <c r="F71" s="363">
        <f>'数据-取费表'!B41</f>
        <v>5.6000000000000001E-2</v>
      </c>
      <c r="G71" s="364"/>
      <c r="H71" s="314"/>
      <c r="I71" s="1294"/>
      <c r="J71" s="2036"/>
      <c r="K71" s="3085" t="s">
        <v>399</v>
      </c>
      <c r="L71" s="3356" t="s">
        <v>400</v>
      </c>
      <c r="M71" s="3356"/>
      <c r="N71" s="3085" t="s">
        <v>401</v>
      </c>
      <c r="O71" s="3085" t="s">
        <v>402</v>
      </c>
      <c r="P71" s="3085" t="s">
        <v>403</v>
      </c>
      <c r="Q71" s="2029"/>
      <c r="R71" s="2029"/>
      <c r="S71" s="2029"/>
      <c r="T71" s="2029"/>
      <c r="U71" s="2029"/>
      <c r="V71" s="2029"/>
    </row>
    <row r="72" spans="1:22" ht="12" customHeight="1">
      <c r="A72" s="362" t="s">
        <v>407</v>
      </c>
      <c r="B72" s="3284" t="s">
        <v>408</v>
      </c>
      <c r="C72" s="3285"/>
      <c r="D72" s="361">
        <f ca="1">C86</f>
        <v>8777</v>
      </c>
      <c r="E72" s="73" t="s">
        <v>409</v>
      </c>
      <c r="F72" s="363">
        <f>'数据-取费表'!B41</f>
        <v>5.6000000000000001E-2</v>
      </c>
      <c r="G72" s="364"/>
      <c r="H72" s="1300"/>
      <c r="I72" s="1294"/>
      <c r="J72" s="2036"/>
      <c r="K72" s="1977">
        <v>1</v>
      </c>
      <c r="L72" s="3331" t="s">
        <v>406</v>
      </c>
      <c r="M72" s="3331"/>
      <c r="N72" s="1298">
        <f ca="1">D66</f>
        <v>8889</v>
      </c>
      <c r="O72" s="1860" t="str">
        <f>E66</f>
        <v>销售额×税（费）率</v>
      </c>
      <c r="P72" s="1299">
        <f>F66</f>
        <v>5.6000000000000001E-2</v>
      </c>
      <c r="Q72" s="2029"/>
      <c r="R72" s="2029"/>
      <c r="S72" s="2029"/>
      <c r="T72" s="2029"/>
      <c r="U72" s="2029"/>
      <c r="V72" s="2029"/>
    </row>
    <row r="73" spans="1:22" ht="24" customHeight="1">
      <c r="A73" s="3325" t="s">
        <v>411</v>
      </c>
      <c r="B73" s="3293"/>
      <c r="C73" s="3293"/>
      <c r="D73" s="365">
        <f ca="1">IF(H73="个人住宅",0,ROUND(D63*I73,0))</f>
        <v>83</v>
      </c>
      <c r="E73" s="17" t="s">
        <v>412</v>
      </c>
      <c r="F73" s="363">
        <f>IF(H73="正常",I73,"免征")</f>
        <v>5.0000000000000001E-4</v>
      </c>
      <c r="G73" s="364"/>
      <c r="H73" s="191" t="s">
        <v>3006</v>
      </c>
      <c r="I73" s="363">
        <f>'数据-取费表'!B49</f>
        <v>5.0000000000000001E-4</v>
      </c>
      <c r="J73" s="2036"/>
      <c r="K73" s="1977">
        <v>2</v>
      </c>
      <c r="L73" s="3331" t="s">
        <v>410</v>
      </c>
      <c r="M73" s="3331"/>
      <c r="N73" s="1298">
        <f t="shared" ref="N73:P74" ca="1" si="1">D73</f>
        <v>83</v>
      </c>
      <c r="O73" s="1860" t="str">
        <f t="shared" si="1"/>
        <v>销售额×税（费）率</v>
      </c>
      <c r="P73" s="1299">
        <f t="shared" si="1"/>
        <v>5.0000000000000001E-4</v>
      </c>
      <c r="Q73" s="2029"/>
      <c r="R73" s="2029"/>
      <c r="S73" s="2029"/>
      <c r="T73" s="2029"/>
      <c r="U73" s="2029"/>
      <c r="V73" s="2029"/>
    </row>
    <row r="74" spans="1:22" ht="24.75">
      <c r="A74" s="3325" t="s">
        <v>415</v>
      </c>
      <c r="B74" s="3293"/>
      <c r="C74" s="3293"/>
      <c r="D74" s="365">
        <f ca="1">IF(H74="个人住宅",D75,D76)</f>
        <v>91610</v>
      </c>
      <c r="E74" s="17" t="s">
        <v>416</v>
      </c>
      <c r="F74" s="363" t="str">
        <f>IF(H74="正常",F76,"免征")</f>
        <v>——</v>
      </c>
      <c r="G74" s="985" t="s">
        <v>417</v>
      </c>
      <c r="H74" s="366" t="s">
        <v>413</v>
      </c>
      <c r="I74" s="42"/>
      <c r="J74" s="2036"/>
      <c r="K74" s="1977">
        <v>3</v>
      </c>
      <c r="L74" s="3331" t="s">
        <v>414</v>
      </c>
      <c r="M74" s="3331"/>
      <c r="N74" s="1298">
        <f t="shared" ca="1" si="1"/>
        <v>91610</v>
      </c>
      <c r="O74" s="1860" t="str">
        <f t="shared" si="1"/>
        <v>增值额×税（费）率</v>
      </c>
      <c r="P74" s="1301" t="str">
        <f t="shared" si="1"/>
        <v>——</v>
      </c>
      <c r="Q74" s="2029"/>
      <c r="R74" s="2029"/>
      <c r="S74" s="2029"/>
      <c r="T74" s="2029"/>
      <c r="U74" s="2029"/>
      <c r="V74" s="2029"/>
    </row>
    <row r="75" spans="1:22" ht="12.75" hidden="1">
      <c r="A75" s="362" t="s">
        <v>418</v>
      </c>
      <c r="B75" s="3281" t="s">
        <v>419</v>
      </c>
      <c r="C75" s="3311"/>
      <c r="D75" s="367">
        <v>0</v>
      </c>
      <c r="E75" s="41" t="s">
        <v>420</v>
      </c>
      <c r="F75" s="368"/>
      <c r="G75" s="364"/>
      <c r="H75" s="42"/>
      <c r="I75" s="42"/>
      <c r="J75" s="2036"/>
      <c r="K75" s="3078" t="str">
        <f>IF(H77="非个人房产","",4)</f>
        <v/>
      </c>
      <c r="L75" s="3331" t="str">
        <f>IF(H77="非个人房产","——","个人所得税")</f>
        <v>——</v>
      </c>
      <c r="M75" s="3331"/>
      <c r="N75" s="1302" t="str">
        <f>D77</f>
        <v>——</v>
      </c>
      <c r="O75" s="1873" t="str">
        <f>E77</f>
        <v>——</v>
      </c>
      <c r="P75" s="1303" t="str">
        <f>F77</f>
        <v>——</v>
      </c>
      <c r="Q75" s="2029"/>
      <c r="R75" s="2029"/>
      <c r="S75" s="2029"/>
      <c r="T75" s="2029"/>
      <c r="U75" s="2029"/>
      <c r="V75" s="2029"/>
    </row>
    <row r="76" spans="1:22" ht="24.75">
      <c r="A76" s="362" t="s">
        <v>396</v>
      </c>
      <c r="B76" s="3281" t="s">
        <v>422</v>
      </c>
      <c r="C76" s="3282"/>
      <c r="D76" s="365">
        <f ca="1">IF(H76="转让取得",C99,C115)</f>
        <v>91610</v>
      </c>
      <c r="E76" s="17" t="s">
        <v>423</v>
      </c>
      <c r="F76" s="53" t="s">
        <v>21</v>
      </c>
      <c r="G76" s="364"/>
      <c r="H76" s="366" t="s">
        <v>424</v>
      </c>
      <c r="I76" s="42"/>
      <c r="J76" s="2036"/>
      <c r="K76" s="3078" t="str">
        <f>IF(项目基本情况!K6="上海银行",IF(K75="",4,K75+1),"")</f>
        <v/>
      </c>
      <c r="L76" s="3342" t="str">
        <f>IF(项目基本情况!K6="上海银行","其他处置费用","")</f>
        <v/>
      </c>
      <c r="M76" s="3343"/>
      <c r="N76" s="1298" t="str">
        <f>IF(项目基本情况!K6="上海银行",N89,"")</f>
        <v/>
      </c>
      <c r="O76" s="3344" t="str">
        <f>IF(项目基本情况!K6="上海银行","包含处置中涉及的律师、诉讼、拍卖、评估等费用","")</f>
        <v/>
      </c>
      <c r="P76" s="3345"/>
      <c r="Q76" s="2029"/>
      <c r="R76" s="2029"/>
      <c r="S76" s="2029"/>
      <c r="T76" s="2029"/>
      <c r="U76" s="2029"/>
      <c r="V76" s="2029"/>
    </row>
    <row r="77" spans="1:22" ht="24.75" thickBot="1">
      <c r="A77" s="3333" t="s">
        <v>426</v>
      </c>
      <c r="B77" s="3334"/>
      <c r="C77" s="3334"/>
      <c r="D77" s="369" t="str">
        <f>IF(H77="非个人房产","——",IF(H77="个人住宅",0,ROUND(D63*I77,0)))</f>
        <v>——</v>
      </c>
      <c r="E77" s="370" t="str">
        <f>IF(H77="非个人房产","——","销售额×税（费）率")</f>
        <v>——</v>
      </c>
      <c r="F77" s="371" t="str">
        <f>IF(H77="非个人房产","——",IF(H77="个人住宅","免征",I77))</f>
        <v>——</v>
      </c>
      <c r="G77" s="986" t="s">
        <v>417</v>
      </c>
      <c r="H77" s="366" t="s">
        <v>3109</v>
      </c>
      <c r="I77" s="372">
        <v>0.01</v>
      </c>
      <c r="J77" s="2036"/>
      <c r="K77" s="3332">
        <f>IF(AND(K75="",K76=""),4,IF(项目基本情况!K6="上海银行",K76+1,K75+1))</f>
        <v>4</v>
      </c>
      <c r="L77" s="3331" t="s">
        <v>2891</v>
      </c>
      <c r="M77" s="3084" t="s">
        <v>421</v>
      </c>
      <c r="N77" s="1304"/>
      <c r="O77" s="1305">
        <f ca="1">SUMIF(N72:N76,"&lt;9e307")</f>
        <v>100582</v>
      </c>
      <c r="P77" s="1306"/>
      <c r="Q77" s="3082">
        <f ca="1">O77/N69</f>
        <v>0.48279900734888231</v>
      </c>
      <c r="R77" s="2029"/>
      <c r="S77" s="2029"/>
      <c r="T77" s="2029"/>
      <c r="U77" s="2029"/>
      <c r="V77" s="2029"/>
    </row>
    <row r="78" spans="1:22" ht="12" customHeight="1">
      <c r="A78" s="1307"/>
      <c r="B78" s="314"/>
      <c r="C78" s="314"/>
      <c r="D78" s="314"/>
      <c r="E78" s="42"/>
      <c r="F78" s="42"/>
      <c r="G78" s="42"/>
      <c r="H78" s="1005"/>
      <c r="I78" s="314"/>
      <c r="J78" s="2036"/>
      <c r="K78" s="3332"/>
      <c r="L78" s="3331"/>
      <c r="M78" s="3084" t="s">
        <v>425</v>
      </c>
      <c r="N78" s="1304"/>
      <c r="O78" s="1305" t="str">
        <f ca="1">NUMBERSTRING(INT(O77*10000),2)&amp;"元整"</f>
        <v>壹拾亿零伍佰捌拾贰万元整</v>
      </c>
      <c r="P78" s="1306"/>
      <c r="Q78" s="2029"/>
      <c r="R78" s="2029"/>
      <c r="S78" s="2029"/>
      <c r="T78" s="2029"/>
      <c r="U78" s="2029"/>
      <c r="V78" s="2029"/>
    </row>
    <row r="79" spans="1:22" ht="13.5" thickBot="1">
      <c r="A79" s="3326" t="s">
        <v>427</v>
      </c>
      <c r="B79" s="3326"/>
      <c r="C79" s="3326"/>
      <c r="D79" s="3326"/>
      <c r="E79" s="3326"/>
      <c r="F79" s="42"/>
      <c r="G79" s="42"/>
      <c r="H79" s="1005"/>
      <c r="I79" s="314"/>
      <c r="J79" s="2036"/>
      <c r="K79" s="3352">
        <f>K77+1</f>
        <v>5</v>
      </c>
      <c r="L79" s="3331" t="s">
        <v>2892</v>
      </c>
      <c r="M79" s="3084" t="s">
        <v>421</v>
      </c>
      <c r="N79" s="1304"/>
      <c r="O79" s="1305">
        <f ca="1">N69-O77</f>
        <v>107749</v>
      </c>
      <c r="P79" s="1306"/>
      <c r="Q79" s="2029"/>
      <c r="R79" s="2029"/>
      <c r="S79" s="2029"/>
      <c r="T79" s="2029"/>
      <c r="U79" s="2029"/>
      <c r="V79" s="2029"/>
    </row>
    <row r="80" spans="1:22" ht="25.5">
      <c r="A80" s="3321" t="s">
        <v>428</v>
      </c>
      <c r="B80" s="3322"/>
      <c r="C80" s="996"/>
      <c r="D80" s="996" t="s">
        <v>429</v>
      </c>
      <c r="E80" s="373" t="s">
        <v>430</v>
      </c>
      <c r="F80" s="42"/>
      <c r="G80" s="42"/>
      <c r="H80" s="1005"/>
      <c r="I80" s="314"/>
      <c r="J80" s="2029"/>
      <c r="K80" s="3353"/>
      <c r="L80" s="3331"/>
      <c r="M80" s="3084" t="s">
        <v>425</v>
      </c>
      <c r="N80" s="1304"/>
      <c r="O80" s="1305" t="str">
        <f ca="1">NUMBERSTRING(INT(O79*10000),2)&amp;"元整"</f>
        <v>壹拾亿柒仟柒佰肆拾玖万元整</v>
      </c>
      <c r="P80" s="1306"/>
      <c r="Q80" s="2029"/>
      <c r="R80" s="2029"/>
      <c r="S80" s="2029"/>
      <c r="T80" s="2029"/>
      <c r="U80" s="2029"/>
      <c r="V80" s="2029"/>
    </row>
    <row r="81" spans="1:26" ht="13.5" thickBot="1">
      <c r="A81" s="384" t="s">
        <v>1825</v>
      </c>
      <c r="B81" s="374" t="s">
        <v>431</v>
      </c>
      <c r="C81" s="375">
        <f ca="1">ROUND((C82+C83)/(1+'数据-取费表'!C42),0)</f>
        <v>158729</v>
      </c>
      <c r="D81" s="376"/>
      <c r="E81" s="377"/>
      <c r="F81" s="42"/>
      <c r="G81" s="42"/>
      <c r="H81" s="1005"/>
      <c r="I81" s="314"/>
      <c r="J81" s="2029"/>
      <c r="K81" s="3078">
        <f>K79+1</f>
        <v>6</v>
      </c>
      <c r="L81" s="3329" t="s">
        <v>2893</v>
      </c>
      <c r="M81" s="3330"/>
      <c r="N81" s="1308"/>
      <c r="O81" s="1309">
        <f ca="1">ROUND(O79*10000/'数据-汇总表'!E3,0)</f>
        <v>3254</v>
      </c>
      <c r="P81" s="1310"/>
      <c r="Q81" s="2029"/>
      <c r="R81" s="2029"/>
      <c r="S81" s="2029"/>
      <c r="T81" s="2029"/>
      <c r="U81" s="2029"/>
      <c r="V81" s="2029"/>
    </row>
    <row r="82" spans="1:26" ht="13.5" thickTop="1">
      <c r="A82" s="378" t="s">
        <v>1826</v>
      </c>
      <c r="B82" s="379" t="s">
        <v>432</v>
      </c>
      <c r="C82" s="380">
        <f ca="1">D63</f>
        <v>166665</v>
      </c>
      <c r="D82" s="381" t="s">
        <v>19</v>
      </c>
      <c r="E82" s="382"/>
      <c r="F82" s="42"/>
      <c r="G82" s="42"/>
      <c r="H82" s="1005"/>
      <c r="I82" s="314"/>
      <c r="J82" s="2029"/>
      <c r="K82" s="2029"/>
      <c r="L82" s="2029"/>
      <c r="M82" s="2029"/>
      <c r="N82" s="2029"/>
      <c r="O82" s="2029"/>
      <c r="P82" s="2029"/>
      <c r="Q82" s="2029"/>
      <c r="R82" s="2029"/>
      <c r="S82" s="2029"/>
      <c r="T82" s="2029"/>
      <c r="U82" s="2029"/>
      <c r="V82" s="2029"/>
    </row>
    <row r="83" spans="1:26" ht="12.75">
      <c r="A83" s="378" t="s">
        <v>1827</v>
      </c>
      <c r="B83" s="379" t="s">
        <v>433</v>
      </c>
      <c r="C83" s="383">
        <v>0</v>
      </c>
      <c r="D83" s="381"/>
      <c r="E83" s="382"/>
      <c r="F83" s="42"/>
      <c r="G83" s="42"/>
      <c r="H83" s="1005"/>
      <c r="I83" s="314"/>
      <c r="J83" s="2029"/>
      <c r="K83" s="3341" t="s">
        <v>2881</v>
      </c>
      <c r="L83" s="3090" t="s">
        <v>2882</v>
      </c>
      <c r="M83" s="3080">
        <f ca="1">IF(N69&gt;10000,N69*0.5%,IF(AND(N69&gt;1000,N69&lt;=10000),N69*1%,IF(AND(N69&gt;100,N69&lt;=1000),N69*3%,IF(AND(N69&gt;10,N69&lt;=100),N69*5%,N69*8%))))</f>
        <v>1041.655</v>
      </c>
      <c r="N83" s="53">
        <f ca="1">ROUND(M83,1)</f>
        <v>1041.7</v>
      </c>
      <c r="O83" s="3083"/>
      <c r="P83" s="2029"/>
      <c r="Q83" s="2029"/>
      <c r="R83" s="2029"/>
      <c r="S83" s="2029"/>
      <c r="T83" s="2029"/>
      <c r="U83" s="2029"/>
      <c r="V83" s="2029"/>
    </row>
    <row r="84" spans="1:26" ht="12.75">
      <c r="A84" s="384" t="s">
        <v>1828</v>
      </c>
      <c r="B84" s="385" t="s">
        <v>434</v>
      </c>
      <c r="C84" s="386">
        <v>2000</v>
      </c>
      <c r="D84" s="387" t="s">
        <v>19</v>
      </c>
      <c r="E84" s="3125" t="s">
        <v>2947</v>
      </c>
      <c r="F84" s="42"/>
      <c r="G84" s="42"/>
      <c r="H84" s="1005"/>
      <c r="I84" s="314"/>
      <c r="J84" s="2029"/>
      <c r="K84" s="3341"/>
      <c r="L84" s="3090" t="s">
        <v>2883</v>
      </c>
      <c r="M84" s="3080">
        <f ca="1">IF(N69&gt;2000,N69*0.5%,IF(AND(N69&gt;1000,N69&lt;=2000),N69*0.6%,IF(AND(N69&gt;500,N69&lt;=1000),N69*0.7%,IF(AND(N69&gt;200,N69&lt;=500),N69*0.8%,IF(AND(N69&gt;100,N69&lt;=200),N69*0.9%,IF(AND(N69&gt;50,N69&lt;=100),N69*1%,IF(AND(N69&gt;20,N69&lt;=50),N69*1.5%,IF(AND(N69&gt;10,N69&lt;=20),N69*2%,IF(AND(N69&gt;1,N69&lt;=10),N69*2.5%)))))))))</f>
        <v>1041.655</v>
      </c>
      <c r="N84" s="53">
        <f t="shared" ref="N84:N85" ca="1" si="2">ROUND(M84,1)</f>
        <v>1041.7</v>
      </c>
      <c r="O84" s="2029" t="s">
        <v>2884</v>
      </c>
      <c r="P84" s="2029"/>
      <c r="Q84" s="2029"/>
      <c r="R84" s="2029"/>
      <c r="S84" s="2029"/>
      <c r="T84" s="2029"/>
      <c r="U84" s="2029"/>
      <c r="V84" s="2029"/>
    </row>
    <row r="85" spans="1:26" ht="12.75">
      <c r="A85" s="384" t="s">
        <v>1829</v>
      </c>
      <c r="B85" s="385" t="s">
        <v>435</v>
      </c>
      <c r="C85" s="388">
        <f ca="1">C81-C84</f>
        <v>156729</v>
      </c>
      <c r="D85" s="381" t="s">
        <v>19</v>
      </c>
      <c r="E85" s="382"/>
      <c r="F85" s="42"/>
      <c r="G85" s="42"/>
      <c r="H85" s="1005"/>
      <c r="I85" s="314"/>
      <c r="J85" s="2029"/>
      <c r="K85" s="3341"/>
      <c r="L85" s="3090" t="s">
        <v>2885</v>
      </c>
      <c r="M85" s="3080">
        <f ca="1">IF(N69&gt;1000,N69*0.1%,IF(AND(N69&gt;500,N69&lt;=1000),N69*0.5%,IF(AND(N69&gt;50,N69&lt;=500),N69*1%,IF(AND(N69&gt;1,N69&lt;=50),N69*1.5%))))</f>
        <v>208.33100000000002</v>
      </c>
      <c r="N85" s="53">
        <f t="shared" ca="1" si="2"/>
        <v>208.3</v>
      </c>
      <c r="O85" s="2029" t="s">
        <v>2884</v>
      </c>
      <c r="P85" s="2029"/>
      <c r="Q85" s="2029"/>
      <c r="R85" s="2029"/>
      <c r="S85" s="2029"/>
      <c r="T85" s="2029"/>
      <c r="U85" s="2029"/>
      <c r="V85" s="2029"/>
    </row>
    <row r="86" spans="1:26" ht="13.5" thickBot="1">
      <c r="A86" s="389" t="s">
        <v>1830</v>
      </c>
      <c r="B86" s="390" t="s">
        <v>436</v>
      </c>
      <c r="C86" s="391">
        <f ca="1">IF(C85&lt;=0,0,ROUND(C85*D86,0))</f>
        <v>8777</v>
      </c>
      <c r="D86" s="392">
        <f>'数据-取费表'!B41</f>
        <v>5.6000000000000001E-2</v>
      </c>
      <c r="E86" s="393"/>
      <c r="F86" s="42"/>
      <c r="G86" s="42"/>
      <c r="H86" s="1005"/>
      <c r="I86" s="314"/>
      <c r="J86" s="2029"/>
      <c r="K86" s="3341"/>
      <c r="L86" s="3090" t="s">
        <v>2886</v>
      </c>
      <c r="M86" s="3080">
        <f ca="1">N69*0.5%</f>
        <v>1041.655</v>
      </c>
      <c r="N86" s="53">
        <f ca="1">IF(M86&gt;0.5,0.5,ROUND(M86,0))</f>
        <v>0.5</v>
      </c>
      <c r="O86" s="2029" t="s">
        <v>2887</v>
      </c>
      <c r="P86" s="2029"/>
      <c r="Q86" s="2029"/>
      <c r="R86" s="2029"/>
      <c r="S86" s="2029"/>
      <c r="T86" s="2029"/>
      <c r="U86" s="2029"/>
      <c r="V86" s="2029"/>
    </row>
    <row r="87" spans="1:26" s="1256" customFormat="1" ht="14.25" customHeight="1">
      <c r="A87" s="1311"/>
      <c r="B87" s="1312"/>
      <c r="C87" s="1313"/>
      <c r="D87" s="1314"/>
      <c r="E87" s="1315"/>
      <c r="F87" s="42"/>
      <c r="G87" s="42"/>
      <c r="H87" s="1005"/>
      <c r="I87" s="314"/>
      <c r="J87" s="2029"/>
      <c r="K87" s="3341"/>
      <c r="L87" s="3090" t="s">
        <v>2888</v>
      </c>
      <c r="M87" s="3080">
        <f ca="1">IF(N69&gt;=10000,(8.25+(N69-10000)*0.01%),IF(AND(N69&gt;=8000,N69&lt;10000),(7.85+(N69-8000)*0.02%),IF(AND(N69&gt;=5000,N69&lt;8000),(6.65+(N69-5000)*0.04%),IF(AND(N69&gt;=2000,N69&lt;5000),(4.25+(PN69-2000)*0.08%),IF(AND(N69&gt;=1000,N69&lt;2000),(2.75+(N69-1000)*0.15%),IF(AND(N69&gt;=100,N69&lt;1000),(0.5+(N69-100)*0.25%),IF(AND(N69&gt;0,N69&lt;100),N69*0.5%)))))))</f>
        <v>28.083100000000002</v>
      </c>
      <c r="N87" s="53">
        <f ca="1">ROUND(M87*0.9,1)</f>
        <v>25.3</v>
      </c>
      <c r="O87" s="3083"/>
      <c r="P87" s="314"/>
      <c r="Q87" s="2029"/>
      <c r="R87" s="2029"/>
      <c r="S87" s="2029"/>
      <c r="T87" s="2029"/>
      <c r="U87" s="2029"/>
      <c r="V87" s="2029"/>
      <c r="W87" s="292"/>
      <c r="X87" s="292"/>
      <c r="Y87" s="292"/>
      <c r="Z87" s="292"/>
    </row>
    <row r="88" spans="1:26" s="1316" customFormat="1" ht="15" thickBot="1">
      <c r="A88" s="3323" t="s">
        <v>437</v>
      </c>
      <c r="B88" s="3324"/>
      <c r="C88" s="3324"/>
      <c r="D88" s="3324"/>
      <c r="E88" s="3324"/>
      <c r="F88" s="3324"/>
      <c r="G88" s="3324"/>
      <c r="H88" s="3324"/>
      <c r="I88" s="1317"/>
      <c r="J88" s="2037"/>
      <c r="K88" s="3341"/>
      <c r="L88" s="3090" t="s">
        <v>2889</v>
      </c>
      <c r="M88" s="3080">
        <f ca="1">IF(N69&gt;10000,N69*0.5%,IF(AND(N69&gt;5000,N69&lt;=10000),N69*1%,IF(AND(N69&gt;1000,N69&lt;=5000),N69*2%,IF(AND(N69&gt;200,N69&lt;=1000),N69*3%,N69*5%))))</f>
        <v>1041.655</v>
      </c>
      <c r="N88" s="53">
        <f ca="1">ROUND(M88,1)</f>
        <v>1041.7</v>
      </c>
      <c r="O88" s="3083"/>
      <c r="P88" s="11"/>
      <c r="Q88" s="2034"/>
      <c r="R88" s="2034"/>
      <c r="S88" s="2034"/>
      <c r="T88" s="2034"/>
      <c r="U88" s="2034"/>
      <c r="V88" s="2034"/>
      <c r="W88" s="2038"/>
      <c r="X88" s="2038"/>
      <c r="Y88" s="2038"/>
      <c r="Z88" s="2038"/>
    </row>
    <row r="89" spans="1:26" s="1316" customFormat="1" ht="14.25">
      <c r="A89" s="3321" t="s">
        <v>428</v>
      </c>
      <c r="B89" s="3322"/>
      <c r="C89" s="996"/>
      <c r="D89" s="996" t="s">
        <v>429</v>
      </c>
      <c r="E89" s="394" t="s">
        <v>438</v>
      </c>
      <c r="F89" s="395"/>
      <c r="G89" s="395"/>
      <c r="H89" s="396"/>
      <c r="I89" s="1318"/>
      <c r="J89" s="2039"/>
      <c r="K89" s="3341"/>
      <c r="L89" s="3090" t="s">
        <v>27</v>
      </c>
      <c r="M89" s="3081"/>
      <c r="N89" s="53">
        <f ca="1">ROUND(SUM(N83:N88),0)</f>
        <v>3359</v>
      </c>
      <c r="O89" s="3091">
        <f ca="1">N89/N69</f>
        <v>1.6123380581862516E-2</v>
      </c>
      <c r="P89" s="2034"/>
      <c r="Q89" s="2034"/>
      <c r="R89" s="2034"/>
      <c r="S89" s="2034"/>
      <c r="T89" s="2034"/>
      <c r="U89" s="2034"/>
      <c r="V89" s="2034"/>
      <c r="W89" s="2038"/>
      <c r="X89" s="2038"/>
      <c r="Y89" s="2038"/>
      <c r="Z89" s="2038"/>
    </row>
    <row r="90" spans="1:26" s="1316" customFormat="1" ht="14.25">
      <c r="A90" s="384" t="s">
        <v>1825</v>
      </c>
      <c r="B90" s="385" t="s">
        <v>439</v>
      </c>
      <c r="C90" s="388">
        <f ca="1">ROUND(D63/(1+'数据-取费表'!C42),0)</f>
        <v>158729</v>
      </c>
      <c r="D90" s="381" t="s">
        <v>19</v>
      </c>
      <c r="E90" s="993"/>
      <c r="F90" s="992"/>
      <c r="G90" s="992"/>
      <c r="H90" s="397"/>
      <c r="I90" s="1318"/>
      <c r="J90" s="2039"/>
      <c r="K90" s="2034"/>
      <c r="L90" s="2034"/>
      <c r="M90" s="2034"/>
      <c r="N90" s="2034"/>
      <c r="O90" s="2034"/>
      <c r="P90" s="2034"/>
      <c r="Q90" s="2034"/>
      <c r="R90" s="2034"/>
      <c r="S90" s="2034"/>
      <c r="T90" s="2034"/>
      <c r="U90" s="2034"/>
      <c r="V90" s="2034"/>
      <c r="W90" s="2038"/>
      <c r="X90" s="2038"/>
      <c r="Y90" s="2038"/>
      <c r="Z90" s="2038"/>
    </row>
    <row r="91" spans="1:26" s="1316" customFormat="1" ht="14.25">
      <c r="A91" s="384" t="s">
        <v>1831</v>
      </c>
      <c r="B91" s="351" t="s">
        <v>440</v>
      </c>
      <c r="C91" s="388">
        <f ca="1">C92+C96</f>
        <v>3513</v>
      </c>
      <c r="D91" s="381" t="s">
        <v>19</v>
      </c>
      <c r="E91" s="993"/>
      <c r="F91" s="992"/>
      <c r="G91" s="992"/>
      <c r="H91" s="397"/>
      <c r="I91" s="1318"/>
      <c r="J91" s="2039"/>
      <c r="K91" s="2034"/>
      <c r="L91" s="2034"/>
      <c r="M91" s="2034"/>
      <c r="N91" s="2034"/>
      <c r="O91" s="2034"/>
      <c r="P91" s="2034"/>
      <c r="Q91" s="2034"/>
      <c r="R91" s="2034"/>
      <c r="S91" s="2034"/>
      <c r="T91" s="2034"/>
      <c r="U91" s="2034"/>
      <c r="V91" s="2034"/>
      <c r="W91" s="2038"/>
      <c r="X91" s="2038"/>
      <c r="Y91" s="2038"/>
      <c r="Z91" s="2038"/>
    </row>
    <row r="92" spans="1:26" s="1316" customFormat="1" ht="24">
      <c r="A92" s="398" t="s">
        <v>1832</v>
      </c>
      <c r="B92" s="379" t="s">
        <v>441</v>
      </c>
      <c r="C92" s="381">
        <f>ROUND(IF(G95="2016年5月1日后购买",C93/(1+'数据-取费表'!C30)+C94+C95,C93+C94+C95),0)</f>
        <v>2561</v>
      </c>
      <c r="D92" s="381" t="s">
        <v>19</v>
      </c>
      <c r="E92" s="993"/>
      <c r="F92" s="992"/>
      <c r="G92" s="992"/>
      <c r="H92" s="397"/>
      <c r="I92" s="1318"/>
      <c r="J92" s="2039"/>
      <c r="K92" s="2034"/>
      <c r="L92" s="2034"/>
      <c r="M92" s="2034"/>
      <c r="N92" s="2034"/>
      <c r="O92" s="2034"/>
      <c r="P92" s="2034"/>
      <c r="Q92" s="2034"/>
      <c r="R92" s="2034"/>
      <c r="S92" s="2034"/>
      <c r="T92" s="2034"/>
      <c r="U92" s="2034"/>
      <c r="V92" s="2034"/>
      <c r="W92" s="2038"/>
      <c r="X92" s="2038"/>
      <c r="Y92" s="2038"/>
      <c r="Z92" s="2038"/>
    </row>
    <row r="93" spans="1:26" s="1316" customFormat="1" ht="14.25">
      <c r="A93" s="398" t="s">
        <v>1833</v>
      </c>
      <c r="B93" s="379" t="s">
        <v>442</v>
      </c>
      <c r="C93" s="399">
        <v>2000</v>
      </c>
      <c r="D93" s="381" t="s">
        <v>19</v>
      </c>
      <c r="E93" s="400" t="s">
        <v>443</v>
      </c>
      <c r="F93" s="401" t="s">
        <v>444</v>
      </c>
      <c r="G93" s="400" t="s">
        <v>445</v>
      </c>
      <c r="H93" s="402">
        <v>5</v>
      </c>
      <c r="I93" s="11"/>
      <c r="J93" s="2034"/>
      <c r="K93" s="2034"/>
      <c r="L93" s="2034"/>
      <c r="M93" s="2034"/>
      <c r="N93" s="2034"/>
      <c r="O93" s="2034"/>
      <c r="P93" s="2034"/>
      <c r="Q93" s="2034"/>
      <c r="R93" s="2034"/>
      <c r="S93" s="2034"/>
      <c r="T93" s="2034"/>
      <c r="U93" s="2034"/>
      <c r="V93" s="2034"/>
      <c r="W93" s="2038"/>
      <c r="X93" s="2038"/>
      <c r="Y93" s="2038"/>
      <c r="Z93" s="2038"/>
    </row>
    <row r="94" spans="1:26" s="1316" customFormat="1" ht="24.75" customHeight="1">
      <c r="A94" s="398" t="s">
        <v>1834</v>
      </c>
      <c r="B94" s="403" t="s">
        <v>446</v>
      </c>
      <c r="C94" s="381">
        <f>IF(F93="购房发票",ROUND(C93*H93*5%,0),0)</f>
        <v>500</v>
      </c>
      <c r="D94" s="404">
        <v>0.05</v>
      </c>
      <c r="E94" s="3284" t="s">
        <v>447</v>
      </c>
      <c r="F94" s="3283"/>
      <c r="G94" s="3283"/>
      <c r="H94" s="3320"/>
      <c r="I94" s="1318"/>
      <c r="J94" s="2039"/>
      <c r="K94" s="2034"/>
      <c r="L94" s="2034"/>
      <c r="M94" s="2034"/>
      <c r="N94" s="2034"/>
      <c r="O94" s="2034"/>
      <c r="P94" s="2034"/>
      <c r="Q94" s="2034"/>
      <c r="R94" s="2034"/>
      <c r="S94" s="2034"/>
      <c r="T94" s="2034"/>
      <c r="U94" s="2034"/>
      <c r="V94" s="2034"/>
      <c r="W94" s="2038"/>
      <c r="X94" s="2038"/>
      <c r="Y94" s="2038"/>
      <c r="Z94" s="2038"/>
    </row>
    <row r="95" spans="1:26" s="1316"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39"/>
      <c r="K95" s="2034"/>
      <c r="L95" s="2034"/>
      <c r="M95" s="2034"/>
      <c r="N95" s="2034"/>
      <c r="O95" s="2034"/>
      <c r="P95" s="2034"/>
      <c r="Q95" s="2034"/>
      <c r="R95" s="2034"/>
      <c r="S95" s="2034"/>
      <c r="T95" s="2034"/>
      <c r="U95" s="2034"/>
      <c r="V95" s="2034"/>
      <c r="W95" s="2038"/>
      <c r="X95" s="2038"/>
      <c r="Y95" s="2038"/>
      <c r="Z95" s="2038"/>
    </row>
    <row r="96" spans="1:26" s="1316" customFormat="1" ht="24.75" customHeight="1">
      <c r="A96" s="398" t="s">
        <v>1836</v>
      </c>
      <c r="B96" s="379" t="s">
        <v>450</v>
      </c>
      <c r="C96" s="408">
        <f ca="1">ROUND(D63*D96/(1+'数据-取费表'!C42),0)</f>
        <v>952</v>
      </c>
      <c r="D96" s="409">
        <f>'数据-取费表'!B43</f>
        <v>6.000000000000001E-3</v>
      </c>
      <c r="E96" s="3312" t="s">
        <v>2433</v>
      </c>
      <c r="F96" s="3313"/>
      <c r="G96" s="3313"/>
      <c r="H96" s="3314"/>
      <c r="I96" s="1319"/>
      <c r="J96" s="2040"/>
      <c r="K96" s="2034"/>
      <c r="L96" s="2034"/>
      <c r="M96" s="2034"/>
      <c r="N96" s="2034"/>
      <c r="O96" s="2034"/>
      <c r="P96" s="2034"/>
      <c r="Q96" s="2034"/>
      <c r="R96" s="2034"/>
      <c r="S96" s="2034"/>
      <c r="T96" s="2034"/>
      <c r="U96" s="2034"/>
      <c r="V96" s="2034"/>
      <c r="W96" s="2038"/>
      <c r="X96" s="2038"/>
      <c r="Y96" s="2038"/>
      <c r="Z96" s="2038"/>
    </row>
    <row r="97" spans="1:26" s="1316" customFormat="1" ht="14.25">
      <c r="A97" s="1619" t="s">
        <v>1837</v>
      </c>
      <c r="B97" s="385" t="s">
        <v>451</v>
      </c>
      <c r="C97" s="388">
        <f ca="1">C90-C91</f>
        <v>155216</v>
      </c>
      <c r="D97" s="381" t="s">
        <v>19</v>
      </c>
      <c r="E97" s="993"/>
      <c r="F97" s="992"/>
      <c r="G97" s="992"/>
      <c r="H97" s="397"/>
      <c r="I97" s="1318"/>
      <c r="J97" s="2039"/>
      <c r="K97" s="2034"/>
      <c r="L97" s="2034"/>
      <c r="M97" s="2034"/>
      <c r="N97" s="2034"/>
      <c r="O97" s="2034"/>
      <c r="P97" s="2034"/>
      <c r="Q97" s="2034"/>
      <c r="R97" s="2034"/>
      <c r="S97" s="2034"/>
      <c r="T97" s="2034"/>
      <c r="U97" s="2034"/>
      <c r="V97" s="2034"/>
      <c r="W97" s="2038"/>
      <c r="X97" s="2038"/>
      <c r="Y97" s="2038"/>
      <c r="Z97" s="2038"/>
    </row>
    <row r="98" spans="1:26" s="1316" customFormat="1" ht="24">
      <c r="A98" s="1619" t="s">
        <v>1838</v>
      </c>
      <c r="B98" s="385" t="s">
        <v>452</v>
      </c>
      <c r="C98" s="410">
        <f ca="1">IF(C97&lt;=0,0,C97/C91)</f>
        <v>44.183319100483914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39"/>
      <c r="K98" s="2034"/>
      <c r="L98" s="2034"/>
      <c r="M98" s="2034"/>
      <c r="N98" s="2034"/>
      <c r="O98" s="2034"/>
      <c r="P98" s="2034"/>
      <c r="Q98" s="2034"/>
      <c r="R98" s="2034"/>
      <c r="S98" s="2034"/>
      <c r="T98" s="2034"/>
      <c r="U98" s="2034"/>
      <c r="V98" s="2034"/>
      <c r="W98" s="2038"/>
      <c r="X98" s="2038"/>
      <c r="Y98" s="2038"/>
      <c r="Z98" s="2038"/>
    </row>
    <row r="99" spans="1:26" s="1316" customFormat="1" ht="24.75" thickBot="1">
      <c r="A99" s="1620" t="s">
        <v>1839</v>
      </c>
      <c r="B99" s="390" t="s">
        <v>453</v>
      </c>
      <c r="C99" s="411">
        <f ca="1">ROUND(IF(C97&lt;=0,0,IF(C98&gt;=200%,C97*60%-C91*35%,IF(C98&gt;=100%,C97*50%-C91*15%,IF(C98&gt;=50%,C97*40%-C91*5%,IF(C98&lt;50%,C97*30%,0))))),0)</f>
        <v>91900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39"/>
      <c r="K99" s="2034"/>
      <c r="L99" s="2034"/>
      <c r="M99" s="2034"/>
      <c r="N99" s="2034"/>
      <c r="O99" s="2034"/>
      <c r="P99" s="2034"/>
      <c r="Q99" s="2034"/>
      <c r="R99" s="2034"/>
      <c r="S99" s="2034"/>
      <c r="T99" s="2034"/>
      <c r="U99" s="2034"/>
      <c r="V99" s="2034"/>
      <c r="W99" s="2038"/>
      <c r="X99" s="2038"/>
      <c r="Y99" s="2038"/>
      <c r="Z99" s="2038"/>
    </row>
    <row r="100" spans="1:26" s="1316" customFormat="1" ht="7.5" customHeight="1">
      <c r="A100" s="1320"/>
      <c r="B100" s="1321"/>
      <c r="C100" s="11"/>
      <c r="D100" s="11"/>
      <c r="E100" s="1321"/>
      <c r="F100" s="1321"/>
      <c r="G100" s="1321"/>
      <c r="H100" s="1322"/>
      <c r="I100" s="1319"/>
      <c r="J100" s="2040"/>
      <c r="K100" s="2034"/>
      <c r="L100" s="2034"/>
      <c r="M100" s="2034"/>
      <c r="N100" s="2034"/>
      <c r="O100" s="2034"/>
      <c r="P100" s="2034"/>
      <c r="Q100" s="2034"/>
      <c r="R100" s="2034"/>
      <c r="S100" s="2034"/>
      <c r="T100" s="2034"/>
      <c r="U100" s="2034"/>
      <c r="V100" s="2034"/>
      <c r="W100" s="2038"/>
      <c r="X100" s="2038"/>
      <c r="Y100" s="2038"/>
      <c r="Z100" s="2038"/>
    </row>
    <row r="101" spans="1:26" s="1316" customFormat="1" ht="15" thickBot="1">
      <c r="A101" s="3323" t="s">
        <v>454</v>
      </c>
      <c r="B101" s="3324"/>
      <c r="C101" s="3324"/>
      <c r="D101" s="3324"/>
      <c r="E101" s="3324"/>
      <c r="F101" s="3324"/>
      <c r="G101" s="3324"/>
      <c r="H101" s="3324"/>
      <c r="I101" s="11"/>
      <c r="J101" s="2034"/>
      <c r="K101" s="2034"/>
      <c r="L101" s="2034"/>
      <c r="M101" s="2034"/>
      <c r="N101" s="2034"/>
      <c r="O101" s="2034"/>
      <c r="P101" s="2034"/>
      <c r="Q101" s="2034"/>
      <c r="R101" s="2034"/>
      <c r="S101" s="2034"/>
      <c r="T101" s="2034"/>
      <c r="U101" s="2034"/>
      <c r="V101" s="2034"/>
      <c r="W101" s="2038"/>
      <c r="X101" s="2038"/>
      <c r="Y101" s="2038"/>
      <c r="Z101" s="2038"/>
    </row>
    <row r="102" spans="1:26" s="1316" customFormat="1" ht="14.25">
      <c r="A102" s="3321" t="s">
        <v>428</v>
      </c>
      <c r="B102" s="3322"/>
      <c r="C102" s="996"/>
      <c r="D102" s="996" t="s">
        <v>429</v>
      </c>
      <c r="E102" s="394" t="s">
        <v>438</v>
      </c>
      <c r="F102" s="395"/>
      <c r="G102" s="395"/>
      <c r="H102" s="416"/>
      <c r="I102" s="11"/>
      <c r="J102" s="2034"/>
      <c r="K102" s="2034"/>
      <c r="L102" s="2034"/>
      <c r="M102" s="2034"/>
      <c r="N102" s="2034"/>
      <c r="O102" s="2034"/>
      <c r="P102" s="2034"/>
      <c r="Q102" s="2034"/>
      <c r="R102" s="2034"/>
      <c r="S102" s="2034"/>
      <c r="T102" s="2034"/>
      <c r="U102" s="2034"/>
      <c r="V102" s="2034"/>
      <c r="W102" s="2038"/>
      <c r="X102" s="2038"/>
      <c r="Y102" s="2038"/>
      <c r="Z102" s="2038"/>
    </row>
    <row r="103" spans="1:26" s="1316" customFormat="1" ht="14.25">
      <c r="A103" s="384" t="s">
        <v>1825</v>
      </c>
      <c r="B103" s="385" t="s">
        <v>439</v>
      </c>
      <c r="C103" s="388">
        <f ca="1">ROUND(D63/(1+'数据-取费表'!C42),0)</f>
        <v>158729</v>
      </c>
      <c r="D103" s="381" t="s">
        <v>19</v>
      </c>
      <c r="E103" s="993"/>
      <c r="F103" s="992"/>
      <c r="G103" s="992"/>
      <c r="H103" s="417"/>
      <c r="I103" s="11"/>
      <c r="J103" s="2034"/>
      <c r="K103" s="2034"/>
      <c r="L103" s="2034"/>
      <c r="M103" s="2034"/>
      <c r="N103" s="2034"/>
      <c r="O103" s="2034"/>
      <c r="P103" s="2034"/>
      <c r="Q103" s="2034"/>
      <c r="R103" s="2034"/>
      <c r="S103" s="2034"/>
      <c r="T103" s="2034"/>
      <c r="U103" s="2034"/>
      <c r="V103" s="2034"/>
      <c r="W103" s="2038"/>
      <c r="X103" s="2038"/>
      <c r="Y103" s="2038"/>
      <c r="Z103" s="2038"/>
    </row>
    <row r="104" spans="1:26" s="1316" customFormat="1" ht="14.25">
      <c r="A104" s="384" t="s">
        <v>1831</v>
      </c>
      <c r="B104" s="351" t="s">
        <v>440</v>
      </c>
      <c r="C104" s="388">
        <f ca="1">IF(H106="仅含出让金",C105+C108+C109+C110+C111+C112,C105+C109+C110+C111+C112)</f>
        <v>3818.5</v>
      </c>
      <c r="D104" s="418"/>
      <c r="E104" s="993"/>
      <c r="F104" s="992"/>
      <c r="G104" s="992"/>
      <c r="H104" s="417"/>
      <c r="I104" s="11"/>
      <c r="J104" s="2034"/>
      <c r="K104" s="2034"/>
      <c r="L104" s="2034"/>
      <c r="M104" s="2034"/>
      <c r="N104" s="2034"/>
      <c r="O104" s="2034"/>
      <c r="P104" s="2034"/>
      <c r="Q104" s="2034"/>
      <c r="R104" s="2034"/>
      <c r="S104" s="2034"/>
      <c r="T104" s="2034"/>
      <c r="U104" s="2034"/>
      <c r="V104" s="2034"/>
      <c r="W104" s="2038"/>
      <c r="X104" s="2038"/>
      <c r="Y104" s="2038"/>
      <c r="Z104" s="2038"/>
    </row>
    <row r="105" spans="1:26" s="1316" customFormat="1" ht="14.25">
      <c r="A105" s="398" t="s">
        <v>1832</v>
      </c>
      <c r="B105" s="379" t="s">
        <v>455</v>
      </c>
      <c r="C105" s="408">
        <f>C106+C107</f>
        <v>2605.5</v>
      </c>
      <c r="D105" s="409"/>
      <c r="E105" s="987"/>
      <c r="F105" s="988"/>
      <c r="G105" s="988"/>
      <c r="H105" s="989"/>
      <c r="I105" s="11"/>
      <c r="J105" s="2034"/>
      <c r="K105" s="2034"/>
      <c r="L105" s="2034"/>
      <c r="M105" s="2034"/>
      <c r="N105" s="2034"/>
      <c r="O105" s="2034"/>
      <c r="P105" s="2034"/>
      <c r="Q105" s="2034"/>
      <c r="R105" s="2034"/>
      <c r="S105" s="2034"/>
      <c r="T105" s="2034"/>
      <c r="U105" s="2034"/>
      <c r="V105" s="2034"/>
      <c r="W105" s="2038"/>
      <c r="X105" s="2038"/>
      <c r="Y105" s="2038"/>
      <c r="Z105" s="2038"/>
    </row>
    <row r="106" spans="1:26" s="1316" customFormat="1" ht="14.25">
      <c r="A106" s="398" t="s">
        <v>1833</v>
      </c>
      <c r="B106" s="379" t="s">
        <v>456</v>
      </c>
      <c r="C106" s="419">
        <v>2528.5</v>
      </c>
      <c r="D106" s="409"/>
      <c r="E106" s="420" t="s">
        <v>457</v>
      </c>
      <c r="F106" s="988"/>
      <c r="G106" s="421" t="s">
        <v>458</v>
      </c>
      <c r="H106" s="422" t="s">
        <v>3080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6" customFormat="1" ht="14.25">
      <c r="A107" s="398" t="s">
        <v>1834</v>
      </c>
      <c r="B107" s="379" t="s">
        <v>448</v>
      </c>
      <c r="C107" s="408">
        <f>ROUND(C106*D107,0)</f>
        <v>77</v>
      </c>
      <c r="D107" s="409">
        <f>'数据-取费表'!B48+'数据-取费表'!B49</f>
        <v>3.0499999999999999E-2</v>
      </c>
      <c r="E107" s="420" t="s">
        <v>459</v>
      </c>
      <c r="F107" s="988"/>
      <c r="G107" s="988"/>
      <c r="H107" s="989"/>
      <c r="I107" s="11"/>
      <c r="J107" s="2034"/>
      <c r="K107" s="2034"/>
      <c r="L107" s="2034"/>
      <c r="M107" s="2034"/>
      <c r="N107" s="2034"/>
      <c r="O107" s="2034"/>
      <c r="P107" s="2034"/>
      <c r="Q107" s="2034"/>
      <c r="R107" s="2034"/>
      <c r="S107" s="2034"/>
      <c r="T107" s="2034"/>
      <c r="U107" s="2034"/>
      <c r="V107" s="2034"/>
      <c r="W107" s="2038"/>
      <c r="X107" s="2038"/>
      <c r="Y107" s="2038"/>
      <c r="Z107" s="2038"/>
    </row>
    <row r="108" spans="1:26" s="1316" customFormat="1" ht="14.25">
      <c r="A108" s="398" t="s">
        <v>1836</v>
      </c>
      <c r="B108" s="379" t="s">
        <v>460</v>
      </c>
      <c r="C108" s="419">
        <v>0</v>
      </c>
      <c r="D108" s="409"/>
      <c r="E108" s="420" t="str">
        <f>IF(H106="-","土地取得成本中已包含该笔费用"," ")</f>
        <v xml:space="preserve"> </v>
      </c>
      <c r="F108" s="988"/>
      <c r="G108" s="988"/>
      <c r="H108" s="989"/>
      <c r="I108" s="11"/>
      <c r="J108" s="2034"/>
      <c r="K108" s="2034"/>
      <c r="L108" s="2034"/>
      <c r="M108" s="2034"/>
      <c r="N108" s="2034"/>
      <c r="O108" s="2034"/>
      <c r="P108" s="2034"/>
      <c r="Q108" s="2034"/>
      <c r="R108" s="2034"/>
      <c r="S108" s="2034"/>
      <c r="T108" s="2034"/>
      <c r="U108" s="2034"/>
      <c r="V108" s="2034"/>
      <c r="W108" s="2038"/>
      <c r="X108" s="2038"/>
      <c r="Y108" s="2038"/>
      <c r="Z108" s="2038"/>
    </row>
    <row r="109" spans="1:26" s="1316" customFormat="1" ht="24" customHeight="1">
      <c r="A109" s="1621" t="s">
        <v>1840</v>
      </c>
      <c r="B109" s="379" t="s">
        <v>461</v>
      </c>
      <c r="C109" s="408">
        <f>IF(H109="——",IF(F1="现房",'剩余法-现房'!C18,'剩余法-待开发'!C18),I109)</f>
        <v>0</v>
      </c>
      <c r="D109" s="409"/>
      <c r="E109" s="3315" t="s">
        <v>462</v>
      </c>
      <c r="F109" s="3313"/>
      <c r="G109" s="3313"/>
      <c r="H109" s="1942" t="s">
        <v>2283</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6" customFormat="1" ht="25.5" customHeight="1">
      <c r="A110" s="1621" t="s">
        <v>1841</v>
      </c>
      <c r="B110" s="379" t="s">
        <v>463</v>
      </c>
      <c r="C110" s="408">
        <f>ROUND((C105+C108+C109)*D110,0)</f>
        <v>261</v>
      </c>
      <c r="D110" s="409">
        <v>0.1</v>
      </c>
      <c r="E110" s="3315" t="s">
        <v>464</v>
      </c>
      <c r="F110" s="3313"/>
      <c r="G110" s="3313"/>
      <c r="H110" s="3314"/>
      <c r="I110" s="11"/>
      <c r="J110" s="2034"/>
      <c r="K110" s="2034"/>
      <c r="L110" s="2034"/>
      <c r="M110" s="2034"/>
      <c r="N110" s="2034"/>
      <c r="O110" s="2034"/>
      <c r="P110" s="2034"/>
      <c r="Q110" s="2034"/>
      <c r="R110" s="2034"/>
      <c r="S110" s="2034"/>
      <c r="T110" s="2034"/>
      <c r="U110" s="2034"/>
      <c r="V110" s="2034"/>
      <c r="W110" s="2038"/>
      <c r="X110" s="2038"/>
      <c r="Y110" s="2038"/>
      <c r="Z110" s="2038"/>
    </row>
    <row r="111" spans="1:26" s="1316" customFormat="1" ht="25.5" customHeight="1">
      <c r="A111" s="1621" t="s">
        <v>1842</v>
      </c>
      <c r="B111" s="379" t="s">
        <v>450</v>
      </c>
      <c r="C111" s="408">
        <f ca="1">ROUND(D63*D111/(1+'数据-取费表'!C42),0)</f>
        <v>952</v>
      </c>
      <c r="D111" s="409">
        <f>'数据-取费表'!B43</f>
        <v>6.000000000000001E-3</v>
      </c>
      <c r="E111" s="3312" t="s">
        <v>2433</v>
      </c>
      <c r="F111" s="3313"/>
      <c r="G111" s="3313"/>
      <c r="H111" s="3314"/>
      <c r="I111" s="11"/>
      <c r="J111" s="2034"/>
      <c r="K111" s="2034"/>
      <c r="L111" s="2034"/>
      <c r="M111" s="2034"/>
      <c r="N111" s="2034"/>
      <c r="O111" s="2034"/>
      <c r="P111" s="2034"/>
      <c r="Q111" s="2034"/>
      <c r="R111" s="2034"/>
      <c r="S111" s="2034"/>
      <c r="T111" s="2034"/>
      <c r="U111" s="2034"/>
      <c r="V111" s="2034"/>
      <c r="W111" s="2038"/>
      <c r="X111" s="2038"/>
      <c r="Y111" s="2038"/>
      <c r="Z111" s="2038"/>
    </row>
    <row r="112" spans="1:26" s="1316" customFormat="1" ht="25.5" customHeight="1">
      <c r="A112" s="1621" t="s">
        <v>1843</v>
      </c>
      <c r="B112" s="379" t="s">
        <v>465</v>
      </c>
      <c r="C112" s="408">
        <f>ROUND(C108*D112,0)</f>
        <v>0</v>
      </c>
      <c r="D112" s="409">
        <v>0.2</v>
      </c>
      <c r="E112" s="3315" t="s">
        <v>2457</v>
      </c>
      <c r="F112" s="3313"/>
      <c r="G112" s="3313"/>
      <c r="H112" s="3314"/>
      <c r="I112" s="11"/>
      <c r="J112" s="2034"/>
      <c r="K112" s="2034"/>
      <c r="L112" s="2034"/>
      <c r="M112" s="2034"/>
      <c r="N112" s="2034"/>
      <c r="O112" s="2034"/>
      <c r="P112" s="2034"/>
      <c r="Q112" s="2034"/>
      <c r="R112" s="2034"/>
      <c r="S112" s="2034"/>
      <c r="T112" s="2034"/>
      <c r="U112" s="2034"/>
      <c r="V112" s="2034"/>
      <c r="W112" s="2038"/>
      <c r="X112" s="2038"/>
      <c r="Y112" s="2038"/>
      <c r="Z112" s="2038"/>
    </row>
    <row r="113" spans="1:26" s="1316" customFormat="1" ht="14.25">
      <c r="A113" s="1619" t="s">
        <v>1837</v>
      </c>
      <c r="B113" s="385" t="s">
        <v>451</v>
      </c>
      <c r="C113" s="388">
        <f ca="1">ROUND(C103-C104,0)</f>
        <v>154911</v>
      </c>
      <c r="D113" s="381" t="s">
        <v>19</v>
      </c>
      <c r="E113" s="993"/>
      <c r="F113" s="992"/>
      <c r="G113" s="992"/>
      <c r="H113" s="417"/>
      <c r="I113" s="11"/>
      <c r="J113" s="2034"/>
      <c r="K113" s="2034"/>
      <c r="L113" s="2034"/>
      <c r="M113" s="2034"/>
      <c r="N113" s="2034"/>
      <c r="O113" s="2034"/>
      <c r="P113" s="2034"/>
      <c r="Q113" s="2034"/>
      <c r="R113" s="2034"/>
      <c r="S113" s="2034"/>
      <c r="T113" s="2034"/>
      <c r="U113" s="2034"/>
      <c r="V113" s="2034"/>
      <c r="W113" s="2038"/>
      <c r="X113" s="2038"/>
      <c r="Y113" s="2038"/>
      <c r="Z113" s="2038"/>
    </row>
    <row r="114" spans="1:26" s="1316" customFormat="1" ht="24">
      <c r="A114" s="1619" t="s">
        <v>1838</v>
      </c>
      <c r="B114" s="385" t="s">
        <v>452</v>
      </c>
      <c r="C114" s="410">
        <f ca="1">IF(C113&lt;=0,0,C113/C104)</f>
        <v>40.568547859106978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4"/>
      <c r="K114" s="2034"/>
      <c r="L114" s="2034"/>
      <c r="M114" s="2034"/>
      <c r="N114" s="2034"/>
      <c r="O114" s="2034"/>
      <c r="P114" s="2034"/>
      <c r="Q114" s="2034"/>
      <c r="R114" s="2034"/>
      <c r="S114" s="2034"/>
      <c r="T114" s="2034"/>
      <c r="U114" s="2034"/>
      <c r="V114" s="2034"/>
      <c r="W114" s="2038"/>
      <c r="X114" s="2038"/>
      <c r="Y114" s="2038"/>
      <c r="Z114" s="2038"/>
    </row>
    <row r="115" spans="1:26" s="1316" customFormat="1" ht="24.75" thickBot="1">
      <c r="A115" s="1620" t="s">
        <v>1839</v>
      </c>
      <c r="B115" s="390" t="s">
        <v>453</v>
      </c>
      <c r="C115" s="411">
        <f ca="1">ROUND(IF(C113&lt;=0,0,IF(C114&gt;=200%,C113*60%-C104*35%,IF(C114&gt;=100%,C113*50%-C104*15%,IF(C114&gt;=50%,C113*40%-C104*5%,IF(C114&lt;50%,C113*30%,0))))),0)</f>
        <v>91610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B4" sqref="B4"/>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197286</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5957</v>
      </c>
      <c r="C3" s="2062"/>
      <c r="D3" s="2595"/>
      <c r="E3" s="2062"/>
      <c r="F3" s="2062"/>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20182</v>
      </c>
      <c r="C4" s="2062"/>
      <c r="D4" s="2595"/>
      <c r="E4" s="2062"/>
      <c r="F4" s="2062"/>
      <c r="G4" s="2129"/>
      <c r="H4" s="2129"/>
      <c r="I4" s="2129"/>
      <c r="J4" s="2129"/>
      <c r="K4" s="2131"/>
      <c r="L4" s="2132"/>
      <c r="M4" s="2133"/>
      <c r="N4" s="2133"/>
      <c r="O4" s="2133"/>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1345</v>
      </c>
      <c r="C5" s="434" t="s">
        <v>469</v>
      </c>
      <c r="D5" s="2062"/>
      <c r="E5" s="2062"/>
      <c r="F5" s="2062"/>
      <c r="G5" s="2129"/>
      <c r="H5" s="2129"/>
      <c r="I5" s="2129"/>
      <c r="J5" s="2129"/>
      <c r="K5" s="2131"/>
      <c r="L5" s="2132"/>
      <c r="M5" s="2133"/>
      <c r="N5" s="2133"/>
      <c r="O5" s="2133"/>
      <c r="P5" s="1566"/>
      <c r="Q5" s="1566"/>
      <c r="R5" s="1566"/>
      <c r="S5" s="1566"/>
      <c r="T5" s="1566"/>
      <c r="U5" s="1566"/>
      <c r="V5" s="1566"/>
      <c r="W5" s="1566"/>
      <c r="X5" s="1566"/>
      <c r="Y5" s="1566"/>
      <c r="Z5" s="1566"/>
      <c r="AA5" s="1566"/>
      <c r="AB5" s="1566"/>
      <c r="AC5" s="431"/>
    </row>
    <row r="6" spans="1:30" ht="20.25">
      <c r="A6" s="515" t="s">
        <v>522</v>
      </c>
      <c r="B6" s="516"/>
      <c r="C6" s="3366" t="s">
        <v>523</v>
      </c>
      <c r="D6" s="3367"/>
      <c r="E6" s="3366" t="s">
        <v>524</v>
      </c>
      <c r="F6" s="3367"/>
      <c r="G6" s="3366" t="s">
        <v>525</v>
      </c>
      <c r="H6" s="3367"/>
      <c r="I6" s="3366" t="s">
        <v>526</v>
      </c>
      <c r="J6" s="3367"/>
      <c r="K6" s="517" t="s">
        <v>527</v>
      </c>
      <c r="L6" s="2134"/>
      <c r="M6" s="2133"/>
      <c r="N6" s="2133"/>
      <c r="O6" s="2135"/>
      <c r="P6" s="3368" t="s">
        <v>528</v>
      </c>
      <c r="Q6" s="3369"/>
      <c r="R6" s="3374" t="s">
        <v>524</v>
      </c>
      <c r="S6" s="3375"/>
      <c r="T6" s="3374" t="s">
        <v>525</v>
      </c>
      <c r="U6" s="3375"/>
      <c r="V6" s="3361" t="s">
        <v>526</v>
      </c>
      <c r="W6" s="3361"/>
      <c r="X6" s="1569"/>
      <c r="Y6" s="3374" t="s">
        <v>528</v>
      </c>
      <c r="Z6" s="3375"/>
      <c r="AA6" s="3363" t="s">
        <v>524</v>
      </c>
      <c r="AB6" s="3364" t="s">
        <v>525</v>
      </c>
      <c r="AC6" s="3363" t="s">
        <v>526</v>
      </c>
    </row>
    <row r="7" spans="1:30" ht="20.25">
      <c r="A7" s="518"/>
      <c r="B7" s="519"/>
      <c r="C7" s="3384" t="s">
        <v>2934</v>
      </c>
      <c r="D7" s="3383"/>
      <c r="E7" s="3382" t="s">
        <v>3050</v>
      </c>
      <c r="F7" s="3383"/>
      <c r="G7" s="3382" t="s">
        <v>3051</v>
      </c>
      <c r="H7" s="3383"/>
      <c r="I7" s="3382" t="s">
        <v>3052</v>
      </c>
      <c r="J7" s="3383"/>
      <c r="K7" s="517"/>
      <c r="L7" s="2134"/>
      <c r="M7" s="2133"/>
      <c r="N7" s="2133"/>
      <c r="O7" s="2135"/>
      <c r="P7" s="3370"/>
      <c r="Q7" s="3371"/>
      <c r="R7" s="3376"/>
      <c r="S7" s="3377"/>
      <c r="T7" s="3376"/>
      <c r="U7" s="3377"/>
      <c r="V7" s="3361"/>
      <c r="W7" s="3361"/>
      <c r="X7" s="1569"/>
      <c r="Y7" s="3376"/>
      <c r="Z7" s="3377"/>
      <c r="AA7" s="3364"/>
      <c r="AB7" s="3364"/>
      <c r="AC7" s="3364"/>
    </row>
    <row r="8" spans="1:30" ht="21" thickBot="1">
      <c r="A8" s="518"/>
      <c r="B8" s="519"/>
      <c r="C8" s="3385" t="s">
        <v>2938</v>
      </c>
      <c r="D8" s="3386"/>
      <c r="E8" s="3387" t="s">
        <v>3050</v>
      </c>
      <c r="F8" s="3386"/>
      <c r="G8" s="3380" t="s">
        <v>3051</v>
      </c>
      <c r="H8" s="3381"/>
      <c r="I8" s="3380" t="s">
        <v>3052</v>
      </c>
      <c r="J8" s="3381"/>
      <c r="K8" s="517" t="s">
        <v>529</v>
      </c>
      <c r="L8" s="2134"/>
      <c r="M8" s="2133"/>
      <c r="N8" s="2133"/>
      <c r="O8" s="2135"/>
      <c r="P8" s="3372"/>
      <c r="Q8" s="3373"/>
      <c r="R8" s="3376"/>
      <c r="S8" s="3377"/>
      <c r="T8" s="3378"/>
      <c r="U8" s="3379"/>
      <c r="V8" s="3361"/>
      <c r="W8" s="3361"/>
      <c r="X8" s="1569"/>
      <c r="Y8" s="3378"/>
      <c r="Z8" s="3379"/>
      <c r="AA8" s="3365"/>
      <c r="AB8" s="3365"/>
      <c r="AC8" s="3365"/>
    </row>
    <row r="9" spans="1:30" s="1222" customFormat="1" ht="21" thickBot="1">
      <c r="A9" s="2939"/>
      <c r="B9" s="2946" t="s">
        <v>530</v>
      </c>
      <c r="C9" s="2938">
        <f>'数据-取费表'!B2</f>
        <v>43025</v>
      </c>
      <c r="D9" s="523">
        <v>100</v>
      </c>
      <c r="E9" s="524">
        <v>42929</v>
      </c>
      <c r="F9" s="525">
        <f>SUMIF(72:72,YEAR(E9)&amp;"-"&amp;INT((MONTH(E9)+2)/3),73:73)</f>
        <v>99.5</v>
      </c>
      <c r="G9" s="526">
        <v>42576</v>
      </c>
      <c r="H9" s="523">
        <f>SUMIF(72:72,YEAR(G9)&amp;"-"&amp;INT((MONTH(G9)+2)/3),73:73)</f>
        <v>97.5</v>
      </c>
      <c r="I9" s="526">
        <v>42565</v>
      </c>
      <c r="J9" s="523">
        <f>SUMIF(72:72,YEAR(I9)&amp;"-"&amp;INT((MONTH(I9)+2)/3),73:73)</f>
        <v>97.5</v>
      </c>
      <c r="K9" s="527"/>
      <c r="L9" s="2136"/>
      <c r="M9" s="2133"/>
      <c r="N9" s="2133"/>
      <c r="O9" s="2137"/>
      <c r="P9" s="3393" t="s">
        <v>531</v>
      </c>
      <c r="Q9" s="3395"/>
      <c r="R9" s="1570" t="s">
        <v>8</v>
      </c>
      <c r="S9" s="1571">
        <f t="shared" ref="S9:S17" si="0">F9</f>
        <v>99.5</v>
      </c>
      <c r="T9" s="1570" t="s">
        <v>8</v>
      </c>
      <c r="U9" s="1571">
        <f t="shared" ref="U9:U17" si="1">H9</f>
        <v>97.5</v>
      </c>
      <c r="V9" s="1570" t="s">
        <v>8</v>
      </c>
      <c r="W9" s="1571">
        <f t="shared" ref="W9:W17" si="2">J9</f>
        <v>97.5</v>
      </c>
      <c r="X9" s="1572"/>
      <c r="Y9" s="3393" t="s">
        <v>531</v>
      </c>
      <c r="Z9" s="3394"/>
      <c r="AA9" s="1573">
        <f>D9/F9</f>
        <v>1.0050251256281406</v>
      </c>
      <c r="AB9" s="1573">
        <f>D9/H9</f>
        <v>1.0256410256410255</v>
      </c>
      <c r="AC9" s="1573">
        <f>D9/J9</f>
        <v>1.0256410256410255</v>
      </c>
    </row>
    <row r="10" spans="1:30" s="1222" customFormat="1" ht="21" thickBot="1">
      <c r="A10" s="2940"/>
      <c r="B10" s="2947" t="s">
        <v>532</v>
      </c>
      <c r="C10" s="859" t="s">
        <v>533</v>
      </c>
      <c r="D10" s="523">
        <v>100</v>
      </c>
      <c r="E10" s="528" t="s">
        <v>3006</v>
      </c>
      <c r="F10" s="525">
        <f>SUMIF(75:75,E10,76:76)-SUMIF(75:75,C10,76:76)+100</f>
        <v>100</v>
      </c>
      <c r="G10" s="528" t="s">
        <v>3006</v>
      </c>
      <c r="H10" s="523">
        <f>SUMIF(75:75,G10,76:76)-SUMIF(75:75,C10,76:76)+100</f>
        <v>100</v>
      </c>
      <c r="I10" s="528" t="s">
        <v>3006</v>
      </c>
      <c r="J10" s="523">
        <f>SUMIF(75:75,I10,76:76)-SUMIF(75:75,C10,76:76)+100</f>
        <v>100</v>
      </c>
      <c r="K10" s="527"/>
      <c r="L10" s="2136"/>
      <c r="M10" s="2133"/>
      <c r="N10" s="2133"/>
      <c r="O10" s="2137"/>
      <c r="P10" s="3393" t="s">
        <v>534</v>
      </c>
      <c r="Q10" s="3394"/>
      <c r="R10" s="1570" t="s">
        <v>8</v>
      </c>
      <c r="S10" s="1571">
        <f t="shared" si="0"/>
        <v>100</v>
      </c>
      <c r="T10" s="1570" t="s">
        <v>8</v>
      </c>
      <c r="U10" s="1571">
        <f t="shared" si="1"/>
        <v>100</v>
      </c>
      <c r="V10" s="1570" t="s">
        <v>8</v>
      </c>
      <c r="W10" s="1571">
        <f t="shared" si="2"/>
        <v>100</v>
      </c>
      <c r="X10" s="1572"/>
      <c r="Y10" s="3393" t="s">
        <v>534</v>
      </c>
      <c r="Z10" s="3394"/>
      <c r="AA10" s="1573">
        <f t="shared" ref="AA10:AA47" si="3">D10/F10</f>
        <v>1</v>
      </c>
      <c r="AB10" s="1573">
        <f t="shared" ref="AB10:AB47" si="4">D10/H10</f>
        <v>1</v>
      </c>
      <c r="AC10" s="1573">
        <f t="shared" ref="AC10:AC47" si="5">D10/J10</f>
        <v>1</v>
      </c>
    </row>
    <row r="11" spans="1:30" s="1222" customFormat="1" ht="20.25">
      <c r="A11" s="2941"/>
      <c r="B11" s="2948" t="s">
        <v>2763</v>
      </c>
      <c r="C11" s="2935" t="s">
        <v>924</v>
      </c>
      <c r="D11" s="254">
        <v>100</v>
      </c>
      <c r="E11" s="529" t="s">
        <v>924</v>
      </c>
      <c r="F11" s="254">
        <f>SUMIF(77:77,E11,78:78)-SUMIF(77:77,C11,78:78)+100</f>
        <v>100</v>
      </c>
      <c r="G11" s="529" t="s">
        <v>924</v>
      </c>
      <c r="H11" s="254">
        <f>SUMIF(77:77,G11,78:78)-SUMIF(77:77,C11,78:78)+100</f>
        <v>100</v>
      </c>
      <c r="I11" s="529" t="s">
        <v>924</v>
      </c>
      <c r="J11" s="254">
        <f>SUMIF(77:77,I11,78:78)-SUMIF(77:77,C11,78:78)+100</f>
        <v>100</v>
      </c>
      <c r="K11" s="527"/>
      <c r="L11" s="2136"/>
      <c r="M11" s="2133"/>
      <c r="N11" s="2133"/>
      <c r="O11" s="2138"/>
      <c r="P11" s="3360" t="s">
        <v>536</v>
      </c>
      <c r="Q11" s="1153" t="str">
        <f t="shared" ref="Q11:Q17" si="6">B11</f>
        <v>用途</v>
      </c>
      <c r="R11" s="1570" t="s">
        <v>8</v>
      </c>
      <c r="S11" s="1571">
        <f t="shared" si="0"/>
        <v>100</v>
      </c>
      <c r="T11" s="1570" t="s">
        <v>8</v>
      </c>
      <c r="U11" s="1571">
        <f t="shared" si="1"/>
        <v>100</v>
      </c>
      <c r="V11" s="1570" t="s">
        <v>8</v>
      </c>
      <c r="W11" s="1571">
        <f t="shared" si="2"/>
        <v>100</v>
      </c>
      <c r="X11" s="1572"/>
      <c r="Y11" s="3306" t="s">
        <v>537</v>
      </c>
      <c r="Z11" s="1152" t="str">
        <f t="shared" ref="Z11:Z17" si="7">Q11</f>
        <v>用途</v>
      </c>
      <c r="AA11" s="1573">
        <f t="shared" si="3"/>
        <v>1</v>
      </c>
      <c r="AB11" s="1573">
        <f t="shared" si="4"/>
        <v>1</v>
      </c>
      <c r="AC11" s="1573">
        <f t="shared" si="5"/>
        <v>1</v>
      </c>
    </row>
    <row r="12" spans="1:30" s="1340" customFormat="1" ht="27">
      <c r="A12" s="2942"/>
      <c r="B12" s="2947" t="s">
        <v>2764</v>
      </c>
      <c r="C12" s="912">
        <f>'数据-取费表'!F6</f>
        <v>50.39</v>
      </c>
      <c r="D12" s="255">
        <v>100</v>
      </c>
      <c r="E12" s="532" t="s">
        <v>3004</v>
      </c>
      <c r="F12" s="255">
        <f>ROUND(100/'数据-取费表'!G16,0)</f>
        <v>112</v>
      </c>
      <c r="G12" s="533" t="s">
        <v>3004</v>
      </c>
      <c r="H12" s="255">
        <f>ROUND(100/'数据-取费表'!G16,0)</f>
        <v>112</v>
      </c>
      <c r="I12" s="533" t="s">
        <v>3004</v>
      </c>
      <c r="J12" s="255">
        <f>ROUND(100/'数据-取费表'!G16,0)</f>
        <v>112</v>
      </c>
      <c r="K12" s="534"/>
      <c r="L12" s="2139"/>
      <c r="M12" s="2133"/>
      <c r="N12" s="2133"/>
      <c r="O12" s="2140"/>
      <c r="P12" s="3360"/>
      <c r="Q12" s="1153" t="str">
        <f t="shared" si="6"/>
        <v>土地使用年限（年）</v>
      </c>
      <c r="R12" s="1570" t="s">
        <v>8</v>
      </c>
      <c r="S12" s="1571">
        <f t="shared" si="0"/>
        <v>112</v>
      </c>
      <c r="T12" s="1570" t="s">
        <v>8</v>
      </c>
      <c r="U12" s="1571">
        <f t="shared" si="1"/>
        <v>112</v>
      </c>
      <c r="V12" s="1570" t="s">
        <v>8</v>
      </c>
      <c r="W12" s="1571">
        <f t="shared" si="2"/>
        <v>112</v>
      </c>
      <c r="X12" s="1572"/>
      <c r="Y12" s="3306"/>
      <c r="Z12" s="1152" t="str">
        <f t="shared" si="7"/>
        <v>土地使用年限（年）</v>
      </c>
      <c r="AA12" s="1573">
        <f t="shared" si="3"/>
        <v>0.8928571428571429</v>
      </c>
      <c r="AB12" s="1573">
        <f t="shared" si="4"/>
        <v>0.8928571428571429</v>
      </c>
      <c r="AC12" s="1573">
        <f t="shared" si="5"/>
        <v>0.8928571428571429</v>
      </c>
    </row>
    <row r="13" spans="1:30" ht="21" thickBot="1">
      <c r="A13" s="2943"/>
      <c r="B13" s="2947" t="s">
        <v>2765</v>
      </c>
      <c r="C13" s="537">
        <f>'数据-汇总表'!I6</f>
        <v>2.6</v>
      </c>
      <c r="D13" s="255">
        <v>100</v>
      </c>
      <c r="E13" s="536">
        <v>2.5</v>
      </c>
      <c r="F13" s="255">
        <f>LOOKUP(E13,82:82,83:83)-LOOKUP(C13,82:82,83:83)+100</f>
        <v>100</v>
      </c>
      <c r="G13" s="537">
        <v>2.5</v>
      </c>
      <c r="H13" s="255">
        <f>LOOKUP(G13,82:82,83:83)-LOOKUP(C13,82:82,83:83)+100</f>
        <v>100</v>
      </c>
      <c r="I13" s="536">
        <v>2.5</v>
      </c>
      <c r="J13" s="255">
        <f>LOOKUP(I13,82:82,83:83)-LOOKUP(C13,82:82,83:83)+100</f>
        <v>100</v>
      </c>
      <c r="K13" s="538">
        <v>1</v>
      </c>
      <c r="L13" s="2141"/>
      <c r="M13" s="2133"/>
      <c r="N13" s="2133"/>
      <c r="O13" s="2142"/>
      <c r="P13" s="3360"/>
      <c r="Q13" s="1153" t="str">
        <f t="shared" si="6"/>
        <v>容积率</v>
      </c>
      <c r="R13" s="1570" t="s">
        <v>8</v>
      </c>
      <c r="S13" s="1571">
        <f t="shared" si="0"/>
        <v>100</v>
      </c>
      <c r="T13" s="1570" t="s">
        <v>8</v>
      </c>
      <c r="U13" s="1571">
        <f t="shared" si="1"/>
        <v>100</v>
      </c>
      <c r="V13" s="1570" t="s">
        <v>8</v>
      </c>
      <c r="W13" s="1571">
        <f t="shared" si="2"/>
        <v>100</v>
      </c>
      <c r="X13" s="1572"/>
      <c r="Y13" s="3306"/>
      <c r="Z13" s="1152" t="str">
        <f t="shared" si="7"/>
        <v>容积率</v>
      </c>
      <c r="AA13" s="1573">
        <f t="shared" si="3"/>
        <v>1</v>
      </c>
      <c r="AB13" s="1573">
        <f t="shared" si="4"/>
        <v>1</v>
      </c>
      <c r="AC13" s="1573">
        <f t="shared" si="5"/>
        <v>1</v>
      </c>
    </row>
    <row r="14" spans="1:30" s="1222" customFormat="1" ht="20.25" hidden="1">
      <c r="A14" s="2940"/>
      <c r="B14" s="2949" t="s">
        <v>2766</v>
      </c>
      <c r="C14" s="2936"/>
      <c r="D14" s="541">
        <v>100</v>
      </c>
      <c r="E14" s="1376"/>
      <c r="F14" s="255">
        <f>SUMIF(84:84,E14,85:85)-SUMIF(84:84,C14,85:85)+100</f>
        <v>100</v>
      </c>
      <c r="G14" s="533"/>
      <c r="H14" s="255">
        <f>SUMIF(84:84,G14,85:85)-SUMIF(84:84,C14,85:85)+100</f>
        <v>100</v>
      </c>
      <c r="I14" s="532"/>
      <c r="J14" s="255">
        <f>SUMIF(84:84,I14,85:85)-SUMIF(84:84,C14,85:85)+100</f>
        <v>100</v>
      </c>
      <c r="K14" s="534"/>
      <c r="L14" s="2136"/>
      <c r="M14" s="2133"/>
      <c r="N14" s="2133"/>
      <c r="O14" s="2138"/>
      <c r="P14" s="3360"/>
      <c r="Q14" s="1153" t="str">
        <f t="shared" si="6"/>
        <v>配建</v>
      </c>
      <c r="R14" s="1570" t="s">
        <v>8</v>
      </c>
      <c r="S14" s="1571">
        <f t="shared" si="0"/>
        <v>100</v>
      </c>
      <c r="T14" s="1570" t="s">
        <v>8</v>
      </c>
      <c r="U14" s="1571">
        <f t="shared" si="1"/>
        <v>100</v>
      </c>
      <c r="V14" s="1570" t="s">
        <v>8</v>
      </c>
      <c r="W14" s="1571">
        <f t="shared" si="2"/>
        <v>100</v>
      </c>
      <c r="X14" s="1572"/>
      <c r="Y14" s="3306"/>
      <c r="Z14" s="1152" t="str">
        <f t="shared" si="7"/>
        <v>配建</v>
      </c>
      <c r="AA14" s="1573">
        <f>D14/F14</f>
        <v>1</v>
      </c>
      <c r="AB14" s="1573">
        <f>D14/H14</f>
        <v>1</v>
      </c>
      <c r="AC14" s="1573">
        <f>D14/J14</f>
        <v>1</v>
      </c>
    </row>
    <row r="15" spans="1:30" ht="20.25" hidden="1">
      <c r="A15" s="2944"/>
      <c r="B15" s="2950">
        <v>111</v>
      </c>
      <c r="C15" s="914"/>
      <c r="D15" s="543">
        <v>100</v>
      </c>
      <c r="E15" s="544"/>
      <c r="F15" s="255">
        <f>SUMIF(86:86,E15,87:87)-SUMIF(86:86,C15,87:87)+100</f>
        <v>100</v>
      </c>
      <c r="G15" s="545"/>
      <c r="H15" s="543">
        <f>SUMIF(86:86,G15,87:87)-SUMIF(86:86,C15,87:87)+100</f>
        <v>100</v>
      </c>
      <c r="I15" s="545"/>
      <c r="J15" s="543">
        <f>SUMIF(86:86,I15,87:87)-SUMIF(86:86,C15,87:87)+100</f>
        <v>100</v>
      </c>
      <c r="K15" s="534"/>
      <c r="L15" s="2143"/>
      <c r="M15" s="2133"/>
      <c r="N15" s="2133"/>
      <c r="O15" s="2142"/>
      <c r="P15" s="3360"/>
      <c r="Q15" s="1153">
        <f t="shared" si="6"/>
        <v>111</v>
      </c>
      <c r="R15" s="1570" t="s">
        <v>8</v>
      </c>
      <c r="S15" s="1571">
        <f t="shared" si="0"/>
        <v>100</v>
      </c>
      <c r="T15" s="1570" t="s">
        <v>8</v>
      </c>
      <c r="U15" s="1571">
        <f t="shared" si="1"/>
        <v>100</v>
      </c>
      <c r="V15" s="1570" t="s">
        <v>8</v>
      </c>
      <c r="W15" s="1571">
        <f t="shared" si="2"/>
        <v>100</v>
      </c>
      <c r="X15" s="1572"/>
      <c r="Y15" s="3306"/>
      <c r="Z15" s="1152">
        <f t="shared" si="7"/>
        <v>111</v>
      </c>
      <c r="AA15" s="1573">
        <f>D15/F15</f>
        <v>1</v>
      </c>
      <c r="AB15" s="1573">
        <f>D15/H15</f>
        <v>1</v>
      </c>
      <c r="AC15" s="1573">
        <f>D15/J15</f>
        <v>1</v>
      </c>
    </row>
    <row r="16" spans="1:30" ht="21" hidden="1" thickBot="1">
      <c r="A16" s="2945"/>
      <c r="B16" s="2951">
        <v>111</v>
      </c>
      <c r="C16" s="917"/>
      <c r="D16" s="549">
        <v>100</v>
      </c>
      <c r="E16" s="544"/>
      <c r="F16" s="549">
        <f>SUMIF(88:88,E16,89:89)-SUMIF(88:88,C16,89:89)+100</f>
        <v>100</v>
      </c>
      <c r="G16" s="545"/>
      <c r="H16" s="549">
        <f>SUMIF(88:88,G16,89:89)-SUMIF(88:88,C16,89:89)+100</f>
        <v>100</v>
      </c>
      <c r="I16" s="545"/>
      <c r="J16" s="549">
        <f>SUMIF(88:88,I16,89:89)-SUMIF(88:88,C16,89:89)+100</f>
        <v>100</v>
      </c>
      <c r="K16" s="534"/>
      <c r="L16" s="2143"/>
      <c r="M16" s="2133"/>
      <c r="N16" s="2133"/>
      <c r="O16" s="2142"/>
      <c r="P16" s="3360"/>
      <c r="Q16" s="1153">
        <f t="shared" si="6"/>
        <v>111</v>
      </c>
      <c r="R16" s="1570" t="s">
        <v>8</v>
      </c>
      <c r="S16" s="1571">
        <f t="shared" si="0"/>
        <v>100</v>
      </c>
      <c r="T16" s="1570" t="s">
        <v>8</v>
      </c>
      <c r="U16" s="1571">
        <f t="shared" si="1"/>
        <v>100</v>
      </c>
      <c r="V16" s="1570" t="s">
        <v>8</v>
      </c>
      <c r="W16" s="1571">
        <f t="shared" si="2"/>
        <v>100</v>
      </c>
      <c r="X16" s="1572"/>
      <c r="Y16" s="3306"/>
      <c r="Z16" s="1152">
        <f t="shared" si="7"/>
        <v>111</v>
      </c>
      <c r="AA16" s="1573">
        <f>D16/F16</f>
        <v>1</v>
      </c>
      <c r="AB16" s="1573">
        <f>D16/H16</f>
        <v>1</v>
      </c>
      <c r="AC16" s="1573">
        <f>D16/J16</f>
        <v>1</v>
      </c>
    </row>
    <row r="17" spans="1:29" ht="99.75">
      <c r="A17" s="2937" t="s">
        <v>2761</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3</v>
      </c>
      <c r="L17" s="2143"/>
      <c r="M17" s="2133"/>
      <c r="N17" s="2133"/>
      <c r="O17" s="2142"/>
      <c r="P17" s="3396" t="s">
        <v>541</v>
      </c>
      <c r="Q17" s="1574" t="str">
        <f t="shared" si="6"/>
        <v>居住社区成熟度</v>
      </c>
      <c r="R17" s="1575" t="s">
        <v>8</v>
      </c>
      <c r="S17" s="1576">
        <f t="shared" si="0"/>
        <v>100</v>
      </c>
      <c r="T17" s="1575" t="s">
        <v>8</v>
      </c>
      <c r="U17" s="1576">
        <f t="shared" si="1"/>
        <v>100</v>
      </c>
      <c r="V17" s="1575" t="s">
        <v>8</v>
      </c>
      <c r="W17" s="1576">
        <f t="shared" si="2"/>
        <v>100</v>
      </c>
      <c r="X17" s="1569"/>
      <c r="Y17" s="3396" t="s">
        <v>541</v>
      </c>
      <c r="Z17" s="1577" t="str">
        <f t="shared" si="7"/>
        <v>居住社区成熟度</v>
      </c>
      <c r="AA17" s="1578">
        <f t="shared" si="3"/>
        <v>1</v>
      </c>
      <c r="AB17" s="1578">
        <f t="shared" si="4"/>
        <v>1</v>
      </c>
      <c r="AC17" s="1578">
        <f t="shared" si="5"/>
        <v>1</v>
      </c>
    </row>
    <row r="18" spans="1:29" ht="20.25">
      <c r="A18" s="535"/>
      <c r="B18" s="556"/>
      <c r="C18" s="557" t="s">
        <v>3007</v>
      </c>
      <c r="D18" s="560"/>
      <c r="E18" s="561" t="s">
        <v>3007</v>
      </c>
      <c r="F18" s="558"/>
      <c r="G18" s="559" t="s">
        <v>3007</v>
      </c>
      <c r="H18" s="562"/>
      <c r="I18" s="561" t="s">
        <v>3007</v>
      </c>
      <c r="J18" s="558"/>
      <c r="K18" s="534"/>
      <c r="L18" s="2143"/>
      <c r="M18" s="2133"/>
      <c r="N18" s="2133"/>
      <c r="O18" s="2142"/>
      <c r="P18" s="3397"/>
      <c r="Q18" s="1574"/>
      <c r="R18" s="1575"/>
      <c r="S18" s="1576"/>
      <c r="T18" s="1575"/>
      <c r="U18" s="1576"/>
      <c r="V18" s="1575"/>
      <c r="W18" s="1576"/>
      <c r="X18" s="1569"/>
      <c r="Y18" s="3397"/>
      <c r="Z18" s="1577"/>
      <c r="AA18" s="1578">
        <v>1</v>
      </c>
      <c r="AB18" s="1578">
        <v>1</v>
      </c>
      <c r="AC18" s="1578">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3</v>
      </c>
      <c r="L19" s="2143"/>
      <c r="M19" s="2133"/>
      <c r="N19" s="2133"/>
      <c r="O19" s="2142"/>
      <c r="P19" s="3397"/>
      <c r="Q19" s="1574" t="str">
        <f>B19</f>
        <v>商业繁华度</v>
      </c>
      <c r="R19" s="1575" t="s">
        <v>8</v>
      </c>
      <c r="S19" s="1576">
        <f>F19</f>
        <v>100</v>
      </c>
      <c r="T19" s="1575" t="s">
        <v>8</v>
      </c>
      <c r="U19" s="1576">
        <f>H19</f>
        <v>100</v>
      </c>
      <c r="V19" s="1575" t="s">
        <v>8</v>
      </c>
      <c r="W19" s="1576">
        <f>J19</f>
        <v>100</v>
      </c>
      <c r="X19" s="1569"/>
      <c r="Y19" s="3397"/>
      <c r="Z19" s="1577" t="str">
        <f>Q19</f>
        <v>商业繁华度</v>
      </c>
      <c r="AA19" s="1578">
        <f t="shared" si="3"/>
        <v>1</v>
      </c>
      <c r="AB19" s="1578">
        <f t="shared" si="4"/>
        <v>1</v>
      </c>
      <c r="AC19" s="1578">
        <f t="shared" si="5"/>
        <v>1</v>
      </c>
    </row>
    <row r="20" spans="1:29" ht="20.25">
      <c r="A20" s="535"/>
      <c r="B20" s="569"/>
      <c r="C20" s="570" t="s">
        <v>3007</v>
      </c>
      <c r="D20" s="566"/>
      <c r="E20" s="572" t="s">
        <v>3007</v>
      </c>
      <c r="F20" s="562"/>
      <c r="G20" s="571" t="s">
        <v>3007</v>
      </c>
      <c r="H20" s="558"/>
      <c r="I20" s="572" t="s">
        <v>3007</v>
      </c>
      <c r="J20" s="558"/>
      <c r="K20" s="534"/>
      <c r="L20" s="2143"/>
      <c r="M20" s="2133"/>
      <c r="N20" s="2133"/>
      <c r="O20" s="2142"/>
      <c r="P20" s="3397"/>
      <c r="Q20" s="1574"/>
      <c r="R20" s="1575"/>
      <c r="S20" s="1576"/>
      <c r="T20" s="1575"/>
      <c r="U20" s="1576"/>
      <c r="V20" s="1575"/>
      <c r="W20" s="1576"/>
      <c r="X20" s="1569"/>
      <c r="Y20" s="3397"/>
      <c r="Z20" s="1577"/>
      <c r="AA20" s="1578">
        <v>1</v>
      </c>
      <c r="AB20" s="1578">
        <v>1</v>
      </c>
      <c r="AC20" s="1578">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3</v>
      </c>
      <c r="L21" s="2143"/>
      <c r="M21" s="2133"/>
      <c r="N21" s="2133"/>
      <c r="O21" s="2142"/>
      <c r="P21" s="3397"/>
      <c r="Q21" s="1574" t="str">
        <f>B21</f>
        <v>办公集聚程度</v>
      </c>
      <c r="R21" s="1575" t="s">
        <v>8</v>
      </c>
      <c r="S21" s="1576">
        <f>F21</f>
        <v>100</v>
      </c>
      <c r="T21" s="1575" t="s">
        <v>8</v>
      </c>
      <c r="U21" s="1576">
        <f>H21</f>
        <v>100</v>
      </c>
      <c r="V21" s="1575" t="s">
        <v>8</v>
      </c>
      <c r="W21" s="1576">
        <f>J21</f>
        <v>100</v>
      </c>
      <c r="X21" s="1569"/>
      <c r="Y21" s="3397"/>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3"/>
      <c r="M22" s="2133"/>
      <c r="N22" s="2133"/>
      <c r="O22" s="2142"/>
      <c r="P22" s="3397"/>
      <c r="Q22" s="1574"/>
      <c r="R22" s="1575"/>
      <c r="S22" s="1576"/>
      <c r="T22" s="1575"/>
      <c r="U22" s="1576"/>
      <c r="V22" s="1575"/>
      <c r="W22" s="1576"/>
      <c r="X22" s="1569"/>
      <c r="Y22" s="3397"/>
      <c r="Z22" s="1577"/>
      <c r="AA22" s="1578">
        <v>1</v>
      </c>
      <c r="AB22" s="1578">
        <v>1</v>
      </c>
      <c r="AC22" s="1578">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98</v>
      </c>
      <c r="G23" s="565"/>
      <c r="H23" s="562">
        <f>SUMIF(96:96,G24,97:97)-SUMIF(96:96,C24,97:97)+100</f>
        <v>98</v>
      </c>
      <c r="I23" s="567"/>
      <c r="J23" s="562">
        <f>SUMIF(96:96,I24,97:97)-SUMIF(96:96,C24,97:97)+100</f>
        <v>100</v>
      </c>
      <c r="K23" s="538">
        <v>2</v>
      </c>
      <c r="L23" s="2143"/>
      <c r="M23" s="2133"/>
      <c r="N23" s="2133"/>
      <c r="O23" s="2142"/>
      <c r="P23" s="3397"/>
      <c r="Q23" s="1574" t="str">
        <f>B23</f>
        <v>交通便捷度</v>
      </c>
      <c r="R23" s="1575" t="s">
        <v>8</v>
      </c>
      <c r="S23" s="1576">
        <f>F23</f>
        <v>98</v>
      </c>
      <c r="T23" s="1575" t="s">
        <v>8</v>
      </c>
      <c r="U23" s="1576">
        <f>H23</f>
        <v>98</v>
      </c>
      <c r="V23" s="1575" t="s">
        <v>8</v>
      </c>
      <c r="W23" s="1576">
        <f>J23</f>
        <v>100</v>
      </c>
      <c r="X23" s="1569"/>
      <c r="Y23" s="3397"/>
      <c r="Z23" s="1577" t="str">
        <f>Q23</f>
        <v>交通便捷度</v>
      </c>
      <c r="AA23" s="1578">
        <f t="shared" si="3"/>
        <v>1.0204081632653061</v>
      </c>
      <c r="AB23" s="1578">
        <f t="shared" si="4"/>
        <v>1.0204081632653061</v>
      </c>
      <c r="AC23" s="1578">
        <f t="shared" si="5"/>
        <v>1</v>
      </c>
    </row>
    <row r="24" spans="1:29" ht="20.25">
      <c r="A24" s="535"/>
      <c r="B24" s="581"/>
      <c r="C24" s="557" t="s">
        <v>3032</v>
      </c>
      <c r="D24" s="560"/>
      <c r="E24" s="561" t="s">
        <v>3007</v>
      </c>
      <c r="F24" s="558"/>
      <c r="G24" s="559" t="s">
        <v>3007</v>
      </c>
      <c r="H24" s="558"/>
      <c r="I24" s="561" t="s">
        <v>3032</v>
      </c>
      <c r="J24" s="558"/>
      <c r="K24" s="534"/>
      <c r="L24" s="2143"/>
      <c r="M24" s="2133"/>
      <c r="N24" s="2133"/>
      <c r="O24" s="2142"/>
      <c r="P24" s="3397"/>
      <c r="Q24" s="1574"/>
      <c r="R24" s="1575"/>
      <c r="S24" s="1576"/>
      <c r="T24" s="1575"/>
      <c r="U24" s="1576"/>
      <c r="V24" s="1575"/>
      <c r="W24" s="1576"/>
      <c r="X24" s="1569"/>
      <c r="Y24" s="3397"/>
      <c r="Z24" s="1577"/>
      <c r="AA24" s="1578">
        <v>1</v>
      </c>
      <c r="AB24" s="1578">
        <v>1</v>
      </c>
      <c r="AC24" s="1578">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3"/>
      <c r="M25" s="2133"/>
      <c r="N25" s="2133"/>
      <c r="O25" s="2142"/>
      <c r="P25" s="3397"/>
      <c r="Q25" s="1574" t="str">
        <f t="shared" ref="Q25:Q39" si="8">B25</f>
        <v>区域土地利用方向</v>
      </c>
      <c r="R25" s="1575" t="s">
        <v>8</v>
      </c>
      <c r="S25" s="1576">
        <f>F25</f>
        <v>100</v>
      </c>
      <c r="T25" s="1575" t="s">
        <v>8</v>
      </c>
      <c r="U25" s="1576">
        <f>H25</f>
        <v>100</v>
      </c>
      <c r="V25" s="1575" t="s">
        <v>8</v>
      </c>
      <c r="W25" s="1576">
        <f>J25</f>
        <v>100</v>
      </c>
      <c r="X25" s="1569"/>
      <c r="Y25" s="3397"/>
      <c r="Z25" s="1577" t="str">
        <f>Q25</f>
        <v>区域土地利用方向</v>
      </c>
      <c r="AA25" s="1578">
        <f t="shared" si="3"/>
        <v>1</v>
      </c>
      <c r="AB25" s="1578">
        <f t="shared" si="4"/>
        <v>1</v>
      </c>
      <c r="AC25" s="1578">
        <f t="shared" si="5"/>
        <v>1</v>
      </c>
    </row>
    <row r="26" spans="1:29" ht="20.25">
      <c r="A26" s="518"/>
      <c r="B26" s="1009"/>
      <c r="C26" s="557" t="s">
        <v>3032</v>
      </c>
      <c r="D26" s="560"/>
      <c r="E26" s="561" t="s">
        <v>3032</v>
      </c>
      <c r="F26" s="558"/>
      <c r="G26" s="559" t="s">
        <v>3032</v>
      </c>
      <c r="H26" s="558"/>
      <c r="I26" s="561" t="s">
        <v>3032</v>
      </c>
      <c r="J26" s="558"/>
      <c r="K26" s="534"/>
      <c r="L26" s="2143"/>
      <c r="M26" s="2133"/>
      <c r="N26" s="2133"/>
      <c r="O26" s="2142"/>
      <c r="P26" s="3397"/>
      <c r="Q26" s="1574"/>
      <c r="R26" s="1575"/>
      <c r="S26" s="1576"/>
      <c r="T26" s="1575"/>
      <c r="U26" s="1576"/>
      <c r="V26" s="1575"/>
      <c r="W26" s="1576"/>
      <c r="X26" s="1569"/>
      <c r="Y26" s="3397"/>
      <c r="Z26" s="1577"/>
      <c r="AA26" s="1578"/>
      <c r="AB26" s="1578"/>
      <c r="AC26" s="1578"/>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3</v>
      </c>
      <c r="L27" s="2143"/>
      <c r="M27" s="2133"/>
      <c r="N27" s="2133"/>
      <c r="O27" s="2142"/>
      <c r="P27" s="3397"/>
      <c r="Q27" s="1574" t="str">
        <f t="shared" si="8"/>
        <v>自然及人文环境状况</v>
      </c>
      <c r="R27" s="1575" t="s">
        <v>8</v>
      </c>
      <c r="S27" s="1576">
        <f>F27</f>
        <v>100</v>
      </c>
      <c r="T27" s="1575" t="s">
        <v>8</v>
      </c>
      <c r="U27" s="1576">
        <f>H27</f>
        <v>100</v>
      </c>
      <c r="V27" s="1575" t="s">
        <v>8</v>
      </c>
      <c r="W27" s="1576">
        <f>J27</f>
        <v>100</v>
      </c>
      <c r="X27" s="1569"/>
      <c r="Y27" s="3397"/>
      <c r="Z27" s="1577" t="str">
        <f>Q27</f>
        <v>自然及人文环境状况</v>
      </c>
      <c r="AA27" s="1578">
        <f t="shared" si="3"/>
        <v>1</v>
      </c>
      <c r="AB27" s="1578">
        <f t="shared" si="4"/>
        <v>1</v>
      </c>
      <c r="AC27" s="1578">
        <f t="shared" si="5"/>
        <v>1</v>
      </c>
    </row>
    <row r="28" spans="1:29" ht="20.25">
      <c r="A28" s="518"/>
      <c r="B28" s="569"/>
      <c r="C28" s="557" t="s">
        <v>3007</v>
      </c>
      <c r="D28" s="560"/>
      <c r="E28" s="579" t="s">
        <v>3007</v>
      </c>
      <c r="F28" s="558"/>
      <c r="G28" s="557" t="s">
        <v>3007</v>
      </c>
      <c r="H28" s="558"/>
      <c r="I28" s="579" t="s">
        <v>3007</v>
      </c>
      <c r="J28" s="558"/>
      <c r="K28" s="534"/>
      <c r="L28" s="2143"/>
      <c r="M28" s="2133"/>
      <c r="N28" s="2133"/>
      <c r="O28" s="2142"/>
      <c r="P28" s="3397"/>
      <c r="Q28" s="1574"/>
      <c r="R28" s="1575"/>
      <c r="S28" s="1576"/>
      <c r="T28" s="1575"/>
      <c r="U28" s="1576"/>
      <c r="V28" s="1575"/>
      <c r="W28" s="1576"/>
      <c r="X28" s="1569"/>
      <c r="Y28" s="3397"/>
      <c r="Z28" s="1577"/>
      <c r="AA28" s="1578">
        <v>1</v>
      </c>
      <c r="AB28" s="1578">
        <v>1</v>
      </c>
      <c r="AC28" s="1578">
        <v>1</v>
      </c>
    </row>
    <row r="29" spans="1:29" s="1222" customFormat="1" ht="42.75">
      <c r="A29" s="580"/>
      <c r="B29" s="2616" t="s">
        <v>2553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36"/>
      <c r="M29" s="2133"/>
      <c r="N29" s="2133"/>
      <c r="O29" s="2138"/>
      <c r="P29" s="3397"/>
      <c r="Q29" s="1153" t="str">
        <f t="shared" si="8"/>
        <v>公共配套设施</v>
      </c>
      <c r="R29" s="1570" t="s">
        <v>8</v>
      </c>
      <c r="S29" s="1571">
        <f>F29</f>
        <v>100</v>
      </c>
      <c r="T29" s="1570" t="s">
        <v>8</v>
      </c>
      <c r="U29" s="1571">
        <f>H29</f>
        <v>100</v>
      </c>
      <c r="V29" s="1570" t="s">
        <v>8</v>
      </c>
      <c r="W29" s="1571">
        <f>J29</f>
        <v>100</v>
      </c>
      <c r="X29" s="1572"/>
      <c r="Y29" s="3397"/>
      <c r="Z29" s="1152" t="str">
        <f>Q29</f>
        <v>公共配套设施</v>
      </c>
      <c r="AA29" s="1578">
        <f>D29/F29</f>
        <v>1</v>
      </c>
      <c r="AB29" s="1578">
        <f>D29/H29</f>
        <v>1</v>
      </c>
      <c r="AC29" s="1578">
        <f>D29/J29</f>
        <v>1</v>
      </c>
    </row>
    <row r="30" spans="1:29" s="1222" customFormat="1" ht="20.25">
      <c r="A30" s="580"/>
      <c r="B30" s="569"/>
      <c r="C30" s="582" t="s">
        <v>3007</v>
      </c>
      <c r="D30" s="560"/>
      <c r="E30" s="579" t="s">
        <v>3007</v>
      </c>
      <c r="F30" s="558"/>
      <c r="G30" s="557" t="s">
        <v>3007</v>
      </c>
      <c r="H30" s="558"/>
      <c r="I30" s="579" t="s">
        <v>3007</v>
      </c>
      <c r="J30" s="558"/>
      <c r="K30" s="534"/>
      <c r="L30" s="2136"/>
      <c r="M30" s="2133"/>
      <c r="N30" s="2133"/>
      <c r="O30" s="2138"/>
      <c r="P30" s="3397"/>
      <c r="Q30" s="1153"/>
      <c r="R30" s="1570"/>
      <c r="S30" s="1571"/>
      <c r="T30" s="1570"/>
      <c r="U30" s="1571"/>
      <c r="V30" s="1570"/>
      <c r="W30" s="1571"/>
      <c r="X30" s="1572"/>
      <c r="Y30" s="3397"/>
      <c r="Z30" s="1152"/>
      <c r="AA30" s="1578">
        <v>1</v>
      </c>
      <c r="AB30" s="1578">
        <v>1</v>
      </c>
      <c r="AC30" s="1578">
        <v>1</v>
      </c>
    </row>
    <row r="31" spans="1:29" s="1222" customFormat="1" ht="28.5">
      <c r="A31" s="580"/>
      <c r="B31" s="2616" t="s">
        <v>2554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6"/>
      <c r="M31" s="2133"/>
      <c r="N31" s="2133"/>
      <c r="O31" s="2138"/>
      <c r="P31" s="3397"/>
      <c r="Q31" s="2603" t="str">
        <f t="shared" ref="Q31" si="9">B31</f>
        <v>基础设施水平</v>
      </c>
      <c r="R31" s="1570" t="s">
        <v>8</v>
      </c>
      <c r="S31" s="1571">
        <f>F31</f>
        <v>100</v>
      </c>
      <c r="T31" s="1570" t="s">
        <v>8</v>
      </c>
      <c r="U31" s="1571">
        <f>H31</f>
        <v>100</v>
      </c>
      <c r="V31" s="1570" t="s">
        <v>8</v>
      </c>
      <c r="W31" s="1571">
        <f>J31</f>
        <v>100</v>
      </c>
      <c r="X31" s="1572"/>
      <c r="Y31" s="3397"/>
      <c r="Z31" s="2600" t="str">
        <f>Q31</f>
        <v>基础设施水平</v>
      </c>
      <c r="AA31" s="1578">
        <f>D31/F31</f>
        <v>1</v>
      </c>
      <c r="AB31" s="1578">
        <f>D31/H31</f>
        <v>1</v>
      </c>
      <c r="AC31" s="1578">
        <f>D31/J31</f>
        <v>1</v>
      </c>
    </row>
    <row r="32" spans="1:29" s="1222" customFormat="1" ht="20.25">
      <c r="A32" s="580"/>
      <c r="B32" s="569"/>
      <c r="C32" s="582" t="s">
        <v>3061</v>
      </c>
      <c r="D32" s="560"/>
      <c r="E32" s="2617" t="s">
        <v>3061</v>
      </c>
      <c r="F32" s="558"/>
      <c r="G32" s="582" t="s">
        <v>3061</v>
      </c>
      <c r="H32" s="558"/>
      <c r="I32" s="582" t="s">
        <v>3061</v>
      </c>
      <c r="J32" s="558"/>
      <c r="K32" s="534"/>
      <c r="L32" s="2136"/>
      <c r="M32" s="2133"/>
      <c r="N32" s="2133"/>
      <c r="O32" s="2138"/>
      <c r="P32" s="3397"/>
      <c r="Q32" s="2603"/>
      <c r="R32" s="1570"/>
      <c r="S32" s="1571"/>
      <c r="T32" s="1570"/>
      <c r="U32" s="1571"/>
      <c r="V32" s="1570"/>
      <c r="W32" s="1571"/>
      <c r="X32" s="1572"/>
      <c r="Y32" s="3397"/>
      <c r="Z32" s="2600"/>
      <c r="AA32" s="1578">
        <v>1</v>
      </c>
      <c r="AB32" s="1578">
        <v>1</v>
      </c>
      <c r="AC32" s="1578">
        <v>1</v>
      </c>
    </row>
    <row r="33" spans="1:29" ht="20.25">
      <c r="A33" s="535"/>
      <c r="B33" s="569" t="s">
        <v>548</v>
      </c>
      <c r="C33" s="583" t="s">
        <v>3062</v>
      </c>
      <c r="D33" s="578">
        <v>100</v>
      </c>
      <c r="E33" s="586" t="s">
        <v>3062</v>
      </c>
      <c r="F33" s="543">
        <f>SUMIF(106:106,E33,107:107)-SUMIF(106:106,C33,107:107)+100</f>
        <v>100</v>
      </c>
      <c r="G33" s="583" t="s">
        <v>3062</v>
      </c>
      <c r="H33" s="543">
        <f>SUMIF(106:106,G33,107:107)-SUMIF(106:106,C33,107:107)+100</f>
        <v>100</v>
      </c>
      <c r="I33" s="583" t="s">
        <v>3063</v>
      </c>
      <c r="J33" s="543">
        <f>SUMIF(106:106,I33,107:107)-SUMIF(106:106,C33,107:107)+100</f>
        <v>98</v>
      </c>
      <c r="K33" s="538">
        <v>2</v>
      </c>
      <c r="L33" s="2143"/>
      <c r="M33" s="2133"/>
      <c r="N33" s="2133"/>
      <c r="O33" s="2142"/>
      <c r="P33" s="3397"/>
      <c r="Q33" s="1574" t="str">
        <f t="shared" si="8"/>
        <v>临街状况</v>
      </c>
      <c r="R33" s="1575" t="s">
        <v>8</v>
      </c>
      <c r="S33" s="1576">
        <f t="shared" ref="S33:S47" si="10">F33</f>
        <v>100</v>
      </c>
      <c r="T33" s="1575" t="s">
        <v>8</v>
      </c>
      <c r="U33" s="1576">
        <f t="shared" ref="U33:U47" si="11">H33</f>
        <v>100</v>
      </c>
      <c r="V33" s="1575" t="s">
        <v>8</v>
      </c>
      <c r="W33" s="1576">
        <f t="shared" ref="W33:W47" si="12">J33</f>
        <v>98</v>
      </c>
      <c r="X33" s="1569"/>
      <c r="Y33" s="3397"/>
      <c r="Z33" s="1577" t="str">
        <f t="shared" ref="Z33:Z47" si="13">Q33</f>
        <v>临街状况</v>
      </c>
      <c r="AA33" s="1578">
        <f t="shared" si="3"/>
        <v>1</v>
      </c>
      <c r="AB33" s="1578">
        <f t="shared" si="4"/>
        <v>1</v>
      </c>
      <c r="AC33" s="1578">
        <f t="shared" si="5"/>
        <v>1.0204081632653061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43"/>
      <c r="M34" s="2133"/>
      <c r="N34" s="2133"/>
      <c r="O34" s="2142"/>
      <c r="P34" s="3397"/>
      <c r="Q34" s="1574" t="str">
        <f t="shared" si="8"/>
        <v>毗邻道路的类型与等级</v>
      </c>
      <c r="R34" s="1575" t="s">
        <v>8</v>
      </c>
      <c r="S34" s="1576">
        <f t="shared" si="10"/>
        <v>100</v>
      </c>
      <c r="T34" s="1575" t="s">
        <v>8</v>
      </c>
      <c r="U34" s="1576">
        <f t="shared" si="11"/>
        <v>100</v>
      </c>
      <c r="V34" s="1575" t="s">
        <v>8</v>
      </c>
      <c r="W34" s="1576">
        <f t="shared" si="12"/>
        <v>100</v>
      </c>
      <c r="X34" s="1569"/>
      <c r="Y34" s="3397"/>
      <c r="Z34" s="1577" t="str">
        <f t="shared" si="13"/>
        <v>毗邻道路的类型与等级</v>
      </c>
      <c r="AA34" s="1578">
        <f t="shared" si="3"/>
        <v>1</v>
      </c>
      <c r="AB34" s="1578">
        <f t="shared" si="4"/>
        <v>1</v>
      </c>
      <c r="AC34" s="1578">
        <f t="shared" si="5"/>
        <v>1</v>
      </c>
    </row>
    <row r="35" spans="1:29" ht="21" thickBot="1">
      <c r="A35" s="535"/>
      <c r="B35" s="569"/>
      <c r="C35" s="557" t="s">
        <v>3064</v>
      </c>
      <c r="D35" s="560"/>
      <c r="E35" s="557" t="s">
        <v>3064</v>
      </c>
      <c r="F35" s="558"/>
      <c r="G35" s="557" t="s">
        <v>3064</v>
      </c>
      <c r="H35" s="558"/>
      <c r="I35" s="557" t="s">
        <v>3064</v>
      </c>
      <c r="J35" s="558"/>
      <c r="K35" s="584"/>
      <c r="L35" s="2143"/>
      <c r="M35" s="2133"/>
      <c r="N35" s="2133"/>
      <c r="O35" s="2142"/>
      <c r="P35" s="3397"/>
      <c r="Q35" s="1574"/>
      <c r="R35" s="1575"/>
      <c r="S35" s="1576"/>
      <c r="T35" s="1575"/>
      <c r="U35" s="1576"/>
      <c r="V35" s="1575"/>
      <c r="W35" s="1576"/>
      <c r="X35" s="1569"/>
      <c r="Y35" s="3397"/>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3"/>
      <c r="M36" s="2133"/>
      <c r="N36" s="2133"/>
      <c r="O36" s="2142"/>
      <c r="P36" s="3397"/>
      <c r="Q36" s="1574" t="str">
        <f t="shared" si="8"/>
        <v>土地级别</v>
      </c>
      <c r="R36" s="1575" t="s">
        <v>8</v>
      </c>
      <c r="S36" s="1576">
        <f t="shared" si="10"/>
        <v>100</v>
      </c>
      <c r="T36" s="1575" t="s">
        <v>8</v>
      </c>
      <c r="U36" s="1576">
        <f t="shared" si="11"/>
        <v>100</v>
      </c>
      <c r="V36" s="1575" t="s">
        <v>8</v>
      </c>
      <c r="W36" s="1576">
        <f t="shared" si="12"/>
        <v>100</v>
      </c>
      <c r="X36" s="1569"/>
      <c r="Y36" s="3397"/>
      <c r="Z36" s="1577" t="str">
        <f t="shared" si="13"/>
        <v>土地级别</v>
      </c>
      <c r="AA36" s="1578">
        <f t="shared" si="3"/>
        <v>1</v>
      </c>
      <c r="AB36" s="1578">
        <f t="shared" si="4"/>
        <v>1</v>
      </c>
      <c r="AC36" s="1578">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3"/>
      <c r="M37" s="2133"/>
      <c r="N37" s="2133"/>
      <c r="O37" s="2142"/>
      <c r="P37" s="3397"/>
      <c r="Q37" s="1574">
        <f t="shared" si="8"/>
        <v>111</v>
      </c>
      <c r="R37" s="1575" t="s">
        <v>8</v>
      </c>
      <c r="S37" s="1576">
        <f t="shared" si="10"/>
        <v>100</v>
      </c>
      <c r="T37" s="1575" t="s">
        <v>8</v>
      </c>
      <c r="U37" s="1576">
        <f t="shared" si="11"/>
        <v>100</v>
      </c>
      <c r="V37" s="1575" t="s">
        <v>8</v>
      </c>
      <c r="W37" s="1576">
        <f t="shared" si="12"/>
        <v>100</v>
      </c>
      <c r="X37" s="1569"/>
      <c r="Y37" s="3397"/>
      <c r="Z37" s="1577">
        <f t="shared" si="13"/>
        <v>111</v>
      </c>
      <c r="AA37" s="1578">
        <f t="shared" si="3"/>
        <v>1</v>
      </c>
      <c r="AB37" s="1578">
        <f t="shared" si="4"/>
        <v>1</v>
      </c>
      <c r="AC37" s="1578">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3"/>
      <c r="M38" s="2133"/>
      <c r="N38" s="2133"/>
      <c r="O38" s="2142"/>
      <c r="P38" s="3398" t="s">
        <v>551</v>
      </c>
      <c r="Q38" s="1574">
        <f t="shared" si="8"/>
        <v>111</v>
      </c>
      <c r="R38" s="1575" t="s">
        <v>8</v>
      </c>
      <c r="S38" s="1576">
        <f t="shared" si="10"/>
        <v>100</v>
      </c>
      <c r="T38" s="1575" t="s">
        <v>8</v>
      </c>
      <c r="U38" s="1576">
        <f t="shared" si="11"/>
        <v>100</v>
      </c>
      <c r="V38" s="1575" t="s">
        <v>8</v>
      </c>
      <c r="W38" s="1576">
        <f t="shared" si="12"/>
        <v>100</v>
      </c>
      <c r="X38" s="1569"/>
      <c r="Y38" s="3399" t="s">
        <v>551</v>
      </c>
      <c r="Z38" s="1577">
        <f t="shared" si="13"/>
        <v>111</v>
      </c>
      <c r="AA38" s="1578">
        <f t="shared" si="3"/>
        <v>1</v>
      </c>
      <c r="AB38" s="1578">
        <f t="shared" si="4"/>
        <v>1</v>
      </c>
      <c r="AC38" s="1578">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1"/>
      <c r="M39" s="2133"/>
      <c r="N39" s="2133"/>
      <c r="O39" s="2144"/>
      <c r="P39" s="3399"/>
      <c r="Q39" s="1574">
        <f t="shared" si="8"/>
        <v>111</v>
      </c>
      <c r="R39" s="1579" t="s">
        <v>8</v>
      </c>
      <c r="S39" s="1580">
        <f t="shared" si="10"/>
        <v>100</v>
      </c>
      <c r="T39" s="1579" t="s">
        <v>8</v>
      </c>
      <c r="U39" s="1580">
        <f t="shared" si="11"/>
        <v>100</v>
      </c>
      <c r="V39" s="1579" t="s">
        <v>8</v>
      </c>
      <c r="W39" s="1580">
        <f t="shared" si="12"/>
        <v>100</v>
      </c>
      <c r="X39" s="1581"/>
      <c r="Y39" s="3399"/>
      <c r="Z39" s="1582">
        <f t="shared" si="13"/>
        <v>111</v>
      </c>
      <c r="AA39" s="1578">
        <f t="shared" si="3"/>
        <v>1</v>
      </c>
      <c r="AB39" s="1578">
        <f t="shared" si="4"/>
        <v>1</v>
      </c>
      <c r="AC39" s="1578">
        <f t="shared" si="5"/>
        <v>1</v>
      </c>
    </row>
    <row r="40" spans="1:29" ht="20.25">
      <c r="A40" s="2934" t="s">
        <v>2762</v>
      </c>
      <c r="B40" s="598" t="s">
        <v>553</v>
      </c>
      <c r="C40" s="599">
        <f>'数据-基础表'!A3</f>
        <v>97754.959999999992</v>
      </c>
      <c r="D40" s="600">
        <v>100</v>
      </c>
      <c r="E40" s="599">
        <v>60373.71</v>
      </c>
      <c r="F40" s="600">
        <f>LOOKUP(E40,119:119,120:120)-LOOKUP(C40,119:119,120:120)+100</f>
        <v>100</v>
      </c>
      <c r="G40" s="599">
        <v>42338.71</v>
      </c>
      <c r="H40" s="600">
        <f>LOOKUP(G40,119:119,120:120)-LOOKUP(C40,119:119,120:120)+100</f>
        <v>99</v>
      </c>
      <c r="I40" s="601">
        <v>252403</v>
      </c>
      <c r="J40" s="600">
        <f>LOOKUP(I40,119:119,120:120)-LOOKUP(C40,119:119,120:120)+100</f>
        <v>102</v>
      </c>
      <c r="K40" s="584"/>
      <c r="L40" s="2143"/>
      <c r="M40" s="2133"/>
      <c r="N40" s="2133"/>
      <c r="O40" s="2142"/>
      <c r="P40" s="3399"/>
      <c r="Q40" s="1574" t="str">
        <f>B40</f>
        <v>宗地面积</v>
      </c>
      <c r="R40" s="1575" t="s">
        <v>8</v>
      </c>
      <c r="S40" s="1576">
        <f t="shared" si="10"/>
        <v>100</v>
      </c>
      <c r="T40" s="1575" t="s">
        <v>8</v>
      </c>
      <c r="U40" s="1576">
        <f t="shared" si="11"/>
        <v>99</v>
      </c>
      <c r="V40" s="1575" t="s">
        <v>8</v>
      </c>
      <c r="W40" s="1576">
        <f t="shared" si="12"/>
        <v>102</v>
      </c>
      <c r="X40" s="1569"/>
      <c r="Y40" s="3399"/>
      <c r="Z40" s="1577" t="str">
        <f t="shared" si="13"/>
        <v>宗地面积</v>
      </c>
      <c r="AA40" s="1578">
        <f t="shared" si="3"/>
        <v>1</v>
      </c>
      <c r="AB40" s="1578">
        <f t="shared" si="4"/>
        <v>1.0101010101010102</v>
      </c>
      <c r="AC40" s="1578">
        <f t="shared" si="5"/>
        <v>0.98039215686274506</v>
      </c>
    </row>
    <row r="41" spans="1:29" ht="20.25">
      <c r="A41" s="597"/>
      <c r="B41" s="530" t="s">
        <v>554</v>
      </c>
      <c r="C41" s="602" t="s">
        <v>3066</v>
      </c>
      <c r="D41" s="543">
        <v>100</v>
      </c>
      <c r="E41" s="602" t="s">
        <v>3066</v>
      </c>
      <c r="F41" s="543">
        <f>SUMIF(121:121,E41,122:122)-SUMIF(121:121,C41,122:122)+100</f>
        <v>100</v>
      </c>
      <c r="G41" s="602" t="s">
        <v>3066</v>
      </c>
      <c r="H41" s="543">
        <f>SUMIF(121:121,G41,122:122)-SUMIF(121:121,C41,122:122)+100</f>
        <v>100</v>
      </c>
      <c r="I41" s="602" t="s">
        <v>3066</v>
      </c>
      <c r="J41" s="543">
        <f>SUMIF(121:121,I41,122:122)-SUMIF(121:121,C41,122:122)+100</f>
        <v>100</v>
      </c>
      <c r="K41" s="587"/>
      <c r="L41" s="2143"/>
      <c r="M41" s="2133"/>
      <c r="N41" s="2133"/>
      <c r="O41" s="2142"/>
      <c r="P41" s="3399"/>
      <c r="Q41" s="1574" t="str">
        <f t="shared" ref="Q41:Q47" si="14">B41</f>
        <v>宗地形状</v>
      </c>
      <c r="R41" s="1575" t="s">
        <v>8</v>
      </c>
      <c r="S41" s="1576">
        <f t="shared" si="10"/>
        <v>100</v>
      </c>
      <c r="T41" s="1575" t="s">
        <v>8</v>
      </c>
      <c r="U41" s="1576">
        <f t="shared" si="11"/>
        <v>100</v>
      </c>
      <c r="V41" s="1575" t="s">
        <v>8</v>
      </c>
      <c r="W41" s="1576">
        <f t="shared" si="12"/>
        <v>100</v>
      </c>
      <c r="X41" s="1569"/>
      <c r="Y41" s="3399"/>
      <c r="Z41" s="1577" t="str">
        <f t="shared" si="13"/>
        <v>宗地形状</v>
      </c>
      <c r="AA41" s="1578">
        <f t="shared" si="3"/>
        <v>1</v>
      </c>
      <c r="AB41" s="1578">
        <f t="shared" si="4"/>
        <v>1</v>
      </c>
      <c r="AC41" s="1578">
        <f t="shared" si="5"/>
        <v>1</v>
      </c>
    </row>
    <row r="42" spans="1:29" ht="20.25">
      <c r="A42" s="597"/>
      <c r="B42" s="530" t="s">
        <v>555</v>
      </c>
      <c r="C42" s="602" t="s">
        <v>3068</v>
      </c>
      <c r="D42" s="543">
        <v>100</v>
      </c>
      <c r="E42" s="602" t="s">
        <v>3068</v>
      </c>
      <c r="F42" s="543">
        <f>SUMIF(123:123,E42,124:124)-SUMIF(123:123,C42,124:124)+100</f>
        <v>100</v>
      </c>
      <c r="G42" s="602" t="s">
        <v>3068</v>
      </c>
      <c r="H42" s="543">
        <f>SUMIF(123:123,G42,124:124)-SUMIF(123:123,C42,124:124)+100</f>
        <v>100</v>
      </c>
      <c r="I42" s="602" t="s">
        <v>3068</v>
      </c>
      <c r="J42" s="543">
        <f>SUMIF(123:123,I42,124:124)-SUMIF(123:123,C42,124:124)+100</f>
        <v>100</v>
      </c>
      <c r="K42" s="587"/>
      <c r="L42" s="2143"/>
      <c r="M42" s="2133"/>
      <c r="N42" s="2133"/>
      <c r="O42" s="2142"/>
      <c r="P42" s="3399"/>
      <c r="Q42" s="1574" t="str">
        <f t="shared" si="14"/>
        <v>临街宽度及深度</v>
      </c>
      <c r="R42" s="1575" t="s">
        <v>8</v>
      </c>
      <c r="S42" s="1576">
        <f t="shared" si="10"/>
        <v>100</v>
      </c>
      <c r="T42" s="1575" t="s">
        <v>8</v>
      </c>
      <c r="U42" s="1576">
        <f t="shared" si="11"/>
        <v>100</v>
      </c>
      <c r="V42" s="1575" t="s">
        <v>8</v>
      </c>
      <c r="W42" s="1576">
        <f t="shared" si="12"/>
        <v>100</v>
      </c>
      <c r="X42" s="1569"/>
      <c r="Y42" s="3399"/>
      <c r="Z42" s="1577" t="str">
        <f t="shared" si="13"/>
        <v>临街宽度及深度</v>
      </c>
      <c r="AA42" s="1578">
        <f t="shared" si="3"/>
        <v>1</v>
      </c>
      <c r="AB42" s="1578">
        <f t="shared" si="4"/>
        <v>1</v>
      </c>
      <c r="AC42" s="1578">
        <f t="shared" si="5"/>
        <v>1</v>
      </c>
    </row>
    <row r="43" spans="1:29" s="1222" customFormat="1" ht="20.25">
      <c r="A43" s="603"/>
      <c r="B43" s="1896" t="s">
        <v>2429</v>
      </c>
      <c r="C43" s="604" t="s">
        <v>3060</v>
      </c>
      <c r="D43" s="255">
        <v>100</v>
      </c>
      <c r="E43" s="604" t="s">
        <v>3058</v>
      </c>
      <c r="F43" s="543">
        <f>SUMIF(125:125,E43,126:126)-SUMIF(125:125,C43,126:126)+100</f>
        <v>104</v>
      </c>
      <c r="G43" s="604" t="s">
        <v>3060</v>
      </c>
      <c r="H43" s="543">
        <f>SUMIF(125:125,G43,126:126)-SUMIF(125:125,C43,126:126)+100</f>
        <v>100</v>
      </c>
      <c r="I43" s="604" t="s">
        <v>3058</v>
      </c>
      <c r="J43" s="543">
        <f>SUMIF(125:125,I43,126:126)-SUMIF(125:125,C43,126:126)+100</f>
        <v>104</v>
      </c>
      <c r="K43" s="587">
        <v>2</v>
      </c>
      <c r="L43" s="2136"/>
      <c r="M43" s="2133"/>
      <c r="N43" s="2133"/>
      <c r="O43" s="2138"/>
      <c r="P43" s="3399"/>
      <c r="Q43" s="1574" t="str">
        <f t="shared" si="14"/>
        <v>宗地开发程度</v>
      </c>
      <c r="R43" s="1570" t="s">
        <v>8</v>
      </c>
      <c r="S43" s="1571">
        <f t="shared" si="10"/>
        <v>104</v>
      </c>
      <c r="T43" s="1570" t="s">
        <v>8</v>
      </c>
      <c r="U43" s="1571">
        <f t="shared" si="11"/>
        <v>100</v>
      </c>
      <c r="V43" s="1570" t="s">
        <v>8</v>
      </c>
      <c r="W43" s="1571">
        <f t="shared" si="12"/>
        <v>104</v>
      </c>
      <c r="X43" s="1572"/>
      <c r="Y43" s="3399"/>
      <c r="Z43" s="1152" t="str">
        <f t="shared" si="13"/>
        <v>宗地开发程度</v>
      </c>
      <c r="AA43" s="1573">
        <f t="shared" si="3"/>
        <v>0.96153846153846156</v>
      </c>
      <c r="AB43" s="1573">
        <f t="shared" si="4"/>
        <v>1</v>
      </c>
      <c r="AC43" s="1573">
        <f t="shared" si="5"/>
        <v>0.96153846153846156</v>
      </c>
    </row>
    <row r="44" spans="1:29" ht="21" thickBot="1">
      <c r="A44" s="597"/>
      <c r="B44" s="530" t="s">
        <v>556</v>
      </c>
      <c r="C44" s="602" t="s">
        <v>3032</v>
      </c>
      <c r="D44" s="543">
        <v>100</v>
      </c>
      <c r="E44" s="602" t="s">
        <v>3032</v>
      </c>
      <c r="F44" s="543">
        <f>SUMIF(127:127,E44,128:128)-SUMIF(127:127,C44,128:128)+100</f>
        <v>100</v>
      </c>
      <c r="G44" s="602" t="s">
        <v>3032</v>
      </c>
      <c r="H44" s="543">
        <f>SUMIF(127:127,G44,128:128)-SUMIF(127:127,C44,128:128)+100</f>
        <v>100</v>
      </c>
      <c r="I44" s="602" t="s">
        <v>3032</v>
      </c>
      <c r="J44" s="543">
        <f>SUMIF(127:127,I44,128:128)-SUMIF(127:127,C44,128:128)+100</f>
        <v>100</v>
      </c>
      <c r="K44" s="587"/>
      <c r="L44" s="2143"/>
      <c r="M44" s="2133"/>
      <c r="N44" s="2133"/>
      <c r="O44" s="2142"/>
      <c r="P44" s="3399" t="s">
        <v>551</v>
      </c>
      <c r="Q44" s="1574" t="str">
        <f t="shared" si="14"/>
        <v>工程地质条件</v>
      </c>
      <c r="R44" s="1575" t="s">
        <v>8</v>
      </c>
      <c r="S44" s="1576">
        <f t="shared" si="10"/>
        <v>100</v>
      </c>
      <c r="T44" s="1575" t="s">
        <v>8</v>
      </c>
      <c r="U44" s="1576">
        <f t="shared" si="11"/>
        <v>100</v>
      </c>
      <c r="V44" s="1575" t="s">
        <v>8</v>
      </c>
      <c r="W44" s="1576">
        <f t="shared" si="12"/>
        <v>100</v>
      </c>
      <c r="X44" s="1569"/>
      <c r="Y44" s="3399" t="s">
        <v>551</v>
      </c>
      <c r="Z44" s="1577" t="str">
        <f t="shared" si="13"/>
        <v>工程地质条件</v>
      </c>
      <c r="AA44" s="1578">
        <f t="shared" si="3"/>
        <v>1</v>
      </c>
      <c r="AB44" s="1578">
        <f t="shared" si="4"/>
        <v>1</v>
      </c>
      <c r="AC44" s="1578">
        <f t="shared" si="5"/>
        <v>1</v>
      </c>
    </row>
    <row r="45" spans="1:29" ht="21.75" thickTop="1" thickBot="1">
      <c r="A45" s="597"/>
      <c r="B45" s="3178" t="s">
        <v>3053</v>
      </c>
      <c r="C45" s="3179" t="s">
        <v>3054</v>
      </c>
      <c r="D45" s="543">
        <v>100</v>
      </c>
      <c r="E45" s="3179" t="s">
        <v>3055</v>
      </c>
      <c r="F45" s="543">
        <f>SUMIF(129:129,E45,130:130)-SUMIF(129:129,C45,130:130)+100</f>
        <v>90</v>
      </c>
      <c r="G45" s="3179" t="s">
        <v>3054</v>
      </c>
      <c r="H45" s="543">
        <f>SUMIF(129:129,G45,130:130)-SUMIF(129:129,C45,130:130)+100</f>
        <v>100</v>
      </c>
      <c r="I45" s="3179" t="s">
        <v>3054</v>
      </c>
      <c r="J45" s="543">
        <f>SUMIF(129:129,I45,130:130)-SUMIF(129:129,C45,130:130)+100</f>
        <v>100</v>
      </c>
      <c r="K45" s="584"/>
      <c r="L45" s="2143"/>
      <c r="M45" s="2133"/>
      <c r="N45" s="2133"/>
      <c r="O45" s="2142"/>
      <c r="P45" s="3399"/>
      <c r="Q45" s="1574" t="str">
        <f t="shared" si="14"/>
        <v>居住品质</v>
      </c>
      <c r="R45" s="1575" t="s">
        <v>8</v>
      </c>
      <c r="S45" s="1576">
        <f t="shared" si="10"/>
        <v>90</v>
      </c>
      <c r="T45" s="1575" t="s">
        <v>8</v>
      </c>
      <c r="U45" s="1576">
        <f t="shared" si="11"/>
        <v>100</v>
      </c>
      <c r="V45" s="1575" t="s">
        <v>8</v>
      </c>
      <c r="W45" s="1576">
        <f t="shared" si="12"/>
        <v>100</v>
      </c>
      <c r="X45" s="1569"/>
      <c r="Y45" s="3399"/>
      <c r="Z45" s="1577" t="str">
        <f t="shared" si="13"/>
        <v>居住品质</v>
      </c>
      <c r="AA45" s="1578">
        <f t="shared" si="3"/>
        <v>1.1111111111111112</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3"/>
      <c r="M46" s="2133"/>
      <c r="N46" s="2133"/>
      <c r="O46" s="2142"/>
      <c r="P46" s="3399"/>
      <c r="Q46" s="1574">
        <f t="shared" si="14"/>
        <v>0</v>
      </c>
      <c r="R46" s="1575" t="s">
        <v>8</v>
      </c>
      <c r="S46" s="1576">
        <f t="shared" si="10"/>
        <v>100</v>
      </c>
      <c r="T46" s="1575" t="s">
        <v>8</v>
      </c>
      <c r="U46" s="1576">
        <f t="shared" si="11"/>
        <v>100</v>
      </c>
      <c r="V46" s="1575" t="s">
        <v>8</v>
      </c>
      <c r="W46" s="1576">
        <f t="shared" si="12"/>
        <v>100</v>
      </c>
      <c r="X46" s="1569"/>
      <c r="Y46" s="3399"/>
      <c r="Z46" s="1577">
        <f t="shared" si="13"/>
        <v>0</v>
      </c>
      <c r="AA46" s="1578">
        <f t="shared" si="3"/>
        <v>1</v>
      </c>
      <c r="AB46" s="1578">
        <f t="shared" si="4"/>
        <v>1</v>
      </c>
      <c r="AC46" s="1578">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1"/>
      <c r="M47" s="2133"/>
      <c r="N47" s="2133"/>
      <c r="O47" s="2144"/>
      <c r="P47" s="3399"/>
      <c r="Q47" s="1574">
        <f t="shared" si="14"/>
        <v>0</v>
      </c>
      <c r="R47" s="1579" t="s">
        <v>8</v>
      </c>
      <c r="S47" s="1580">
        <f t="shared" si="10"/>
        <v>100</v>
      </c>
      <c r="T47" s="1579" t="s">
        <v>8</v>
      </c>
      <c r="U47" s="1580">
        <f t="shared" si="11"/>
        <v>100</v>
      </c>
      <c r="V47" s="1579" t="s">
        <v>8</v>
      </c>
      <c r="W47" s="1580">
        <f t="shared" si="12"/>
        <v>100</v>
      </c>
      <c r="X47" s="1581"/>
      <c r="Y47" s="3399"/>
      <c r="Z47" s="1582">
        <f t="shared" si="13"/>
        <v>0</v>
      </c>
      <c r="AA47" s="1578">
        <f t="shared" si="3"/>
        <v>1</v>
      </c>
      <c r="AB47" s="1578">
        <f t="shared" si="4"/>
        <v>1</v>
      </c>
      <c r="AC47" s="1578">
        <f t="shared" si="5"/>
        <v>1</v>
      </c>
    </row>
    <row r="48" spans="1:29" ht="19.5" customHeight="1">
      <c r="A48" s="610" t="s">
        <v>557</v>
      </c>
      <c r="B48" s="611" t="s">
        <v>3031</v>
      </c>
      <c r="C48" s="612" t="s">
        <v>1</v>
      </c>
      <c r="D48" s="613"/>
      <c r="E48" s="614">
        <v>7385</v>
      </c>
      <c r="F48" s="615"/>
      <c r="G48" s="616">
        <v>9108</v>
      </c>
      <c r="H48" s="617"/>
      <c r="I48" s="614">
        <v>9005</v>
      </c>
      <c r="J48" s="617"/>
      <c r="K48" s="1342"/>
      <c r="L48" s="2145"/>
      <c r="M48" s="2133"/>
      <c r="N48" s="2133"/>
      <c r="O48" s="2146"/>
      <c r="P48" s="3360" t="str">
        <f>A48</f>
        <v>成交单价</v>
      </c>
      <c r="Q48" s="3360"/>
      <c r="R48" s="3361">
        <f>E48</f>
        <v>7385</v>
      </c>
      <c r="S48" s="3361"/>
      <c r="T48" s="3361">
        <f>G48</f>
        <v>9108</v>
      </c>
      <c r="U48" s="3361"/>
      <c r="V48" s="3361">
        <f>I48</f>
        <v>9005</v>
      </c>
      <c r="W48" s="3361"/>
      <c r="X48" s="1561"/>
      <c r="Y48" s="1583"/>
      <c r="Z48" s="1561"/>
      <c r="AA48" s="1561"/>
      <c r="AB48" s="1561"/>
      <c r="AC48" s="1561"/>
    </row>
    <row r="49" spans="1:29" ht="21" thickBot="1">
      <c r="A49" s="618" t="s">
        <v>2700</v>
      </c>
      <c r="B49" s="619"/>
      <c r="C49" s="620">
        <f>R50</f>
        <v>7918</v>
      </c>
      <c r="D49" s="621"/>
      <c r="E49" s="620">
        <f>R49</f>
        <v>7224</v>
      </c>
      <c r="F49" s="622"/>
      <c r="G49" s="623">
        <f>T49</f>
        <v>8597</v>
      </c>
      <c r="H49" s="621"/>
      <c r="I49" s="620">
        <f>V49</f>
        <v>7932</v>
      </c>
      <c r="J49" s="621"/>
      <c r="K49" s="1343"/>
      <c r="L49" s="2145"/>
      <c r="M49" s="2133"/>
      <c r="N49" s="2133"/>
      <c r="O49" s="2146"/>
      <c r="P49" s="3360" t="str">
        <f>A49</f>
        <v>比较价格（元/平方米）</v>
      </c>
      <c r="Q49" s="3360"/>
      <c r="R49" s="3362">
        <f>ROUND(PRODUCT(R48,AA9:AA47),0)</f>
        <v>7224</v>
      </c>
      <c r="S49" s="3362"/>
      <c r="T49" s="3362">
        <f>ROUND(PRODUCT(T48,AB9:AB47),0)</f>
        <v>8597</v>
      </c>
      <c r="U49" s="3362"/>
      <c r="V49" s="3362">
        <f>ROUND(PRODUCT(V48,AC9:AC47),0)</f>
        <v>7932</v>
      </c>
      <c r="W49" s="3362"/>
      <c r="X49" s="1561"/>
      <c r="Y49" s="1561"/>
      <c r="Z49" s="1561"/>
      <c r="AA49" s="1561"/>
      <c r="AB49" s="1561"/>
      <c r="AC49" s="1561"/>
    </row>
    <row r="50" spans="1:29" ht="21" hidden="1" thickBot="1">
      <c r="A50" s="624" t="s">
        <v>2940</v>
      </c>
      <c r="B50" s="625"/>
      <c r="C50" s="626">
        <f>R50</f>
        <v>7918</v>
      </c>
      <c r="D50" s="626"/>
      <c r="E50" s="626"/>
      <c r="F50" s="626"/>
      <c r="G50" s="626"/>
      <c r="H50" s="626"/>
      <c r="I50" s="626"/>
      <c r="J50" s="626"/>
      <c r="K50" s="1344"/>
      <c r="L50" s="2145"/>
      <c r="M50" s="2133"/>
      <c r="N50" s="2133"/>
      <c r="O50" s="2146"/>
      <c r="P50" s="3357" t="str">
        <f>A50</f>
        <v>估价对象XX用房的比较价格（楼面单价，元/平方米）</v>
      </c>
      <c r="Q50" s="3358"/>
      <c r="R50" s="3359">
        <f>ROUND(AVERAGE(R49:V49),0)</f>
        <v>7918</v>
      </c>
      <c r="S50" s="3359"/>
      <c r="T50" s="3359"/>
      <c r="U50" s="3359"/>
      <c r="V50" s="3359"/>
      <c r="W50" s="3359"/>
      <c r="X50" s="1561"/>
      <c r="Y50" s="1561"/>
      <c r="Z50" s="1561"/>
      <c r="AA50" s="1561"/>
      <c r="AB50" s="1561"/>
      <c r="AC50" s="1561"/>
    </row>
    <row r="51" spans="1:29" ht="20.25" hidden="1">
      <c r="A51" s="2146"/>
      <c r="B51" s="2146"/>
      <c r="C51" s="2146"/>
      <c r="D51" s="2146"/>
      <c r="E51" s="2146"/>
      <c r="F51" s="2146"/>
      <c r="G51" s="2149"/>
      <c r="H51" s="2146"/>
      <c r="I51" s="2146"/>
      <c r="J51" s="2146"/>
      <c r="K51" s="2150"/>
      <c r="L51" s="2151"/>
      <c r="M51" s="2133"/>
      <c r="N51" s="2133"/>
      <c r="O51" s="2146"/>
      <c r="P51" s="1561"/>
      <c r="Q51" s="2146"/>
      <c r="R51" s="2146"/>
      <c r="S51" s="2146"/>
      <c r="T51" s="2146"/>
      <c r="U51" s="2146"/>
      <c r="V51" s="2146"/>
      <c r="W51" s="2146"/>
      <c r="X51" s="2146"/>
      <c r="Y51" s="2146"/>
      <c r="Z51" s="2146"/>
      <c r="AA51" s="2146"/>
      <c r="AB51" s="2146"/>
      <c r="AC51" s="2146"/>
    </row>
    <row r="52" spans="1:29" ht="20.25" hidden="1">
      <c r="A52" s="2146"/>
      <c r="B52" s="2146"/>
      <c r="C52" s="2146"/>
      <c r="D52" s="2146"/>
      <c r="E52" s="2146"/>
      <c r="F52" s="2146"/>
      <c r="G52" s="2146"/>
      <c r="H52" s="2146"/>
      <c r="I52" s="2146"/>
      <c r="J52" s="2146"/>
      <c r="K52" s="2150"/>
      <c r="L52" s="2151"/>
      <c r="M52" s="2133"/>
      <c r="N52" s="2133"/>
      <c r="O52" s="2146"/>
      <c r="P52" s="1561"/>
      <c r="Q52" s="2146"/>
      <c r="R52" s="2146"/>
      <c r="S52" s="2146"/>
      <c r="T52" s="2146"/>
      <c r="U52" s="2146"/>
      <c r="V52" s="2146"/>
      <c r="W52" s="2146"/>
      <c r="X52" s="2146"/>
      <c r="Y52" s="2146"/>
      <c r="Z52" s="2146"/>
      <c r="AA52" s="2146"/>
      <c r="AB52" s="2146"/>
      <c r="AC52" s="2146"/>
    </row>
    <row r="53" spans="1:29" ht="13.5" customHeight="1">
      <c r="A53" s="2146"/>
      <c r="B53" s="2146"/>
      <c r="C53" s="627" t="s">
        <v>558</v>
      </c>
      <c r="D53" s="628"/>
      <c r="E53" s="629">
        <f>IF(E48&lt;E49,E49/E48-1,E48/E49-1)</f>
        <v>2.2286821705426396E-2</v>
      </c>
      <c r="F53" s="630" t="str">
        <f>IF(OR(E53&gt;=0.3,E53&lt;=-0.3),"超过30%","")</f>
        <v/>
      </c>
      <c r="G53" s="629">
        <f>IF(G48&lt;G49,G49/G48-1,G48/G49-1)</f>
        <v>5.9439339304408589E-2</v>
      </c>
      <c r="H53" s="630" t="str">
        <f>IF(OR(G53&gt;=0.3,G53&lt;=-0.3),"超过30%","")</f>
        <v/>
      </c>
      <c r="I53" s="629">
        <f>IF(I48&lt;I49,I49/I48-1,I48/I49-1)</f>
        <v>0.13527483610690871</v>
      </c>
      <c r="J53" s="630" t="str">
        <f>IF(OR(I53&gt;=0.3,I53&lt;=-0.3),"超过30%","")</f>
        <v/>
      </c>
      <c r="K53" s="2150"/>
      <c r="L53" s="2151"/>
      <c r="M53" s="2133"/>
      <c r="N53" s="2133"/>
      <c r="O53" s="2146"/>
      <c r="P53" s="1561"/>
      <c r="Q53" s="2146"/>
      <c r="R53" s="2146"/>
      <c r="S53" s="2146"/>
      <c r="T53" s="2146"/>
      <c r="U53" s="2146"/>
      <c r="V53" s="2146"/>
      <c r="W53" s="2146"/>
      <c r="X53" s="2146"/>
      <c r="Y53" s="2146"/>
      <c r="Z53" s="2146"/>
      <c r="AA53" s="2146"/>
      <c r="AB53" s="2146"/>
      <c r="AC53" s="2146"/>
    </row>
    <row r="54" spans="1:29" ht="13.5" customHeight="1">
      <c r="A54" s="2146"/>
      <c r="B54" s="2146"/>
      <c r="C54" s="627" t="s">
        <v>559</v>
      </c>
      <c r="D54" s="631"/>
      <c r="E54" s="629">
        <f>IF(E49&lt;G49,G49/E49-1,E49/G49-1)</f>
        <v>0.19006090808416398</v>
      </c>
      <c r="F54" s="630" t="str">
        <f>IF(OR(E54&gt;=0.2,E54&lt;=-0.2),"超过20%","")</f>
        <v/>
      </c>
      <c r="G54" s="629">
        <f>IF(G49&lt;I49,I49/G49-1,G49/I49-1)</f>
        <v>8.3837619768028171E-2</v>
      </c>
      <c r="H54" s="630" t="str">
        <f>IF(OR(G54&gt;=0.2,G54&lt;=-0.2),"超过20%","")</f>
        <v/>
      </c>
      <c r="I54" s="629">
        <f>IF(I49&lt;E49,E49/I49-1,I49/E49-1)</f>
        <v>9.8006644518272346E-2</v>
      </c>
      <c r="J54" s="630" t="str">
        <f>IF(OR(I54&gt;=0.2,I54&lt;=-0.2),"超过20%","")</f>
        <v/>
      </c>
      <c r="K54" s="2150"/>
      <c r="L54" s="2151"/>
      <c r="M54" s="2133"/>
      <c r="N54" s="2133"/>
      <c r="O54" s="2146"/>
      <c r="P54" s="1561"/>
      <c r="Q54" s="2146"/>
      <c r="R54" s="2146"/>
      <c r="S54" s="2146"/>
      <c r="T54" s="2146"/>
      <c r="U54" s="2146"/>
      <c r="V54" s="2146"/>
      <c r="W54" s="2146"/>
      <c r="X54" s="2146"/>
      <c r="Y54" s="2146"/>
      <c r="Z54" s="2146"/>
      <c r="AA54" s="2146"/>
      <c r="AB54" s="2146"/>
      <c r="AC54" s="2146"/>
    </row>
    <row r="55" spans="1:29" s="1347" customFormat="1" ht="13.5" customHeight="1" thickBot="1">
      <c r="A55" s="2147"/>
      <c r="B55" s="2147"/>
      <c r="C55" s="627" t="s">
        <v>560</v>
      </c>
      <c r="D55" s="631"/>
      <c r="E55" s="629">
        <f>IF(E48&lt;G48,G48/E48-1,E48/G48-1)</f>
        <v>0.23331076506431958</v>
      </c>
      <c r="F55" s="630" t="str">
        <f>IF(OR(E55&gt;=0.3,E55&lt;=-0.3),"超过30%","")</f>
        <v/>
      </c>
      <c r="G55" s="629">
        <f>IF(G48&lt;I48,I48/G48-1,G48/I48-1)</f>
        <v>1.1438089950027708E-2</v>
      </c>
      <c r="H55" s="630" t="str">
        <f>IF(OR(G55&gt;=0.3,G55&lt;=-0.3),"超过30%","")</f>
        <v/>
      </c>
      <c r="I55" s="629">
        <f>IF(I48&lt;E48,E48/I48-1,I48/E48-1)</f>
        <v>0.21936357481381186</v>
      </c>
      <c r="J55" s="630" t="str">
        <f>IF(OR(I55&gt;=0.3,I55&lt;=-0.3),"超过30%","")</f>
        <v/>
      </c>
      <c r="K55" s="2153"/>
      <c r="L55" s="2154"/>
      <c r="M55" s="2133"/>
      <c r="N55" s="2133"/>
      <c r="O55" s="2147"/>
      <c r="P55" s="1559"/>
      <c r="Q55" s="2147"/>
      <c r="R55" s="2147"/>
      <c r="S55" s="2147"/>
      <c r="T55" s="2147"/>
      <c r="U55" s="2147"/>
      <c r="V55" s="2147"/>
      <c r="W55" s="2147"/>
      <c r="X55" s="2147"/>
      <c r="Y55" s="2147"/>
      <c r="Z55" s="2147"/>
      <c r="AA55" s="2147"/>
      <c r="AB55" s="2147"/>
      <c r="AC55" s="2147"/>
    </row>
    <row r="56" spans="1:29" s="1347" customFormat="1" ht="21" hidden="1" thickBot="1">
      <c r="A56" s="2147"/>
      <c r="B56" s="2148"/>
      <c r="C56" s="2152"/>
      <c r="D56" s="2147"/>
      <c r="E56" s="2147"/>
      <c r="F56" s="2147"/>
      <c r="G56" s="2147"/>
      <c r="H56" s="2147"/>
      <c r="I56" s="2147"/>
      <c r="J56" s="2147"/>
      <c r="K56" s="2153"/>
      <c r="L56" s="2154"/>
      <c r="M56" s="2133"/>
      <c r="N56" s="2133"/>
      <c r="O56" s="2147"/>
      <c r="P56" s="1559"/>
      <c r="Q56" s="2147"/>
      <c r="R56" s="2147"/>
      <c r="S56" s="2147"/>
      <c r="T56" s="2147"/>
      <c r="U56" s="2147"/>
      <c r="V56" s="2147"/>
      <c r="W56" s="2147"/>
      <c r="X56" s="2147"/>
      <c r="Y56" s="2147"/>
      <c r="Z56" s="2147"/>
      <c r="AA56" s="2147"/>
      <c r="AB56" s="2147"/>
      <c r="AC56" s="2147"/>
    </row>
    <row r="57" spans="1:29" ht="26.25" customHeight="1">
      <c r="A57" s="632" t="s">
        <v>561</v>
      </c>
      <c r="B57" s="633" t="s">
        <v>562</v>
      </c>
      <c r="C57" s="1562" t="s">
        <v>1726</v>
      </c>
      <c r="D57" s="2228" t="s">
        <v>2297</v>
      </c>
      <c r="E57" s="634" t="s">
        <v>563</v>
      </c>
      <c r="F57" s="635" t="s">
        <v>564</v>
      </c>
      <c r="G57" s="3388" t="s">
        <v>2285</v>
      </c>
      <c r="H57" s="3389"/>
      <c r="I57" s="1557" t="s">
        <v>1724</v>
      </c>
      <c r="J57" s="1557" t="str">
        <f>项目基本情况!F41</f>
        <v>河南省郑州市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8" customFormat="1" ht="12.75">
      <c r="A58" s="636" t="s">
        <v>565</v>
      </c>
      <c r="B58" s="637">
        <f>C50</f>
        <v>7918</v>
      </c>
      <c r="C58" s="638">
        <v>1</v>
      </c>
      <c r="D58" s="2229">
        <v>1</v>
      </c>
      <c r="E58" s="638">
        <f>'数据-汇总表'!E8+'数据-汇总表'!E9</f>
        <v>249160.86</v>
      </c>
      <c r="F58" s="639">
        <f t="shared" ref="F58:F67" si="15">ROUND(B58*E58/10000,0)</f>
        <v>197286</v>
      </c>
      <c r="G58" s="3390"/>
      <c r="H58" s="3391"/>
      <c r="I58" s="1558">
        <v>1</v>
      </c>
      <c r="J58" s="1558">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8" customFormat="1" ht="12.75" hidden="1">
      <c r="A59" s="640" t="s">
        <v>566</v>
      </c>
      <c r="B59" s="641">
        <f>ROUND($C$50*C59*D59,0)</f>
        <v>0</v>
      </c>
      <c r="C59" s="381">
        <f t="shared" ref="C59:C67" si="16">IF($C$57="北京市系数",I59,J59)</f>
        <v>0</v>
      </c>
      <c r="D59" s="2230">
        <v>0.25</v>
      </c>
      <c r="E59" s="642">
        <v>0</v>
      </c>
      <c r="F59" s="639">
        <f t="shared" si="15"/>
        <v>0</v>
      </c>
      <c r="G59" s="3392" t="s">
        <v>2286</v>
      </c>
      <c r="H59" s="1949">
        <f>项目基本情况!B43</f>
        <v>0</v>
      </c>
      <c r="I59" s="1558">
        <f>SUMIF(修正!$A$45:$A$56,H59,修正!B45:B56)</f>
        <v>0</v>
      </c>
      <c r="J59" s="1560"/>
      <c r="K59" s="2156"/>
      <c r="L59" s="2156"/>
      <c r="M59" s="2156"/>
      <c r="N59" s="2156"/>
      <c r="O59" s="2156"/>
      <c r="P59" s="2156"/>
      <c r="Q59" s="2156"/>
      <c r="R59" s="2156"/>
      <c r="S59" s="2156"/>
      <c r="T59" s="2156"/>
      <c r="U59" s="2156"/>
      <c r="V59" s="2156"/>
      <c r="W59" s="2156"/>
      <c r="X59" s="2156"/>
      <c r="Y59" s="2156"/>
      <c r="Z59" s="2156"/>
      <c r="AA59" s="2156"/>
      <c r="AB59" s="2156"/>
      <c r="AC59" s="2156"/>
    </row>
    <row r="60" spans="1:29" s="1348" customFormat="1" ht="12.75" hidden="1">
      <c r="A60" s="640" t="s">
        <v>567</v>
      </c>
      <c r="B60" s="641">
        <f t="shared" ref="B60:B67" si="17">ROUND($C$50*C60*D60,0)</f>
        <v>0</v>
      </c>
      <c r="C60" s="381">
        <f t="shared" si="16"/>
        <v>0</v>
      </c>
      <c r="D60" s="2230">
        <v>0.25</v>
      </c>
      <c r="E60" s="642">
        <v>0</v>
      </c>
      <c r="F60" s="639">
        <f t="shared" si="15"/>
        <v>0</v>
      </c>
      <c r="G60" s="3392"/>
      <c r="H60" s="1949">
        <f>项目基本情况!B43</f>
        <v>0</v>
      </c>
      <c r="I60" s="1558">
        <f>SUMIF(修正!$A$45:$A$56,H60,修正!C45:C56)</f>
        <v>0</v>
      </c>
      <c r="J60" s="1560"/>
      <c r="K60" s="2156"/>
      <c r="L60" s="2156"/>
      <c r="M60" s="2156"/>
      <c r="N60" s="2156"/>
      <c r="O60" s="2156"/>
      <c r="P60" s="2156"/>
      <c r="Q60" s="2156"/>
      <c r="R60" s="2156"/>
      <c r="S60" s="2156"/>
      <c r="T60" s="2156"/>
      <c r="U60" s="2156"/>
      <c r="V60" s="2156"/>
      <c r="W60" s="2156"/>
      <c r="X60" s="2156"/>
      <c r="Y60" s="2156"/>
      <c r="Z60" s="2156"/>
      <c r="AA60" s="2156"/>
      <c r="AB60" s="2156"/>
      <c r="AC60" s="2156"/>
    </row>
    <row r="61" spans="1:29" s="1348" customFormat="1" ht="12.75" hidden="1">
      <c r="A61" s="640" t="s">
        <v>568</v>
      </c>
      <c r="B61" s="641">
        <f t="shared" si="17"/>
        <v>0</v>
      </c>
      <c r="C61" s="381">
        <f t="shared" si="16"/>
        <v>0</v>
      </c>
      <c r="D61" s="2230">
        <v>0.25</v>
      </c>
      <c r="E61" s="642">
        <v>0</v>
      </c>
      <c r="F61" s="639">
        <f t="shared" si="15"/>
        <v>0</v>
      </c>
      <c r="G61" s="3392"/>
      <c r="H61" s="1949">
        <f>项目基本情况!B43</f>
        <v>0</v>
      </c>
      <c r="I61" s="1558">
        <f>SUMIF(修正!$A$45:$A$56,H61,修正!D45:D56)</f>
        <v>0</v>
      </c>
      <c r="J61" s="1560"/>
      <c r="K61" s="2156"/>
      <c r="L61" s="2156"/>
      <c r="M61" s="2156"/>
      <c r="N61" s="2156"/>
      <c r="O61" s="2156"/>
      <c r="P61" s="2156"/>
      <c r="Q61" s="2156"/>
      <c r="R61" s="2156"/>
      <c r="S61" s="2156"/>
      <c r="T61" s="2156"/>
      <c r="U61" s="2156"/>
      <c r="V61" s="2156"/>
      <c r="W61" s="2156"/>
      <c r="X61" s="2156"/>
      <c r="Y61" s="2156"/>
      <c r="Z61" s="2156"/>
      <c r="AA61" s="2156"/>
      <c r="AB61" s="2156"/>
      <c r="AC61" s="2156"/>
    </row>
    <row r="62" spans="1:29" s="1348" customFormat="1" ht="12.75" hidden="1">
      <c r="A62" s="640" t="s">
        <v>569</v>
      </c>
      <c r="B62" s="641">
        <f t="shared" si="17"/>
        <v>0</v>
      </c>
      <c r="C62" s="381">
        <f t="shared" si="16"/>
        <v>0</v>
      </c>
      <c r="D62" s="2230">
        <v>0.25</v>
      </c>
      <c r="E62" s="642">
        <v>0</v>
      </c>
      <c r="F62" s="639">
        <f t="shared" si="15"/>
        <v>0</v>
      </c>
      <c r="G62" s="3392"/>
      <c r="H62" s="1949">
        <f>项目基本情况!B43</f>
        <v>0</v>
      </c>
      <c r="I62" s="1558">
        <f>SUMIF(修正!$A$45:$A$56,H62,修正!E45:E56)</f>
        <v>0</v>
      </c>
      <c r="J62" s="1560"/>
      <c r="K62" s="2156"/>
      <c r="L62" s="2156"/>
      <c r="M62" s="2156"/>
      <c r="N62" s="2156"/>
      <c r="O62" s="2156"/>
      <c r="P62" s="2156"/>
      <c r="Q62" s="2156"/>
      <c r="R62" s="2156"/>
      <c r="S62" s="2156"/>
      <c r="T62" s="2156"/>
      <c r="U62" s="2156"/>
      <c r="V62" s="2156"/>
      <c r="W62" s="2156"/>
      <c r="X62" s="2156"/>
      <c r="Y62" s="2156"/>
      <c r="Z62" s="2156"/>
      <c r="AA62" s="2156"/>
      <c r="AB62" s="2156"/>
      <c r="AC62" s="2156"/>
    </row>
    <row r="63" spans="1:29" s="1348" customFormat="1" ht="12.75" hidden="1">
      <c r="A63" s="2332" t="s">
        <v>2332</v>
      </c>
      <c r="B63" s="641">
        <f t="shared" si="17"/>
        <v>0</v>
      </c>
      <c r="C63" s="381">
        <f t="shared" si="16"/>
        <v>0</v>
      </c>
      <c r="D63" s="2230">
        <v>0.25</v>
      </c>
      <c r="E63" s="644">
        <f>'数据-汇总表'!E11</f>
        <v>0</v>
      </c>
      <c r="F63" s="639">
        <f t="shared" si="15"/>
        <v>0</v>
      </c>
      <c r="G63" s="1946" t="s">
        <v>2287</v>
      </c>
      <c r="H63" s="1949">
        <f>项目基本情况!C43</f>
        <v>0</v>
      </c>
      <c r="I63" s="1558">
        <f>SUMIF(修正!$A$45:$A$56,H63,修正!F45:F56)</f>
        <v>0</v>
      </c>
      <c r="J63" s="1560"/>
      <c r="K63" s="2156"/>
      <c r="L63" s="2156"/>
      <c r="M63" s="2156"/>
      <c r="N63" s="2156"/>
      <c r="O63" s="2156"/>
      <c r="P63" s="2156"/>
      <c r="Q63" s="2156"/>
      <c r="R63" s="2156"/>
      <c r="S63" s="2156"/>
      <c r="T63" s="2156"/>
      <c r="U63" s="2156"/>
      <c r="V63" s="2156"/>
      <c r="W63" s="2156"/>
      <c r="X63" s="2156"/>
      <c r="Y63" s="2156"/>
      <c r="Z63" s="2156"/>
      <c r="AA63" s="2156"/>
      <c r="AB63" s="2156"/>
      <c r="AC63" s="2156"/>
    </row>
    <row r="64" spans="1:29" s="1348" customFormat="1" ht="12.75" hidden="1">
      <c r="A64" s="640" t="s">
        <v>570</v>
      </c>
      <c r="B64" s="641">
        <f t="shared" si="17"/>
        <v>0</v>
      </c>
      <c r="C64" s="381">
        <f t="shared" si="16"/>
        <v>0</v>
      </c>
      <c r="D64" s="2230">
        <v>0.25</v>
      </c>
      <c r="E64" s="644">
        <f>'数据-汇总表'!E12</f>
        <v>0</v>
      </c>
      <c r="F64" s="639">
        <f t="shared" si="15"/>
        <v>0</v>
      </c>
      <c r="G64" s="1947" t="s">
        <v>1679</v>
      </c>
      <c r="H64" s="1945">
        <f>IF(G64="商业",项目基本情况!B43,IF(G64="办公",项目基本情况!C43,IF(G64="住宅",项目基本情况!D43,项目基本情况!E43)))</f>
        <v>0</v>
      </c>
      <c r="I64" s="1558">
        <f>SUMIF(修正!$A$45:$A$56,H64,修正!G45:G56)</f>
        <v>0</v>
      </c>
      <c r="J64" s="1560"/>
      <c r="K64" s="2156"/>
      <c r="L64" s="2156"/>
      <c r="M64" s="2156"/>
      <c r="N64" s="2156"/>
      <c r="O64" s="2156"/>
      <c r="P64" s="2156"/>
      <c r="Q64" s="2156"/>
      <c r="R64" s="2156"/>
      <c r="S64" s="2156"/>
      <c r="T64" s="2156"/>
      <c r="U64" s="2156"/>
      <c r="V64" s="2156"/>
      <c r="W64" s="2156"/>
      <c r="X64" s="2156"/>
      <c r="Y64" s="2156"/>
      <c r="Z64" s="2156"/>
      <c r="AA64" s="2156"/>
      <c r="AB64" s="2156"/>
      <c r="AC64" s="2156"/>
    </row>
    <row r="65" spans="1:29" s="1348" customFormat="1" ht="12.75">
      <c r="A65" s="640" t="s">
        <v>571</v>
      </c>
      <c r="B65" s="641">
        <f t="shared" si="17"/>
        <v>0</v>
      </c>
      <c r="C65" s="381">
        <f t="shared" si="16"/>
        <v>0</v>
      </c>
      <c r="D65" s="2230">
        <v>0.25</v>
      </c>
      <c r="E65" s="644">
        <f>'数据-汇总表'!E13</f>
        <v>76965</v>
      </c>
      <c r="F65" s="639">
        <f t="shared" si="15"/>
        <v>0</v>
      </c>
      <c r="G65" s="1947" t="s">
        <v>924</v>
      </c>
      <c r="H65" s="1945">
        <f>IF(G65="商业",项目基本情况!B43,IF(G65="办公",项目基本情况!C43,IF(G65="住宅",项目基本情况!D43,项目基本情况!E43)))</f>
        <v>0</v>
      </c>
      <c r="I65" s="1558">
        <f>SUMIF(修正!$A$45:$A$56,H65,修正!H45:H56)</f>
        <v>0</v>
      </c>
      <c r="J65" s="1560"/>
      <c r="K65" s="2156"/>
      <c r="L65" s="2156"/>
      <c r="M65" s="2156"/>
      <c r="N65" s="2156"/>
      <c r="O65" s="2156"/>
      <c r="P65" s="2156"/>
      <c r="Q65" s="2156"/>
      <c r="R65" s="2156"/>
      <c r="S65" s="2156"/>
      <c r="T65" s="2156"/>
      <c r="U65" s="2156"/>
      <c r="V65" s="2156"/>
      <c r="W65" s="2156"/>
      <c r="X65" s="2156"/>
      <c r="Y65" s="2156"/>
      <c r="Z65" s="2156"/>
      <c r="AA65" s="2156"/>
      <c r="AB65" s="2156"/>
      <c r="AC65" s="2156"/>
    </row>
    <row r="66" spans="1:29" s="1348" customFormat="1" ht="12.75" hidden="1">
      <c r="A66" s="640" t="s">
        <v>572</v>
      </c>
      <c r="B66" s="641">
        <f t="shared" si="17"/>
        <v>0</v>
      </c>
      <c r="C66" s="381">
        <f t="shared" si="16"/>
        <v>0</v>
      </c>
      <c r="D66" s="2230">
        <v>0.25</v>
      </c>
      <c r="E66" s="644">
        <f>'数据-汇总表'!E14</f>
        <v>0</v>
      </c>
      <c r="F66" s="639">
        <f t="shared" si="15"/>
        <v>0</v>
      </c>
      <c r="G66" s="1946" t="s">
        <v>2286</v>
      </c>
      <c r="H66" s="1949">
        <f>项目基本情况!B43</f>
        <v>0</v>
      </c>
      <c r="I66" s="1558">
        <f>SUMIF(修正!$A$45:$A$56,H66,修正!H45:H56)</f>
        <v>0</v>
      </c>
      <c r="J66" s="1560"/>
      <c r="K66" s="2156"/>
      <c r="L66" s="2156"/>
      <c r="M66" s="2156"/>
      <c r="N66" s="2156"/>
      <c r="O66" s="2156"/>
      <c r="P66" s="2156"/>
      <c r="Q66" s="2156"/>
      <c r="R66" s="2156"/>
      <c r="S66" s="2156"/>
      <c r="T66" s="2156"/>
      <c r="U66" s="2156"/>
      <c r="V66" s="2156"/>
      <c r="W66" s="2156"/>
      <c r="X66" s="2156"/>
      <c r="Y66" s="2156"/>
      <c r="Z66" s="2156"/>
      <c r="AA66" s="2156"/>
      <c r="AB66" s="2156"/>
      <c r="AC66" s="2156"/>
    </row>
    <row r="67" spans="1:29" s="1348" customFormat="1" ht="13.5" hidden="1" thickBot="1">
      <c r="A67" s="640" t="s">
        <v>573</v>
      </c>
      <c r="B67" s="641">
        <f t="shared" si="17"/>
        <v>0</v>
      </c>
      <c r="C67" s="381">
        <f t="shared" si="16"/>
        <v>0</v>
      </c>
      <c r="D67" s="2230">
        <v>0.25</v>
      </c>
      <c r="E67" s="644">
        <f>'数据-汇总表'!E15</f>
        <v>0</v>
      </c>
      <c r="F67" s="639">
        <f t="shared" si="15"/>
        <v>0</v>
      </c>
      <c r="G67" s="1948" t="s">
        <v>2287</v>
      </c>
      <c r="H67" s="1950">
        <f>项目基本情况!C43</f>
        <v>0</v>
      </c>
      <c r="I67" s="1558">
        <f>SUMIF(修正!$A$45:$A$56,H67,修正!H45:H56)</f>
        <v>0</v>
      </c>
      <c r="J67" s="1560"/>
      <c r="K67" s="2156"/>
      <c r="L67" s="2156"/>
      <c r="M67" s="2156"/>
      <c r="N67" s="2156"/>
      <c r="O67" s="2156"/>
      <c r="P67" s="2156"/>
      <c r="Q67" s="2156"/>
      <c r="R67" s="2156"/>
      <c r="S67" s="2156"/>
      <c r="T67" s="2156"/>
      <c r="U67" s="2156"/>
      <c r="V67" s="2156"/>
      <c r="W67" s="2156"/>
      <c r="X67" s="2156"/>
      <c r="Y67" s="2156"/>
      <c r="Z67" s="2156"/>
      <c r="AA67" s="2156"/>
      <c r="AB67" s="2156"/>
      <c r="AC67" s="2156"/>
    </row>
    <row r="68" spans="1:29" s="1348" customFormat="1" ht="13.5" thickBot="1">
      <c r="A68" s="645" t="s">
        <v>574</v>
      </c>
      <c r="B68" s="646" t="s">
        <v>17</v>
      </c>
      <c r="C68" s="646" t="s">
        <v>18</v>
      </c>
      <c r="D68" s="646" t="s">
        <v>2298</v>
      </c>
      <c r="E68" s="646">
        <f>IF(B48="楼面地价",SUM(E58:E67),'数据-汇总表'!D3)</f>
        <v>326125.86</v>
      </c>
      <c r="F68" s="647">
        <f>IF(B48="楼面地价",SUM(F58:F67),ROUND(C50*E68/10000,0))</f>
        <v>197286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2017-10-1</v>
      </c>
      <c r="D70" s="2826">
        <f>EDATE(C70,-3)</f>
        <v>42917</v>
      </c>
      <c r="E70" s="2826">
        <f t="shared" ref="E70:N70" si="18">EDATE(D70,-3)</f>
        <v>42826</v>
      </c>
      <c r="F70" s="2826">
        <f t="shared" si="18"/>
        <v>42736</v>
      </c>
      <c r="G70" s="2826">
        <f t="shared" si="18"/>
        <v>42644</v>
      </c>
      <c r="H70" s="2826">
        <f t="shared" si="18"/>
        <v>42552</v>
      </c>
      <c r="I70" s="2826">
        <f t="shared" si="18"/>
        <v>42461</v>
      </c>
      <c r="J70" s="2826">
        <f t="shared" si="18"/>
        <v>42370</v>
      </c>
      <c r="K70" s="2826">
        <f t="shared" si="18"/>
        <v>42278</v>
      </c>
      <c r="L70" s="2826">
        <f t="shared" si="18"/>
        <v>42186</v>
      </c>
      <c r="M70" s="2826">
        <f t="shared" si="18"/>
        <v>42095</v>
      </c>
      <c r="N70" s="2826">
        <f t="shared" si="18"/>
        <v>42005</v>
      </c>
      <c r="O70" s="2146"/>
      <c r="P70" s="2146"/>
      <c r="Q70" s="2146"/>
      <c r="R70" s="2146"/>
      <c r="S70" s="2146"/>
      <c r="T70" s="2146"/>
      <c r="U70" s="2146"/>
      <c r="V70" s="2146"/>
      <c r="W70" s="2146"/>
      <c r="X70" s="2146"/>
      <c r="Y70" s="2146"/>
      <c r="Z70" s="2146"/>
      <c r="AA70" s="2146"/>
      <c r="AB70" s="2146"/>
      <c r="AC70" s="2146"/>
    </row>
    <row r="71" spans="1:29" ht="21.75" thickBot="1">
      <c r="A71" s="1586" t="s">
        <v>575</v>
      </c>
      <c r="B71" s="1561"/>
      <c r="C71" s="1585"/>
      <c r="D71" s="1585"/>
      <c r="E71" s="1585"/>
      <c r="F71" s="1587"/>
      <c r="G71" s="1587"/>
      <c r="H71" s="1585"/>
      <c r="I71" s="1585"/>
      <c r="J71" s="1585"/>
      <c r="K71" s="1588"/>
      <c r="L71" s="1584"/>
      <c r="M71" s="1585"/>
      <c r="N71" s="1585"/>
      <c r="O71" s="2158"/>
      <c r="P71" s="2158"/>
      <c r="Q71" s="2159"/>
      <c r="R71" s="2146"/>
      <c r="S71" s="2146"/>
      <c r="T71" s="2146"/>
      <c r="U71" s="2146"/>
      <c r="V71" s="2146"/>
      <c r="W71" s="2146"/>
      <c r="X71" s="2146"/>
      <c r="Y71" s="2146"/>
      <c r="Z71" s="2146"/>
      <c r="AA71" s="2146"/>
      <c r="AB71" s="2146"/>
      <c r="AC71" s="2146"/>
    </row>
    <row r="72" spans="1:29" s="1349" customFormat="1" ht="15">
      <c r="A72" s="2593" t="s">
        <v>2537</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2" customFormat="1" ht="27" customHeight="1">
      <c r="A73" s="2833" t="s">
        <v>2654</v>
      </c>
      <c r="B73" s="482" t="str">
        <f>"北京市平均增长率"&amp;TEXT(SUMIF(基准地价!N21:N25,A73,基准地价!P21:P25),"0.00%")</f>
        <v>北京市平均增长率2.49%</v>
      </c>
      <c r="C73" s="896">
        <v>100</v>
      </c>
      <c r="D73" s="733">
        <v>99.5</v>
      </c>
      <c r="E73" s="733">
        <v>99</v>
      </c>
      <c r="F73" s="733">
        <v>98.5</v>
      </c>
      <c r="G73" s="733">
        <v>98</v>
      </c>
      <c r="H73" s="733">
        <v>97.5</v>
      </c>
      <c r="I73" s="733">
        <v>97</v>
      </c>
      <c r="J73" s="733"/>
      <c r="K73" s="733"/>
      <c r="L73" s="733"/>
      <c r="M73" s="2819"/>
      <c r="N73" s="2820"/>
      <c r="O73" s="2163"/>
      <c r="P73" s="2159"/>
      <c r="Q73" s="1994"/>
      <c r="R73" s="1994"/>
      <c r="S73" s="1994"/>
      <c r="T73" s="1994"/>
      <c r="U73" s="1994"/>
      <c r="V73" s="1994"/>
      <c r="W73" s="1994"/>
      <c r="X73" s="1994"/>
      <c r="Y73" s="1994"/>
      <c r="Z73" s="1994"/>
      <c r="AA73" s="1994"/>
      <c r="AB73" s="1994"/>
      <c r="AC73" s="1994"/>
    </row>
    <row r="74" spans="1:29" s="1222" customFormat="1" ht="15" customHeight="1" thickBot="1">
      <c r="A74" s="2823" t="s">
        <v>2653</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2" customFormat="1" ht="15">
      <c r="A75" s="662" t="s">
        <v>532</v>
      </c>
      <c r="B75" s="651"/>
      <c r="C75" s="663" t="s">
        <v>577</v>
      </c>
      <c r="D75" s="664"/>
      <c r="E75" s="664"/>
      <c r="F75" s="664"/>
      <c r="G75" s="664"/>
      <c r="H75" s="664"/>
      <c r="I75" s="664"/>
      <c r="J75" s="664"/>
      <c r="K75" s="664"/>
      <c r="L75" s="665"/>
      <c r="M75" s="666"/>
      <c r="N75" s="2163"/>
      <c r="O75" s="2163"/>
      <c r="P75" s="2164"/>
      <c r="Q75" s="2159"/>
      <c r="R75" s="1994"/>
      <c r="S75" s="1994"/>
      <c r="T75" s="1994"/>
      <c r="U75" s="1994"/>
      <c r="V75" s="1994"/>
      <c r="W75" s="1994"/>
      <c r="X75" s="1994"/>
      <c r="Y75" s="1994"/>
      <c r="Z75" s="1994"/>
      <c r="AA75" s="1994"/>
      <c r="AB75" s="1994"/>
      <c r="AC75" s="1994"/>
    </row>
    <row r="76" spans="1:29" s="1222" customFormat="1" ht="15.75" thickBot="1">
      <c r="A76" s="662"/>
      <c r="B76" s="651"/>
      <c r="C76" s="652">
        <v>100</v>
      </c>
      <c r="D76" s="653"/>
      <c r="E76" s="653"/>
      <c r="F76" s="653"/>
      <c r="G76" s="653"/>
      <c r="H76" s="653"/>
      <c r="I76" s="653"/>
      <c r="J76" s="653"/>
      <c r="K76" s="653"/>
      <c r="L76" s="653"/>
      <c r="M76" s="655"/>
      <c r="N76" s="2163"/>
      <c r="O76" s="2163"/>
      <c r="P76" s="2159"/>
      <c r="Q76" s="2159"/>
      <c r="R76" s="1994"/>
      <c r="S76" s="1994"/>
      <c r="T76" s="1994"/>
      <c r="U76" s="1994"/>
      <c r="V76" s="1994"/>
      <c r="W76" s="1994"/>
      <c r="X76" s="1994"/>
      <c r="Y76" s="1994"/>
      <c r="Z76" s="1994"/>
      <c r="AA76" s="1994"/>
      <c r="AB76" s="1994"/>
      <c r="AC76" s="1994"/>
    </row>
    <row r="77" spans="1:29">
      <c r="A77" s="667" t="s">
        <v>578</v>
      </c>
      <c r="B77" s="668" t="s">
        <v>535</v>
      </c>
      <c r="C77" s="3164" t="s">
        <v>3005</v>
      </c>
      <c r="D77" s="601"/>
      <c r="E77" s="601"/>
      <c r="F77" s="601"/>
      <c r="G77" s="601"/>
      <c r="H77" s="601"/>
      <c r="I77" s="601"/>
      <c r="J77" s="601"/>
      <c r="K77" s="669"/>
      <c r="L77" s="670"/>
      <c r="M77" s="671"/>
      <c r="N77" s="2165"/>
      <c r="O77" s="2165"/>
      <c r="P77" s="2166"/>
      <c r="Q77" s="2159"/>
      <c r="R77" s="2146"/>
      <c r="S77" s="2146"/>
      <c r="T77" s="2146"/>
      <c r="U77" s="2146"/>
      <c r="V77" s="2146"/>
      <c r="W77" s="2146"/>
      <c r="X77" s="2146"/>
      <c r="Y77" s="2146"/>
      <c r="Z77" s="2146"/>
      <c r="AA77" s="2146"/>
      <c r="AB77" s="2146"/>
      <c r="AC77" s="2146"/>
    </row>
    <row r="78" spans="1:29" ht="15.75" thickBot="1">
      <c r="A78" s="672"/>
      <c r="B78" s="673"/>
      <c r="C78" s="674">
        <v>100</v>
      </c>
      <c r="D78" s="674"/>
      <c r="E78" s="674"/>
      <c r="F78" s="674"/>
      <c r="G78" s="674"/>
      <c r="H78" s="674"/>
      <c r="I78" s="674"/>
      <c r="J78" s="674"/>
      <c r="K78" s="674"/>
      <c r="L78" s="674"/>
      <c r="M78" s="675"/>
      <c r="N78" s="2167"/>
      <c r="O78" s="2167"/>
      <c r="P78" s="2166"/>
      <c r="Q78" s="2159"/>
      <c r="R78" s="2146"/>
      <c r="S78" s="2146"/>
      <c r="T78" s="2146"/>
      <c r="U78" s="2146"/>
      <c r="V78" s="2146"/>
      <c r="W78" s="2146"/>
      <c r="X78" s="2146"/>
      <c r="Y78" s="2146"/>
      <c r="Z78" s="2146"/>
      <c r="AA78" s="2146"/>
      <c r="AB78" s="2146"/>
      <c r="AC78" s="2146"/>
    </row>
    <row r="79" spans="1:29" ht="27.75" thickTop="1">
      <c r="A79" s="672"/>
      <c r="B79" s="676" t="s">
        <v>538</v>
      </c>
      <c r="C79" s="677"/>
      <c r="D79" s="677"/>
      <c r="E79" s="677"/>
      <c r="F79" s="677"/>
      <c r="G79" s="677"/>
      <c r="H79" s="677"/>
      <c r="I79" s="677"/>
      <c r="J79" s="677"/>
      <c r="K79" s="678"/>
      <c r="L79" s="679"/>
      <c r="M79" s="680"/>
      <c r="N79" s="2165"/>
      <c r="O79" s="2165"/>
      <c r="P79" s="2166"/>
      <c r="Q79" s="2159"/>
      <c r="R79" s="2146"/>
      <c r="S79" s="2146"/>
      <c r="T79" s="2146"/>
      <c r="U79" s="2146"/>
      <c r="V79" s="2146"/>
      <c r="W79" s="2146"/>
      <c r="X79" s="2146"/>
      <c r="Y79" s="2146"/>
      <c r="Z79" s="2146"/>
      <c r="AA79" s="2146"/>
      <c r="AB79" s="2146"/>
      <c r="AC79" s="2146"/>
    </row>
    <row r="80" spans="1:29" ht="15.75" thickBot="1">
      <c r="A80" s="672"/>
      <c r="B80" s="681"/>
      <c r="C80" s="682"/>
      <c r="D80" s="682"/>
      <c r="E80" s="682"/>
      <c r="F80" s="682"/>
      <c r="G80" s="682"/>
      <c r="H80" s="682"/>
      <c r="I80" s="682"/>
      <c r="J80" s="682"/>
      <c r="K80" s="682"/>
      <c r="L80" s="682"/>
      <c r="M80" s="683"/>
      <c r="N80" s="2167"/>
      <c r="O80" s="2167"/>
      <c r="P80" s="2166"/>
      <c r="Q80" s="2159"/>
      <c r="R80" s="2146"/>
      <c r="S80" s="2146"/>
      <c r="T80" s="2146"/>
      <c r="U80" s="2146"/>
      <c r="V80" s="2146"/>
      <c r="W80" s="2146"/>
      <c r="X80" s="2146"/>
      <c r="Y80" s="2146"/>
      <c r="Z80" s="2146"/>
      <c r="AA80" s="2146"/>
      <c r="AB80" s="2146"/>
      <c r="AC80" s="2146"/>
    </row>
    <row r="81" spans="1:29" ht="15.75" thickTop="1">
      <c r="A81" s="672"/>
      <c r="B81" s="684" t="s">
        <v>539</v>
      </c>
      <c r="C81" s="685" t="str">
        <f>C82&amp;"（含）"&amp;"-"&amp;D82</f>
        <v>1（含）-2</v>
      </c>
      <c r="D81" s="685" t="str">
        <f t="shared" ref="D81:L81" si="20">D82&amp;"（含）"&amp;"-"&amp;E82</f>
        <v>2（含）-3</v>
      </c>
      <c r="E81" s="685" t="str">
        <f t="shared" si="20"/>
        <v>3（含）-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2"/>
      <c r="B82" s="686"/>
      <c r="C82" s="544">
        <v>1</v>
      </c>
      <c r="D82" s="544">
        <v>2</v>
      </c>
      <c r="E82" s="544">
        <v>3</v>
      </c>
      <c r="F82" s="544"/>
      <c r="G82" s="544"/>
      <c r="H82" s="544"/>
      <c r="I82" s="544"/>
      <c r="J82" s="544"/>
      <c r="K82" s="687"/>
      <c r="L82" s="688"/>
      <c r="M82" s="689"/>
      <c r="N82" s="2165"/>
      <c r="O82" s="2165"/>
      <c r="P82" s="2166"/>
      <c r="Q82" s="2159"/>
      <c r="R82" s="2146"/>
      <c r="S82" s="2146"/>
      <c r="T82" s="2146"/>
      <c r="U82" s="2146"/>
      <c r="V82" s="2146"/>
      <c r="W82" s="2146"/>
      <c r="X82" s="2146"/>
      <c r="Y82" s="2146"/>
      <c r="Z82" s="2146"/>
      <c r="AA82" s="2146"/>
      <c r="AB82" s="2146"/>
      <c r="AC82" s="2146"/>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7"/>
      <c r="O83" s="2167"/>
      <c r="P83" s="2166"/>
      <c r="Q83" s="2159"/>
      <c r="R83" s="2146"/>
      <c r="S83" s="2146"/>
      <c r="T83" s="2146"/>
      <c r="U83" s="2146"/>
      <c r="V83" s="2146"/>
      <c r="W83" s="2146"/>
      <c r="X83" s="2146"/>
      <c r="Y83" s="2146"/>
      <c r="Z83" s="2146"/>
      <c r="AA83" s="2146"/>
      <c r="AB83" s="2146"/>
      <c r="AC83" s="2146"/>
    </row>
    <row r="84" spans="1:29" s="1341" customFormat="1" ht="15.75" thickTop="1">
      <c r="A84" s="690"/>
      <c r="B84" s="676" t="str">
        <f>B14</f>
        <v>配建</v>
      </c>
      <c r="C84" s="691"/>
      <c r="D84" s="1377"/>
      <c r="E84" s="1378"/>
      <c r="F84" s="691"/>
      <c r="G84" s="691"/>
      <c r="H84" s="692"/>
      <c r="I84" s="692"/>
      <c r="J84" s="692"/>
      <c r="K84" s="692"/>
      <c r="L84" s="693"/>
      <c r="M84" s="694"/>
      <c r="N84" s="2168"/>
      <c r="O84" s="2168"/>
      <c r="P84" s="2169"/>
      <c r="Q84" s="2170"/>
      <c r="R84" s="2171"/>
      <c r="S84" s="2171"/>
      <c r="T84" s="2171"/>
      <c r="U84" s="2171"/>
      <c r="V84" s="2171"/>
      <c r="W84" s="2171"/>
      <c r="X84" s="2171"/>
      <c r="Y84" s="2171"/>
      <c r="Z84" s="2171"/>
      <c r="AA84" s="2171"/>
      <c r="AB84" s="2171"/>
      <c r="AC84" s="2171"/>
    </row>
    <row r="85" spans="1:29" s="1341" customFormat="1" ht="15.75" thickBot="1">
      <c r="A85" s="690"/>
      <c r="B85" s="681"/>
      <c r="C85" s="695"/>
      <c r="D85" s="674"/>
      <c r="E85" s="674"/>
      <c r="F85" s="674"/>
      <c r="G85" s="674"/>
      <c r="H85" s="674"/>
      <c r="I85" s="674"/>
      <c r="J85" s="674"/>
      <c r="K85" s="674"/>
      <c r="L85" s="674"/>
      <c r="M85" s="675"/>
      <c r="N85" s="2167"/>
      <c r="O85" s="2167"/>
      <c r="P85" s="2169"/>
      <c r="Q85" s="2170"/>
      <c r="R85" s="2171"/>
      <c r="S85" s="2171"/>
      <c r="T85" s="2171"/>
      <c r="U85" s="2171"/>
      <c r="V85" s="2171"/>
      <c r="W85" s="2171"/>
      <c r="X85" s="2171"/>
      <c r="Y85" s="2171"/>
      <c r="Z85" s="2171"/>
      <c r="AA85" s="2171"/>
      <c r="AB85" s="2171"/>
      <c r="AC85" s="2171"/>
    </row>
    <row r="86" spans="1:29" s="1341" customFormat="1" ht="15.75" thickTop="1">
      <c r="A86" s="690"/>
      <c r="B86" s="676">
        <f>B15</f>
        <v>111</v>
      </c>
      <c r="C86" s="691"/>
      <c r="D86" s="691"/>
      <c r="E86" s="691"/>
      <c r="F86" s="691"/>
      <c r="G86" s="691"/>
      <c r="H86" s="692"/>
      <c r="I86" s="692"/>
      <c r="J86" s="692"/>
      <c r="K86" s="692"/>
      <c r="L86" s="693"/>
      <c r="M86" s="694"/>
      <c r="N86" s="2168"/>
      <c r="O86" s="2168"/>
      <c r="P86" s="2172"/>
      <c r="Q86" s="2173"/>
      <c r="R86" s="2171"/>
      <c r="S86" s="2171"/>
      <c r="T86" s="2171"/>
      <c r="U86" s="2171"/>
      <c r="V86" s="2171"/>
      <c r="W86" s="2171"/>
      <c r="X86" s="2171"/>
      <c r="Y86" s="2171"/>
      <c r="Z86" s="2171"/>
      <c r="AA86" s="2171"/>
      <c r="AB86" s="2171"/>
      <c r="AC86" s="2171"/>
    </row>
    <row r="87" spans="1:29" s="1341" customFormat="1" ht="15.75" thickBot="1">
      <c r="A87" s="690"/>
      <c r="B87" s="681"/>
      <c r="C87" s="695"/>
      <c r="D87" s="695"/>
      <c r="E87" s="695"/>
      <c r="F87" s="695"/>
      <c r="G87" s="695"/>
      <c r="H87" s="696"/>
      <c r="I87" s="696"/>
      <c r="J87" s="696"/>
      <c r="K87" s="696"/>
      <c r="L87" s="696"/>
      <c r="M87" s="697"/>
      <c r="N87" s="2168"/>
      <c r="O87" s="2168"/>
      <c r="P87" s="2169"/>
      <c r="Q87" s="2170"/>
      <c r="R87" s="2171"/>
      <c r="S87" s="2171"/>
      <c r="T87" s="2171"/>
      <c r="U87" s="2171"/>
      <c r="V87" s="2171"/>
      <c r="W87" s="2171"/>
      <c r="X87" s="2171"/>
      <c r="Y87" s="2171"/>
      <c r="Z87" s="2171"/>
      <c r="AA87" s="2171"/>
      <c r="AB87" s="2171"/>
      <c r="AC87" s="2171"/>
    </row>
    <row r="88" spans="1:29" s="1341" customFormat="1" ht="15.75" thickTop="1">
      <c r="A88" s="690"/>
      <c r="B88" s="684">
        <f>B16</f>
        <v>111</v>
      </c>
      <c r="C88" s="664"/>
      <c r="D88" s="664"/>
      <c r="E88" s="664"/>
      <c r="F88" s="664"/>
      <c r="G88" s="664"/>
      <c r="H88" s="698"/>
      <c r="I88" s="698"/>
      <c r="J88" s="698"/>
      <c r="K88" s="698"/>
      <c r="L88" s="699"/>
      <c r="M88" s="700"/>
      <c r="N88" s="2168"/>
      <c r="O88" s="2168"/>
      <c r="P88" s="2174"/>
      <c r="Q88" s="2170"/>
      <c r="R88" s="2171"/>
      <c r="S88" s="2171"/>
      <c r="T88" s="2171"/>
      <c r="U88" s="2171"/>
      <c r="V88" s="2171"/>
      <c r="W88" s="2171"/>
      <c r="X88" s="2171"/>
      <c r="Y88" s="2171"/>
      <c r="Z88" s="2171"/>
      <c r="AA88" s="2171"/>
      <c r="AB88" s="2171"/>
      <c r="AC88" s="2171"/>
    </row>
    <row r="89" spans="1:29" s="1341" customFormat="1" ht="15.75" thickBot="1">
      <c r="A89" s="701"/>
      <c r="B89" s="702"/>
      <c r="C89" s="703"/>
      <c r="D89" s="703"/>
      <c r="E89" s="703"/>
      <c r="F89" s="703"/>
      <c r="G89" s="703"/>
      <c r="H89" s="704"/>
      <c r="I89" s="704"/>
      <c r="J89" s="704"/>
      <c r="K89" s="704"/>
      <c r="L89" s="704"/>
      <c r="M89" s="705"/>
      <c r="N89" s="2168"/>
      <c r="O89" s="2168"/>
      <c r="P89" s="2169"/>
      <c r="Q89" s="2170"/>
      <c r="R89" s="2171"/>
      <c r="S89" s="2171"/>
      <c r="T89" s="2171"/>
      <c r="U89" s="2171"/>
      <c r="V89" s="2171"/>
      <c r="W89" s="2171"/>
      <c r="X89" s="2171"/>
      <c r="Y89" s="2171"/>
      <c r="Z89" s="2171"/>
      <c r="AA89" s="2171"/>
      <c r="AB89" s="2171"/>
      <c r="AC89" s="2171"/>
    </row>
    <row r="90" spans="1:29">
      <c r="A90" s="667" t="s">
        <v>540</v>
      </c>
      <c r="B90" s="668" t="s">
        <v>579</v>
      </c>
      <c r="C90" s="706" t="s">
        <v>580</v>
      </c>
      <c r="D90" s="706" t="s">
        <v>581</v>
      </c>
      <c r="E90" s="706" t="s">
        <v>582</v>
      </c>
      <c r="F90" s="706" t="s">
        <v>583</v>
      </c>
      <c r="G90" s="706" t="s">
        <v>584</v>
      </c>
      <c r="H90" s="707"/>
      <c r="I90" s="707"/>
      <c r="J90" s="707"/>
      <c r="K90" s="708"/>
      <c r="L90" s="709"/>
      <c r="M90" s="710"/>
      <c r="N90" s="2165"/>
      <c r="O90" s="2165"/>
      <c r="P90" s="2175"/>
      <c r="Q90" s="2159"/>
      <c r="R90" s="2146"/>
      <c r="S90" s="2146"/>
      <c r="T90" s="2146"/>
      <c r="U90" s="2146"/>
      <c r="V90" s="2146"/>
      <c r="W90" s="2146"/>
      <c r="X90" s="2146"/>
      <c r="Y90" s="2146"/>
      <c r="Z90" s="2146"/>
      <c r="AA90" s="2146"/>
      <c r="AB90" s="2146"/>
      <c r="AC90" s="2146"/>
    </row>
    <row r="91" spans="1:29" ht="15.75" thickBot="1">
      <c r="A91" s="672"/>
      <c r="B91" s="681"/>
      <c r="C91" s="682">
        <v>100</v>
      </c>
      <c r="D91" s="682">
        <f>C91-$K17</f>
        <v>97</v>
      </c>
      <c r="E91" s="682">
        <f>D91-$K17</f>
        <v>94</v>
      </c>
      <c r="F91" s="682">
        <f>E91-$K17</f>
        <v>91</v>
      </c>
      <c r="G91" s="682">
        <f>F91-$K17</f>
        <v>88</v>
      </c>
      <c r="H91" s="682"/>
      <c r="I91" s="682"/>
      <c r="J91" s="682"/>
      <c r="K91" s="682"/>
      <c r="L91" s="682"/>
      <c r="M91" s="683"/>
      <c r="N91" s="2167"/>
      <c r="O91" s="2167"/>
      <c r="P91" s="2166"/>
      <c r="Q91" s="2159"/>
      <c r="R91" s="2146"/>
      <c r="S91" s="2146"/>
      <c r="T91" s="2146"/>
      <c r="U91" s="2146"/>
      <c r="V91" s="2146"/>
      <c r="W91" s="2146"/>
      <c r="X91" s="2146"/>
      <c r="Y91" s="2146"/>
      <c r="Z91" s="2146"/>
      <c r="AA91" s="2146"/>
      <c r="AB91" s="2146"/>
      <c r="AC91" s="2146"/>
    </row>
    <row r="92" spans="1:29" ht="15.75" thickTop="1">
      <c r="A92" s="672"/>
      <c r="B92" s="676" t="s">
        <v>585</v>
      </c>
      <c r="C92" s="711" t="s">
        <v>580</v>
      </c>
      <c r="D92" s="711" t="s">
        <v>581</v>
      </c>
      <c r="E92" s="711" t="s">
        <v>582</v>
      </c>
      <c r="F92" s="711" t="s">
        <v>583</v>
      </c>
      <c r="G92" s="711" t="s">
        <v>584</v>
      </c>
      <c r="H92" s="677"/>
      <c r="I92" s="677"/>
      <c r="J92" s="677"/>
      <c r="K92" s="678"/>
      <c r="L92" s="679"/>
      <c r="M92" s="680"/>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82">
        <v>100</v>
      </c>
      <c r="D93" s="682">
        <f>C93-$K19</f>
        <v>97</v>
      </c>
      <c r="E93" s="682">
        <f>D93-$K19</f>
        <v>94</v>
      </c>
      <c r="F93" s="682">
        <f>E93-$K19</f>
        <v>91</v>
      </c>
      <c r="G93" s="682">
        <f>F93-$K19</f>
        <v>88</v>
      </c>
      <c r="H93" s="682"/>
      <c r="I93" s="682"/>
      <c r="J93" s="682"/>
      <c r="K93" s="682"/>
      <c r="L93" s="682"/>
      <c r="M93" s="683"/>
      <c r="N93" s="2167"/>
      <c r="O93" s="2167"/>
      <c r="P93" s="2166"/>
      <c r="Q93" s="2159"/>
      <c r="R93" s="2146"/>
      <c r="S93" s="2146"/>
      <c r="T93" s="2146"/>
      <c r="U93" s="2146"/>
      <c r="V93" s="2146"/>
      <c r="W93" s="2146"/>
      <c r="X93" s="2146"/>
      <c r="Y93" s="2146"/>
      <c r="Z93" s="2146"/>
      <c r="AA93" s="2146"/>
      <c r="AB93" s="2146"/>
      <c r="AC93" s="2146"/>
    </row>
    <row r="94" spans="1:29" ht="15.75" thickTop="1">
      <c r="A94" s="672"/>
      <c r="B94" s="676" t="s">
        <v>586</v>
      </c>
      <c r="C94" s="711" t="s">
        <v>580</v>
      </c>
      <c r="D94" s="711" t="s">
        <v>581</v>
      </c>
      <c r="E94" s="711" t="s">
        <v>582</v>
      </c>
      <c r="F94" s="711" t="s">
        <v>583</v>
      </c>
      <c r="G94" s="711" t="s">
        <v>584</v>
      </c>
      <c r="H94" s="677"/>
      <c r="I94" s="677"/>
      <c r="J94" s="677"/>
      <c r="K94" s="678"/>
      <c r="L94" s="679"/>
      <c r="M94" s="680"/>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82">
        <v>100</v>
      </c>
      <c r="D95" s="682">
        <f>C95-$K21</f>
        <v>97</v>
      </c>
      <c r="E95" s="682">
        <f>D95-$K21</f>
        <v>94</v>
      </c>
      <c r="F95" s="682">
        <f>E95-$K21</f>
        <v>91</v>
      </c>
      <c r="G95" s="682">
        <f>F95-$K21</f>
        <v>88</v>
      </c>
      <c r="H95" s="682"/>
      <c r="I95" s="682"/>
      <c r="J95" s="682"/>
      <c r="K95" s="682"/>
      <c r="L95" s="682"/>
      <c r="M95" s="683"/>
      <c r="N95" s="2167"/>
      <c r="O95" s="2167"/>
      <c r="P95" s="2166"/>
      <c r="Q95" s="2159"/>
      <c r="R95" s="2146"/>
      <c r="S95" s="2146"/>
      <c r="T95" s="2146"/>
      <c r="U95" s="2146"/>
      <c r="V95" s="2146"/>
      <c r="W95" s="2146"/>
      <c r="X95" s="2146"/>
      <c r="Y95" s="2146"/>
      <c r="Z95" s="2146"/>
      <c r="AA95" s="2146"/>
      <c r="AB95" s="2146"/>
      <c r="AC95" s="2146"/>
    </row>
    <row r="96" spans="1:29" ht="15.75" thickTop="1">
      <c r="A96" s="672"/>
      <c r="B96" s="676" t="s">
        <v>587</v>
      </c>
      <c r="C96" s="711" t="s">
        <v>580</v>
      </c>
      <c r="D96" s="711" t="s">
        <v>581</v>
      </c>
      <c r="E96" s="711" t="s">
        <v>582</v>
      </c>
      <c r="F96" s="711" t="s">
        <v>583</v>
      </c>
      <c r="G96" s="711" t="s">
        <v>584</v>
      </c>
      <c r="H96" s="677"/>
      <c r="I96" s="677"/>
      <c r="J96" s="677"/>
      <c r="K96" s="678"/>
      <c r="L96" s="679"/>
      <c r="M96" s="680"/>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682">
        <v>100</v>
      </c>
      <c r="D97" s="682">
        <f>C97-$K23</f>
        <v>98</v>
      </c>
      <c r="E97" s="682">
        <f>D97-$K23</f>
        <v>96</v>
      </c>
      <c r="F97" s="682">
        <f>E97-$K23</f>
        <v>94</v>
      </c>
      <c r="G97" s="682">
        <f>F97-$K23</f>
        <v>92</v>
      </c>
      <c r="H97" s="682"/>
      <c r="I97" s="682"/>
      <c r="J97" s="682"/>
      <c r="K97" s="682"/>
      <c r="L97" s="682"/>
      <c r="M97" s="683"/>
      <c r="N97" s="2167"/>
      <c r="O97" s="2167"/>
      <c r="P97" s="2166"/>
      <c r="Q97" s="2159"/>
      <c r="R97" s="2146"/>
      <c r="S97" s="2146"/>
      <c r="T97" s="2146"/>
      <c r="U97" s="2146"/>
      <c r="V97" s="2146"/>
      <c r="W97" s="2146"/>
      <c r="X97" s="2146"/>
      <c r="Y97" s="2146"/>
      <c r="Z97" s="2146"/>
      <c r="AA97" s="2146"/>
      <c r="AB97" s="2146"/>
      <c r="AC97" s="2146"/>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3"/>
      <c r="O98" s="2163"/>
      <c r="P98" s="2166"/>
      <c r="Q98" s="2159"/>
      <c r="R98" s="1994"/>
      <c r="S98" s="1994"/>
      <c r="T98" s="1994"/>
      <c r="U98" s="1994"/>
      <c r="V98" s="1994"/>
      <c r="W98" s="1994"/>
      <c r="X98" s="1994"/>
      <c r="Y98" s="1994"/>
      <c r="Z98" s="1994"/>
      <c r="AA98" s="1994"/>
      <c r="AB98" s="1994"/>
      <c r="AC98" s="1994"/>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67"/>
      <c r="O99" s="2167"/>
      <c r="P99" s="2166"/>
      <c r="Q99" s="2159"/>
      <c r="R99" s="1994"/>
      <c r="S99" s="1994"/>
      <c r="T99" s="1994"/>
      <c r="U99" s="1994"/>
      <c r="V99" s="1994"/>
      <c r="W99" s="1994"/>
      <c r="X99" s="1994"/>
      <c r="Y99" s="1994"/>
      <c r="Z99" s="1994"/>
      <c r="AA99" s="1994"/>
      <c r="AB99" s="1994"/>
      <c r="AC99" s="1994"/>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3"/>
      <c r="O100" s="2163"/>
      <c r="P100" s="2166"/>
      <c r="Q100" s="2159"/>
      <c r="R100" s="1994"/>
      <c r="S100" s="1994"/>
      <c r="T100" s="1994"/>
      <c r="U100" s="1994"/>
      <c r="V100" s="1994"/>
      <c r="W100" s="1994"/>
      <c r="X100" s="1994"/>
      <c r="Y100" s="1994"/>
      <c r="Z100" s="1994"/>
      <c r="AA100" s="1994"/>
      <c r="AB100" s="1994"/>
      <c r="AC100" s="1994"/>
    </row>
    <row r="101" spans="1:29" s="1222"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67"/>
      <c r="O101" s="2167"/>
      <c r="P101" s="2166"/>
      <c r="Q101" s="2159"/>
      <c r="R101" s="1994"/>
      <c r="S101" s="1994"/>
      <c r="T101" s="1994"/>
      <c r="U101" s="1994"/>
      <c r="V101" s="1994"/>
      <c r="W101" s="1994"/>
      <c r="X101" s="1994"/>
      <c r="Y101" s="1994"/>
      <c r="Z101" s="1994"/>
      <c r="AA101" s="1994"/>
      <c r="AB101" s="1994"/>
      <c r="AC101" s="1994"/>
    </row>
    <row r="102" spans="1:29" s="1341" customFormat="1" ht="15.75" thickTop="1">
      <c r="A102" s="690"/>
      <c r="B102" s="1897" t="s">
        <v>2553</v>
      </c>
      <c r="C102" s="706" t="s">
        <v>580</v>
      </c>
      <c r="D102" s="706" t="s">
        <v>581</v>
      </c>
      <c r="E102" s="706" t="s">
        <v>582</v>
      </c>
      <c r="F102" s="706" t="s">
        <v>583</v>
      </c>
      <c r="G102" s="706" t="s">
        <v>584</v>
      </c>
      <c r="H102" s="716"/>
      <c r="I102" s="716"/>
      <c r="J102" s="716"/>
      <c r="K102" s="716"/>
      <c r="L102" s="717"/>
      <c r="M102" s="718"/>
      <c r="N102" s="2168"/>
      <c r="O102" s="2168"/>
      <c r="P102" s="2169"/>
      <c r="Q102" s="2170"/>
      <c r="R102" s="2171"/>
      <c r="S102" s="2171"/>
      <c r="T102" s="2171"/>
      <c r="U102" s="2171"/>
      <c r="V102" s="2171"/>
      <c r="W102" s="2171"/>
      <c r="X102" s="2171"/>
      <c r="Y102" s="2171"/>
      <c r="Z102" s="2171"/>
      <c r="AA102" s="2171"/>
      <c r="AB102" s="2171"/>
      <c r="AC102" s="2171"/>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Top="1">
      <c r="A104" s="690"/>
      <c r="B104" s="2622" t="s">
        <v>2555</v>
      </c>
      <c r="C104" s="2623" t="s">
        <v>2556</v>
      </c>
      <c r="D104" s="2623" t="s">
        <v>2557</v>
      </c>
      <c r="E104" s="2623" t="s">
        <v>2558</v>
      </c>
      <c r="F104" s="2623" t="s">
        <v>2559</v>
      </c>
      <c r="G104" s="2623" t="s">
        <v>2560</v>
      </c>
      <c r="H104" s="716"/>
      <c r="I104" s="716"/>
      <c r="J104" s="716"/>
      <c r="K104" s="716"/>
      <c r="L104" s="716"/>
      <c r="M104" s="718"/>
      <c r="N104" s="2168"/>
      <c r="O104" s="2168"/>
      <c r="P104" s="2169"/>
      <c r="Q104" s="2170"/>
      <c r="R104" s="2171"/>
      <c r="S104" s="2171"/>
      <c r="T104" s="2171"/>
      <c r="U104" s="2171"/>
      <c r="V104" s="2171"/>
      <c r="W104" s="2171"/>
      <c r="X104" s="2171"/>
      <c r="Y104" s="2171"/>
      <c r="Z104" s="2171"/>
      <c r="AA104" s="2171"/>
      <c r="AB104" s="2171"/>
      <c r="AC104" s="2171"/>
    </row>
    <row r="105" spans="1:29" s="1341"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5"/>
      <c r="O106" s="2165"/>
      <c r="P106" s="2166"/>
      <c r="Q106" s="2159"/>
      <c r="R106" s="2146"/>
      <c r="S106" s="2146"/>
      <c r="T106" s="2146"/>
      <c r="U106" s="2146"/>
      <c r="V106" s="2146"/>
      <c r="W106" s="2146"/>
      <c r="X106" s="2146"/>
      <c r="Y106" s="2146"/>
      <c r="Z106" s="2146"/>
      <c r="AA106" s="2146"/>
      <c r="AB106" s="2146"/>
      <c r="AC106" s="2146"/>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2"/>
      <c r="B108" s="676" t="s">
        <v>549</v>
      </c>
      <c r="C108" s="3180" t="s">
        <v>3065</v>
      </c>
      <c r="D108" s="691"/>
      <c r="E108" s="691"/>
      <c r="F108" s="691"/>
      <c r="G108" s="691"/>
      <c r="H108" s="721"/>
      <c r="I108" s="721"/>
      <c r="J108" s="721"/>
      <c r="K108" s="722"/>
      <c r="L108" s="723"/>
      <c r="M108" s="724"/>
      <c r="N108" s="2165"/>
      <c r="O108" s="2165"/>
      <c r="P108" s="2166"/>
      <c r="Q108" s="2159"/>
      <c r="R108" s="2146"/>
      <c r="S108" s="2146"/>
      <c r="T108" s="2146"/>
      <c r="U108" s="2146"/>
      <c r="V108" s="2146"/>
      <c r="W108" s="2146"/>
      <c r="X108" s="2146"/>
      <c r="Y108" s="2146"/>
      <c r="Z108" s="2146"/>
      <c r="AA108" s="2146"/>
      <c r="AB108" s="2146"/>
      <c r="AC108" s="214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2"/>
      <c r="B110" s="676" t="s">
        <v>550</v>
      </c>
      <c r="C110" s="721"/>
      <c r="D110" s="721"/>
      <c r="E110" s="721"/>
      <c r="F110" s="721"/>
      <c r="G110" s="721"/>
      <c r="H110" s="721"/>
      <c r="I110" s="721"/>
      <c r="J110" s="721"/>
      <c r="K110" s="722"/>
      <c r="L110" s="723"/>
      <c r="M110" s="724"/>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72"/>
      <c r="B112" s="684">
        <f>B37</f>
        <v>111</v>
      </c>
      <c r="C112" s="691"/>
      <c r="D112" s="691"/>
      <c r="E112" s="691"/>
      <c r="F112" s="691"/>
      <c r="G112" s="725"/>
      <c r="H112" s="725"/>
      <c r="I112" s="725"/>
      <c r="J112" s="725"/>
      <c r="K112" s="726"/>
      <c r="L112" s="727"/>
      <c r="M112" s="728"/>
      <c r="N112" s="2165"/>
      <c r="O112" s="2165"/>
      <c r="P112" s="2166"/>
      <c r="Q112" s="2159"/>
      <c r="R112" s="2146"/>
      <c r="S112" s="2146"/>
      <c r="T112" s="2146"/>
      <c r="U112" s="2146"/>
      <c r="V112" s="2146"/>
      <c r="W112" s="2146"/>
      <c r="X112" s="2146"/>
      <c r="Y112" s="2146"/>
      <c r="Z112" s="2146"/>
      <c r="AA112" s="2146"/>
      <c r="AB112" s="2146"/>
      <c r="AC112" s="2146"/>
    </row>
    <row r="113" spans="1:29" ht="15.75" thickBot="1">
      <c r="A113" s="672"/>
      <c r="B113" s="702"/>
      <c r="C113" s="695"/>
      <c r="D113" s="695"/>
      <c r="E113" s="695"/>
      <c r="F113" s="695"/>
      <c r="G113" s="729"/>
      <c r="H113" s="729"/>
      <c r="I113" s="729"/>
      <c r="J113" s="729"/>
      <c r="K113" s="729"/>
      <c r="L113" s="729"/>
      <c r="M113" s="730"/>
      <c r="N113" s="2167"/>
      <c r="O113" s="2167"/>
      <c r="P113" s="2166"/>
      <c r="Q113" s="2159"/>
      <c r="R113" s="2146"/>
      <c r="S113" s="2146"/>
      <c r="T113" s="2146"/>
      <c r="U113" s="2146"/>
      <c r="V113" s="2146"/>
      <c r="W113" s="2146"/>
      <c r="X113" s="2146"/>
      <c r="Y113" s="2146"/>
      <c r="Z113" s="2146"/>
      <c r="AA113" s="2146"/>
      <c r="AB113" s="2146"/>
      <c r="AC113" s="2146"/>
    </row>
    <row r="114" spans="1:29" ht="15" thickTop="1">
      <c r="A114" s="590"/>
      <c r="B114" s="676">
        <f>B38</f>
        <v>111</v>
      </c>
      <c r="C114" s="664"/>
      <c r="D114" s="664"/>
      <c r="E114" s="664"/>
      <c r="F114" s="664"/>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703"/>
      <c r="D115" s="703"/>
      <c r="E115" s="703"/>
      <c r="F115" s="703"/>
      <c r="G115" s="674"/>
      <c r="H115" s="674"/>
      <c r="I115" s="674"/>
      <c r="J115" s="674"/>
      <c r="K115" s="674"/>
      <c r="L115" s="674"/>
      <c r="M115" s="675"/>
      <c r="N115" s="2167"/>
      <c r="O115" s="2167"/>
      <c r="P115" s="2166"/>
      <c r="Q115" s="2159"/>
      <c r="R115" s="2146"/>
      <c r="S115" s="2146"/>
      <c r="T115" s="2146"/>
      <c r="U115" s="2146"/>
      <c r="V115" s="2146"/>
      <c r="W115" s="2146"/>
      <c r="X115" s="2146"/>
      <c r="Y115" s="2146"/>
      <c r="Z115" s="2146"/>
      <c r="AA115" s="2146"/>
      <c r="AB115" s="2146"/>
      <c r="AC115" s="2146"/>
    </row>
    <row r="116" spans="1:29" s="1341" customFormat="1" ht="15" thickTop="1">
      <c r="A116" s="731"/>
      <c r="B116" s="732">
        <f>B39</f>
        <v>111</v>
      </c>
      <c r="C116" s="733"/>
      <c r="D116" s="733"/>
      <c r="E116" s="733"/>
      <c r="F116" s="733"/>
      <c r="G116" s="733"/>
      <c r="H116" s="733"/>
      <c r="I116" s="733"/>
      <c r="J116" s="734"/>
      <c r="K116" s="734"/>
      <c r="L116" s="735"/>
      <c r="M116" s="736"/>
      <c r="N116" s="2168"/>
      <c r="O116" s="2168"/>
      <c r="P116" s="2169"/>
      <c r="Q116" s="2170"/>
      <c r="R116" s="2171"/>
      <c r="S116" s="2171"/>
      <c r="T116" s="2171"/>
      <c r="U116" s="2171"/>
      <c r="V116" s="2171"/>
      <c r="W116" s="2171"/>
      <c r="X116" s="2171"/>
      <c r="Y116" s="2171"/>
      <c r="Z116" s="2171"/>
      <c r="AA116" s="2171"/>
      <c r="AB116" s="2171"/>
      <c r="AC116" s="2171"/>
    </row>
    <row r="117" spans="1:29" s="1341" customFormat="1" ht="15.75" thickBot="1">
      <c r="A117" s="690"/>
      <c r="B117" s="684"/>
      <c r="C117" s="653"/>
      <c r="D117" s="595"/>
      <c r="E117" s="595"/>
      <c r="F117" s="595"/>
      <c r="G117" s="595"/>
      <c r="H117" s="595"/>
      <c r="I117" s="595"/>
      <c r="J117" s="595"/>
      <c r="K117" s="595"/>
      <c r="L117" s="595"/>
      <c r="M117" s="737"/>
      <c r="N117" s="2167"/>
      <c r="O117" s="2167"/>
      <c r="P117" s="2169"/>
      <c r="Q117" s="2170"/>
      <c r="R117" s="2171"/>
      <c r="S117" s="2171"/>
      <c r="T117" s="2171"/>
      <c r="U117" s="2171"/>
      <c r="V117" s="2171"/>
      <c r="W117" s="2171"/>
      <c r="X117" s="2171"/>
      <c r="Y117" s="2171"/>
      <c r="Z117" s="2171"/>
      <c r="AA117" s="2171"/>
      <c r="AB117" s="2171"/>
      <c r="AC117" s="2171"/>
    </row>
    <row r="118" spans="1:29" ht="28.5">
      <c r="A118" s="667" t="s">
        <v>552</v>
      </c>
      <c r="B118" s="668" t="s">
        <v>594</v>
      </c>
      <c r="C118" s="707" t="str">
        <f t="shared" ref="C118:L118" si="25">C119&amp;"(含)"&amp;"-"&amp;D119</f>
        <v>10000(含)-50000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17" t="str">
        <f t="shared" si="25"/>
        <v>(含)-</v>
      </c>
      <c r="K118" s="3117" t="str">
        <f t="shared" si="25"/>
        <v>(含)-</v>
      </c>
      <c r="L118" s="3118" t="str">
        <f t="shared" si="25"/>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2"/>
      <c r="B119" s="684"/>
      <c r="C119" s="733">
        <v>10000</v>
      </c>
      <c r="D119" s="733">
        <v>50000</v>
      </c>
      <c r="E119" s="733">
        <v>100000</v>
      </c>
      <c r="F119" s="733">
        <v>150000</v>
      </c>
      <c r="G119" s="733"/>
      <c r="H119" s="733"/>
      <c r="I119" s="733"/>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2"/>
      <c r="B120" s="681"/>
      <c r="C120" s="703">
        <v>100</v>
      </c>
      <c r="D120" s="729">
        <v>101</v>
      </c>
      <c r="E120" s="729">
        <v>102</v>
      </c>
      <c r="F120" s="729">
        <v>103</v>
      </c>
      <c r="G120" s="729"/>
      <c r="H120" s="729"/>
      <c r="I120" s="729"/>
      <c r="J120" s="729"/>
      <c r="K120" s="729"/>
      <c r="L120" s="729"/>
      <c r="M120" s="730"/>
      <c r="N120" s="2167"/>
      <c r="O120" s="2167"/>
      <c r="P120" s="2166"/>
      <c r="Q120" s="2159"/>
      <c r="R120" s="2146"/>
      <c r="S120" s="2146"/>
      <c r="T120" s="2146"/>
      <c r="U120" s="2146"/>
      <c r="V120" s="2146"/>
      <c r="W120" s="2146"/>
      <c r="X120" s="2146"/>
      <c r="Y120" s="2146"/>
      <c r="Z120" s="2146"/>
      <c r="AA120" s="2146"/>
      <c r="AB120" s="2146"/>
      <c r="AC120" s="2146"/>
    </row>
    <row r="121" spans="1:29" ht="15" thickTop="1">
      <c r="A121" s="738"/>
      <c r="B121" s="676" t="s">
        <v>595</v>
      </c>
      <c r="C121" s="3181" t="s">
        <v>3067</v>
      </c>
      <c r="D121" s="721"/>
      <c r="E121" s="721"/>
      <c r="F121" s="721"/>
      <c r="G121" s="721"/>
      <c r="H121" s="721"/>
      <c r="I121" s="721"/>
      <c r="J121" s="721"/>
      <c r="K121" s="722"/>
      <c r="L121" s="723"/>
      <c r="M121" s="724"/>
      <c r="N121" s="2165"/>
      <c r="O121" s="2165"/>
      <c r="P121" s="2166"/>
      <c r="Q121" s="2159"/>
      <c r="R121" s="2146"/>
      <c r="S121" s="2146"/>
      <c r="T121" s="2146"/>
      <c r="U121" s="2146"/>
      <c r="V121" s="2146"/>
      <c r="W121" s="2146"/>
      <c r="X121" s="2146"/>
      <c r="Y121" s="2146"/>
      <c r="Z121" s="2146"/>
      <c r="AA121" s="2146"/>
      <c r="AB121" s="2146"/>
      <c r="AC121" s="214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8"/>
      <c r="B123" s="676" t="s">
        <v>596</v>
      </c>
      <c r="C123" s="3180" t="s">
        <v>3069</v>
      </c>
      <c r="D123" s="691"/>
      <c r="E123" s="691"/>
      <c r="F123" s="721"/>
      <c r="G123" s="721"/>
      <c r="H123" s="721"/>
      <c r="I123" s="721"/>
      <c r="J123" s="721"/>
      <c r="K123" s="722"/>
      <c r="L123" s="723"/>
      <c r="M123" s="724"/>
      <c r="N123" s="2165"/>
      <c r="O123" s="2165"/>
      <c r="P123" s="2166"/>
      <c r="Q123" s="2159"/>
      <c r="R123" s="2146"/>
      <c r="S123" s="2146"/>
      <c r="T123" s="2146"/>
      <c r="U123" s="2146"/>
      <c r="V123" s="2146"/>
      <c r="W123" s="2146"/>
      <c r="X123" s="2146"/>
      <c r="Y123" s="2146"/>
      <c r="Z123" s="2146"/>
      <c r="AA123" s="2146"/>
      <c r="AB123" s="2146"/>
      <c r="AC123" s="214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67"/>
      <c r="O124" s="2167"/>
      <c r="P124" s="2166"/>
      <c r="Q124" s="2159"/>
      <c r="R124" s="2146"/>
      <c r="S124" s="2146"/>
      <c r="T124" s="2146"/>
      <c r="U124" s="2146"/>
      <c r="V124" s="2146"/>
      <c r="W124" s="2146"/>
      <c r="X124" s="2146"/>
      <c r="Y124" s="2146"/>
      <c r="Z124" s="2146"/>
      <c r="AA124" s="2146"/>
      <c r="AB124" s="2146"/>
      <c r="AC124" s="2146"/>
    </row>
    <row r="125" spans="1:29" s="1341" customFormat="1" ht="15" thickTop="1">
      <c r="A125" s="731"/>
      <c r="B125" s="1897" t="s">
        <v>2430</v>
      </c>
      <c r="C125" s="1377" t="s">
        <v>3056</v>
      </c>
      <c r="D125" s="1377" t="s">
        <v>3057</v>
      </c>
      <c r="E125" s="1377" t="s">
        <v>3058</v>
      </c>
      <c r="F125" s="1377" t="s">
        <v>3059</v>
      </c>
      <c r="G125" s="1377" t="s">
        <v>3060</v>
      </c>
      <c r="H125" s="721"/>
      <c r="I125" s="721"/>
      <c r="J125" s="721"/>
      <c r="K125" s="722"/>
      <c r="L125" s="723"/>
      <c r="M125" s="724"/>
      <c r="N125" s="2168"/>
      <c r="O125" s="2168"/>
      <c r="P125" s="2169"/>
      <c r="Q125" s="2170"/>
      <c r="R125" s="2171"/>
      <c r="S125" s="2171"/>
      <c r="T125" s="2171"/>
      <c r="U125" s="2171"/>
      <c r="V125" s="2171"/>
      <c r="W125" s="2171"/>
      <c r="X125" s="2171"/>
      <c r="Y125" s="2171"/>
      <c r="Z125" s="2171"/>
      <c r="AA125" s="2171"/>
      <c r="AB125" s="2171"/>
      <c r="AC125" s="2171"/>
    </row>
    <row r="126" spans="1:29" s="1341"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8"/>
      <c r="B127" s="676" t="s">
        <v>597</v>
      </c>
      <c r="C127" s="3180" t="s">
        <v>3070</v>
      </c>
      <c r="D127" s="691"/>
      <c r="E127" s="721"/>
      <c r="F127" s="721"/>
      <c r="G127" s="721"/>
      <c r="H127" s="721"/>
      <c r="I127" s="721"/>
      <c r="J127" s="721"/>
      <c r="K127" s="722"/>
      <c r="L127" s="723"/>
      <c r="M127" s="724"/>
      <c r="N127" s="2165"/>
      <c r="O127" s="2165"/>
      <c r="P127" s="2166"/>
      <c r="Q127" s="2159"/>
      <c r="R127" s="2146"/>
      <c r="S127" s="2146"/>
      <c r="T127" s="2146"/>
      <c r="U127" s="2146"/>
      <c r="V127" s="2146"/>
      <c r="W127" s="2146"/>
      <c r="X127" s="2146"/>
      <c r="Y127" s="2146"/>
      <c r="Z127" s="2146"/>
      <c r="AA127" s="2146"/>
      <c r="AB127" s="2146"/>
      <c r="AC127" s="214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8"/>
      <c r="B129" s="676" t="str">
        <f>B45</f>
        <v>居住品质</v>
      </c>
      <c r="C129" s="3179" t="s">
        <v>3054</v>
      </c>
      <c r="D129" s="3179" t="s">
        <v>3055</v>
      </c>
      <c r="E129" s="691"/>
      <c r="F129" s="691"/>
      <c r="G129" s="691"/>
      <c r="H129" s="721"/>
      <c r="I129" s="721"/>
      <c r="J129" s="721"/>
      <c r="K129" s="722"/>
      <c r="L129" s="723"/>
      <c r="M129" s="724"/>
      <c r="N129" s="2165"/>
      <c r="O129" s="2165"/>
      <c r="P129" s="2166"/>
      <c r="Q129" s="2159"/>
      <c r="R129" s="2146"/>
      <c r="S129" s="2146"/>
      <c r="T129" s="2146"/>
      <c r="U129" s="2146"/>
      <c r="V129" s="2146"/>
      <c r="W129" s="2146"/>
      <c r="X129" s="2146"/>
      <c r="Y129" s="2146"/>
      <c r="Z129" s="2146"/>
      <c r="AA129" s="2146"/>
      <c r="AB129" s="2146"/>
      <c r="AC129" s="2146"/>
    </row>
    <row r="130" spans="1:29" ht="15.75" thickBot="1">
      <c r="A130" s="672"/>
      <c r="B130" s="681"/>
      <c r="C130" s="695">
        <v>100</v>
      </c>
      <c r="D130" s="695">
        <v>90</v>
      </c>
      <c r="E130" s="695"/>
      <c r="F130" s="695"/>
      <c r="G130" s="674"/>
      <c r="H130" s="674"/>
      <c r="I130" s="674"/>
      <c r="J130" s="674"/>
      <c r="K130" s="674"/>
      <c r="L130" s="674"/>
      <c r="M130" s="675"/>
      <c r="N130" s="2167"/>
      <c r="O130" s="2167"/>
      <c r="P130" s="2166"/>
      <c r="Q130" s="2159"/>
      <c r="R130" s="2146"/>
      <c r="S130" s="2146"/>
      <c r="T130" s="2146"/>
      <c r="U130" s="2146"/>
      <c r="V130" s="2146"/>
      <c r="W130" s="2146"/>
      <c r="X130" s="2146"/>
      <c r="Y130" s="2146"/>
      <c r="Z130" s="2146"/>
      <c r="AA130" s="2146"/>
      <c r="AB130" s="2146"/>
      <c r="AC130" s="2146"/>
    </row>
    <row r="131" spans="1:29" ht="15" thickTop="1">
      <c r="A131" s="738"/>
      <c r="B131" s="676">
        <f>B46</f>
        <v>0</v>
      </c>
      <c r="C131" s="664"/>
      <c r="D131" s="664"/>
      <c r="E131" s="664"/>
      <c r="F131" s="664"/>
      <c r="G131" s="721"/>
      <c r="H131" s="721"/>
      <c r="I131" s="721"/>
      <c r="J131" s="721"/>
      <c r="K131" s="722"/>
      <c r="L131" s="723"/>
      <c r="M131" s="724"/>
      <c r="N131" s="2165"/>
      <c r="O131" s="2165"/>
      <c r="P131" s="2166"/>
      <c r="Q131" s="2159"/>
      <c r="R131" s="2146"/>
      <c r="S131" s="2146"/>
      <c r="T131" s="2146"/>
      <c r="U131" s="2146"/>
      <c r="V131" s="2146"/>
      <c r="W131" s="2146"/>
      <c r="X131" s="2146"/>
      <c r="Y131" s="2146"/>
      <c r="Z131" s="2146"/>
      <c r="AA131" s="2146"/>
      <c r="AB131" s="2146"/>
      <c r="AC131" s="2146"/>
    </row>
    <row r="132" spans="1:29" ht="15.75" thickBot="1">
      <c r="A132" s="672"/>
      <c r="B132" s="681"/>
      <c r="C132" s="703"/>
      <c r="D132" s="703"/>
      <c r="E132" s="703"/>
      <c r="F132" s="703"/>
      <c r="G132" s="674"/>
      <c r="H132" s="674"/>
      <c r="I132" s="674"/>
      <c r="J132" s="674"/>
      <c r="K132" s="674"/>
      <c r="L132" s="674"/>
      <c r="M132" s="675"/>
      <c r="N132" s="2167"/>
      <c r="O132" s="2167"/>
      <c r="P132" s="2166"/>
      <c r="Q132" s="2159"/>
      <c r="R132" s="2146"/>
      <c r="S132" s="2146"/>
      <c r="T132" s="2146"/>
      <c r="U132" s="2146"/>
      <c r="V132" s="2146"/>
      <c r="W132" s="2146"/>
      <c r="X132" s="2146"/>
      <c r="Y132" s="2146"/>
      <c r="Z132" s="2146"/>
      <c r="AA132" s="2146"/>
      <c r="AB132" s="2146"/>
      <c r="AC132" s="2146"/>
    </row>
    <row r="133" spans="1:29" s="1341" customFormat="1" ht="15" thickTop="1">
      <c r="A133" s="731"/>
      <c r="B133" s="676">
        <f>B47</f>
        <v>0</v>
      </c>
      <c r="C133" s="664"/>
      <c r="D133" s="664"/>
      <c r="E133" s="664"/>
      <c r="F133" s="664"/>
      <c r="G133" s="692"/>
      <c r="H133" s="692"/>
      <c r="I133" s="692"/>
      <c r="J133" s="692"/>
      <c r="K133" s="692"/>
      <c r="L133" s="693"/>
      <c r="M133" s="694"/>
      <c r="N133" s="2168"/>
      <c r="O133" s="2168"/>
      <c r="P133" s="2169"/>
      <c r="Q133" s="2170"/>
      <c r="R133" s="2171"/>
      <c r="S133" s="2171"/>
      <c r="T133" s="2171"/>
      <c r="U133" s="2171"/>
      <c r="V133" s="2171"/>
      <c r="W133" s="2171"/>
      <c r="X133" s="2171"/>
      <c r="Y133" s="2171"/>
      <c r="Z133" s="2171"/>
      <c r="AA133" s="2171"/>
      <c r="AB133" s="2171"/>
      <c r="AC133" s="2171"/>
    </row>
    <row r="134" spans="1:29" s="1341" customFormat="1" ht="15.75" thickBot="1">
      <c r="A134" s="701"/>
      <c r="B134" s="739"/>
      <c r="C134" s="703"/>
      <c r="D134" s="703"/>
      <c r="E134" s="703"/>
      <c r="F134" s="703"/>
      <c r="G134" s="729"/>
      <c r="H134" s="729"/>
      <c r="I134" s="729"/>
      <c r="J134" s="729"/>
      <c r="K134" s="729"/>
      <c r="L134" s="729"/>
      <c r="M134" s="730"/>
      <c r="N134" s="2168"/>
      <c r="O134" s="2168"/>
      <c r="P134" s="2169"/>
      <c r="Q134" s="2170"/>
      <c r="R134" s="2171"/>
      <c r="S134" s="2171"/>
      <c r="T134" s="2171"/>
      <c r="U134" s="2171"/>
      <c r="V134" s="2171"/>
      <c r="W134" s="2171"/>
      <c r="X134" s="2171"/>
      <c r="Y134" s="2171"/>
      <c r="Z134" s="2171"/>
      <c r="AA134" s="2171"/>
      <c r="AB134" s="2171"/>
      <c r="AC134" s="2171"/>
    </row>
    <row r="135" spans="1:29" s="1589"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9"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9"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9"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9"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9"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9"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9"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9"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9"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9"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9"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9"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9"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9"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9"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9"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9"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9"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9"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9"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9"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9"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9"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9"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9"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9"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9"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9"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9"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9"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9"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9"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9"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9"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9"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9"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9"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9"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9"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9"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9"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9"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9"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9"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9"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9"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9"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9"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9"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9"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9"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9"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9"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9"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9"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9"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9"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9"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9"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9"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9"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9"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9"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9"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9"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9"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9"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9"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9"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9"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9"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9"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9"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9"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9"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9"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9"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9"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9"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9"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9"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9"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9"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9"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9"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9"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9"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9"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9"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9"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9"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9"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9"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9"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9"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9"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9"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9"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9"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9"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9"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9"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9"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9"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9"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9"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9"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9"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9"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9"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9"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9"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9"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9"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9"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9"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9"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9"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9"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9"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G46" sqref="G46:G49"/>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192" t="str">
        <f>项目基本情况!B1</f>
        <v>河南省郑州市惠济区金达路南北、裕泰路西出让国有建设用地使用权抵押价格预评估</v>
      </c>
      <c r="C37" s="3192"/>
      <c r="D37" s="3192"/>
      <c r="E37" s="3192"/>
      <c r="F37" s="3192"/>
      <c r="G37" s="3192"/>
      <c r="H37" s="3192"/>
      <c r="I37" s="3192"/>
    </row>
    <row r="38" spans="1:9">
      <c r="A38" s="1658"/>
      <c r="B38" s="1658"/>
    </row>
    <row r="39" spans="1:9">
      <c r="A39" s="1656" t="s">
        <v>1903</v>
      </c>
      <c r="B39" s="1656" t="s">
        <v>2050</v>
      </c>
    </row>
    <row r="40" spans="1:9">
      <c r="A40" s="1656"/>
      <c r="B40" s="1656" t="str">
        <f>项目基本情况!B5</f>
        <v>豫泰国际（河南）房地产开发有限公司</v>
      </c>
    </row>
    <row r="41" spans="1:9">
      <c r="A41" s="1656"/>
      <c r="B41" s="1656"/>
    </row>
    <row r="42" spans="1:9">
      <c r="A42" s="1656" t="s">
        <v>1903</v>
      </c>
      <c r="B42" s="1656" t="s">
        <v>2051</v>
      </c>
    </row>
    <row r="43" spans="1:9">
      <c r="A43" s="1656"/>
      <c r="B43" s="1656" t="s">
        <v>1905</v>
      </c>
    </row>
    <row r="44" spans="1:9">
      <c r="A44" s="1656"/>
      <c r="B44" s="1656"/>
    </row>
    <row r="45" spans="1:9">
      <c r="A45" s="1656" t="s">
        <v>1903</v>
      </c>
      <c r="B45" s="1656" t="s">
        <v>2049</v>
      </c>
    </row>
    <row r="46" spans="1:9" s="1656" customFormat="1" ht="12.75">
      <c r="B46" s="1656" t="str">
        <f>项目基本情况!K4</f>
        <v>土地估价师、土地估价师</v>
      </c>
    </row>
    <row r="47" spans="1:9">
      <c r="A47" s="1656"/>
      <c r="B47" s="1656"/>
    </row>
    <row r="48" spans="1:9">
      <c r="A48" s="1656" t="s">
        <v>1903</v>
      </c>
      <c r="B48" s="1656" t="s">
        <v>2052</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70" zoomScaleNormal="100" zoomScaleSheetLayoutView="70" workbookViewId="0">
      <selection activeCell="A2" sqref="A2:G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5">
        <f>MATCH(B1,'数据-取费表'!A6:A16,0)+5</f>
        <v>10</v>
      </c>
    </row>
    <row r="2" spans="1:31" s="2042" customFormat="1" ht="18" customHeight="1">
      <c r="A2" s="2102" t="s">
        <v>467</v>
      </c>
      <c r="B2" s="2106">
        <f ca="1">C36</f>
        <v>219376</v>
      </c>
      <c r="C2" s="2105"/>
      <c r="D2" s="2105"/>
      <c r="E2" s="2105"/>
      <c r="F2" s="2105"/>
      <c r="G2" s="2105"/>
      <c r="H2" s="2105"/>
      <c r="I2" s="2105"/>
      <c r="J2" s="2105"/>
      <c r="K2" s="2105"/>
    </row>
    <row r="3" spans="1:31" s="2042" customFormat="1" ht="18" customHeight="1">
      <c r="A3" s="2107" t="s">
        <v>1686</v>
      </c>
      <c r="B3" s="2108">
        <f ca="1">ROUND(B2*10000/IF(B1="",'数据-汇总表'!E3,INDIRECT("'数据-取费表'!K"&amp;$K$1)),0)</f>
        <v>6624</v>
      </c>
      <c r="C3" s="2105"/>
      <c r="D3" s="2105"/>
      <c r="E3" s="2105"/>
      <c r="F3" s="2105"/>
      <c r="G3" s="2105"/>
      <c r="H3" s="2105"/>
      <c r="I3" s="2105"/>
      <c r="J3" s="2105"/>
      <c r="K3" s="2105"/>
    </row>
    <row r="4" spans="1:31" s="2042" customFormat="1" ht="18" customHeight="1">
      <c r="A4" s="429" t="s">
        <v>468</v>
      </c>
      <c r="B4" s="430">
        <f ca="1">ROUND(B2*10000/IF(B1="",'数据-汇总表'!D3,INDIRECT("'数据-取费表'!R"&amp;$K$1)),0)</f>
        <v>22441</v>
      </c>
      <c r="C4" s="431"/>
      <c r="D4" s="425"/>
      <c r="E4" s="425"/>
      <c r="F4" s="425"/>
      <c r="G4" s="425"/>
      <c r="H4" s="425"/>
      <c r="I4" s="425"/>
      <c r="J4" s="425"/>
      <c r="K4" s="425"/>
    </row>
    <row r="5" spans="1:31" s="2042" customFormat="1" ht="18" customHeight="1" thickBot="1">
      <c r="A5" s="432"/>
      <c r="B5" s="433">
        <f ca="1">ROUND(B2/(IF(B1="",'数据-汇总表'!D3,INDIRECT("'数据-取费表'!R"&amp;$K$1))/666.67),0)</f>
        <v>1496</v>
      </c>
      <c r="C5" s="434" t="s">
        <v>469</v>
      </c>
      <c r="D5" s="425"/>
      <c r="E5" s="425"/>
      <c r="F5" s="425"/>
      <c r="G5" s="425"/>
      <c r="H5" s="425"/>
      <c r="I5" s="425"/>
      <c r="J5" s="425"/>
      <c r="K5" s="425"/>
    </row>
    <row r="6" spans="1:31" s="2112" customFormat="1" ht="16.5" customHeight="1">
      <c r="A6" s="2855" t="s">
        <v>1844</v>
      </c>
      <c r="B6" s="2856"/>
      <c r="C6" s="2857">
        <f ca="1">SUM(C10:K10)</f>
        <v>417359</v>
      </c>
      <c r="D6" s="2856"/>
      <c r="E6" s="2856"/>
      <c r="F6" s="2856"/>
      <c r="G6" s="2856"/>
      <c r="H6" s="2856"/>
      <c r="I6" s="2856"/>
      <c r="J6" s="2856"/>
      <c r="K6" s="2858"/>
    </row>
    <row r="7" spans="1:31" s="2114" customFormat="1" ht="15">
      <c r="A7" s="2859" t="s">
        <v>470</v>
      </c>
      <c r="B7" s="2860" t="s">
        <v>471</v>
      </c>
      <c r="C7" s="439" t="s">
        <v>924</v>
      </c>
      <c r="D7" s="439" t="s">
        <v>2989</v>
      </c>
      <c r="E7" s="439" t="s">
        <v>2994</v>
      </c>
      <c r="F7" s="439" t="s">
        <v>3017</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6" t="s">
        <v>1847</v>
      </c>
      <c r="B8" s="261" t="s">
        <v>472</v>
      </c>
      <c r="C8" s="2861">
        <f>'不动产比较法-住宅'!B3</f>
        <v>16870</v>
      </c>
      <c r="D8" s="2861">
        <f ca="1">'不动产收益法 (商业)'!B3</f>
        <v>20077</v>
      </c>
      <c r="E8" s="2861">
        <f ca="1">不动产收益法!B3</f>
        <v>1561</v>
      </c>
      <c r="F8" s="2861">
        <f>'不动产比较法-公寓'!B3</f>
        <v>10341</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6" t="s">
        <v>1848</v>
      </c>
      <c r="B9" s="261" t="s">
        <v>473</v>
      </c>
      <c r="C9" s="444">
        <f>SUMIF('数据-汇总表'!$C19:$C33,'剩余法-待开发'!C7,'数据-汇总表'!$E19:$E33)</f>
        <v>218152</v>
      </c>
      <c r="D9" s="444">
        <f>SUMIF('数据-汇总表'!$C19:$C33,'剩余法-待开发'!D7,'数据-汇总表'!$E19:$E33)</f>
        <v>5395.86</v>
      </c>
      <c r="E9" s="444">
        <f>SUMIF('数据-汇总表'!$C19:$C33,'剩余法-待开发'!E7,'数据-汇总表'!$E19:$E33)</f>
        <v>76965</v>
      </c>
      <c r="F9" s="444">
        <f>SUMIF('数据-汇总表'!$C19:$C33,'剩余法-待开发'!F7,'数据-汇总表'!$E19:$E33)</f>
        <v>25613</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3">
        <f>'不动产比较法-住宅'!B2</f>
        <v>368022</v>
      </c>
      <c r="D10" s="3053">
        <f ca="1">'不动产收益法 (商业)'!B2</f>
        <v>10833</v>
      </c>
      <c r="E10" s="3053">
        <f ca="1">不动产收益法!B2</f>
        <v>12018</v>
      </c>
      <c r="F10" s="2864">
        <f>'不动产比较法-公寓'!B2</f>
        <v>26486</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3">
        <f ca="1">IF(B1="",'数据-取费表'!P16,INDIRECT("'数据-取费表'!p"&amp;$K$1)+INDIRECT("'数据-取费表'!t"&amp;$K$1))</f>
        <v>73938</v>
      </c>
      <c r="D13" s="2871"/>
      <c r="E13" s="2872"/>
      <c r="F13" s="2873"/>
      <c r="G13" s="2839"/>
      <c r="H13" s="2840"/>
      <c r="I13" s="2840"/>
      <c r="J13" s="2840"/>
      <c r="K13" s="2841"/>
    </row>
    <row r="14" spans="1:31" s="2117" customFormat="1" ht="13.5" customHeight="1">
      <c r="A14" s="2869" t="s">
        <v>1851</v>
      </c>
      <c r="B14" s="2870" t="s">
        <v>480</v>
      </c>
      <c r="C14" s="53">
        <f ca="1">ROUND(C13*F14,0)</f>
        <v>2218</v>
      </c>
      <c r="D14" s="2871"/>
      <c r="E14" s="2872"/>
      <c r="F14" s="2874">
        <f>'数据-取费表'!B33</f>
        <v>0.03</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2400</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6623</v>
      </c>
      <c r="D16" s="2871">
        <f ca="1">IF(B1="",'数据-汇总表'!E3,INDIRECT("'数据-取费表'!K"&amp;$K$1)+INDIRECT("'数据-取费表'!S"&amp;$K$1))</f>
        <v>331165.86</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1109</v>
      </c>
      <c r="D17" s="478"/>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86288</v>
      </c>
      <c r="D18" s="2880"/>
      <c r="E18" s="471"/>
      <c r="F18" s="471"/>
      <c r="G18" s="2843" t="s">
        <v>2435</v>
      </c>
      <c r="H18" s="2844"/>
      <c r="I18" s="2844"/>
      <c r="J18" s="2844"/>
      <c r="K18" s="2845"/>
    </row>
    <row r="19" spans="1:14" s="2117" customFormat="1" ht="13.5" customHeight="1">
      <c r="A19" s="2877" t="s">
        <v>1856</v>
      </c>
      <c r="B19" s="2878" t="s">
        <v>488</v>
      </c>
      <c r="C19" s="2835">
        <f ca="1">ROUND(D19*E19/10000,0)</f>
        <v>3312</v>
      </c>
      <c r="D19" s="2881">
        <f ca="1">D16</f>
        <v>331165.86</v>
      </c>
      <c r="E19" s="2835">
        <f>'数据-取费表'!B32</f>
        <v>100</v>
      </c>
      <c r="F19" s="471"/>
      <c r="G19" s="2839" t="s">
        <v>489</v>
      </c>
      <c r="H19" s="2840"/>
      <c r="I19" s="2844"/>
      <c r="J19" s="2844"/>
      <c r="K19" s="2845"/>
    </row>
    <row r="20" spans="1:14" s="2117" customFormat="1" ht="13.5" customHeight="1">
      <c r="A20" s="2877" t="s">
        <v>1857</v>
      </c>
      <c r="B20" s="2878" t="s">
        <v>490</v>
      </c>
      <c r="C20" s="2835">
        <f ca="1">C21+C22-IF(B1="",'数据-取费表'!B29,IF(G20="已全部缴纳",C21+C22,H20))</f>
        <v>5630</v>
      </c>
      <c r="D20" s="2881"/>
      <c r="E20" s="2835"/>
      <c r="F20" s="2882"/>
      <c r="G20" s="3113"/>
      <c r="H20" s="2837"/>
      <c r="I20" s="2838" t="s">
        <v>2658</v>
      </c>
      <c r="J20" s="2844"/>
      <c r="K20" s="2845"/>
    </row>
    <row r="21" spans="1:14" s="2117" customFormat="1" ht="13.5" customHeight="1">
      <c r="A21" s="2869" t="s">
        <v>1858</v>
      </c>
      <c r="B21" s="2870" t="s">
        <v>491</v>
      </c>
      <c r="C21" s="53">
        <f ca="1">ROUND(D21*E21/10000,0)</f>
        <v>3709</v>
      </c>
      <c r="D21" s="2871">
        <f ca="1">IF(B1="",'数据-汇总表'!E5,IF(INDIRECT("'数据-取费表'!c"&amp;$K$1)="住宅",INDIRECT("'数据-取费表'!k"&amp;$K$1),0))</f>
        <v>218152</v>
      </c>
      <c r="E21" s="53">
        <f>'数据-取费表'!B27</f>
        <v>170</v>
      </c>
      <c r="F21" s="2874"/>
      <c r="G21" s="26"/>
      <c r="H21" s="51"/>
      <c r="I21" s="51"/>
      <c r="J21" s="51"/>
      <c r="K21" s="2846"/>
    </row>
    <row r="22" spans="1:14" s="2117" customFormat="1" ht="13.5" customHeight="1">
      <c r="A22" s="2869" t="s">
        <v>1859</v>
      </c>
      <c r="B22" s="2870" t="s">
        <v>492</v>
      </c>
      <c r="C22" s="53">
        <f ca="1">ROUND(D22*E22/10000,0)</f>
        <v>1921</v>
      </c>
      <c r="D22" s="2871">
        <f ca="1">IF(B1="",'数据-汇总表'!E6,IF(INDIRECT("'数据-取费表'!c"&amp;$K$1)="住宅",INDIRECT("'数据-取费表'!s"&amp;$K$1),INDIRECT("'数据-取费表'!k"&amp;$K$1)+INDIRECT("'数据-取费表'!s"&amp;$K$1)))</f>
        <v>113013.85999999999</v>
      </c>
      <c r="E22" s="53">
        <f>'数据-取费表'!B28</f>
        <v>170</v>
      </c>
      <c r="F22" s="2874"/>
      <c r="G22" s="26"/>
      <c r="H22" s="51"/>
      <c r="I22" s="51"/>
      <c r="J22" s="51"/>
      <c r="K22" s="2846"/>
    </row>
    <row r="23" spans="1:14" s="2117" customFormat="1" ht="13.5" customHeight="1">
      <c r="A23" s="2877" t="s">
        <v>1860</v>
      </c>
      <c r="B23" s="3059" t="s">
        <v>2841</v>
      </c>
      <c r="C23" s="2879">
        <f ca="1">ROUND((C18+C19+C20)*F23,0)</f>
        <v>1905</v>
      </c>
      <c r="D23" s="471"/>
      <c r="E23" s="471"/>
      <c r="F23" s="2883">
        <f>'数据-取费表'!B37</f>
        <v>0.02</v>
      </c>
      <c r="G23" s="2839" t="s">
        <v>2436</v>
      </c>
      <c r="H23" s="2840"/>
      <c r="I23" s="2840"/>
      <c r="J23" s="2840"/>
      <c r="K23" s="2841"/>
      <c r="L23" s="2119"/>
      <c r="M23" s="2119"/>
      <c r="N23" s="2119"/>
    </row>
    <row r="24" spans="1:14" s="2117" customFormat="1" ht="13.5" customHeight="1">
      <c r="A24" s="2877" t="s">
        <v>1861</v>
      </c>
      <c r="B24" s="3059" t="s">
        <v>2844</v>
      </c>
      <c r="C24" s="2879">
        <f ca="1">ROUND(C6*F24,0)</f>
        <v>8347</v>
      </c>
      <c r="D24" s="478"/>
      <c r="E24" s="476"/>
      <c r="F24" s="2883">
        <f>'数据-取费表'!B38</f>
        <v>0.02</v>
      </c>
      <c r="G24" s="2848" t="s">
        <v>499</v>
      </c>
      <c r="H24" s="2842"/>
      <c r="I24" s="2842"/>
      <c r="J24" s="2842"/>
      <c r="K24" s="279"/>
      <c r="L24" s="2119"/>
      <c r="M24" s="2119"/>
      <c r="N24" s="2119"/>
    </row>
    <row r="25" spans="1:14" s="2120" customFormat="1" ht="13.5" customHeight="1">
      <c r="A25" s="2877" t="s">
        <v>1862</v>
      </c>
      <c r="B25" s="3059" t="s">
        <v>2842</v>
      </c>
      <c r="C25" s="470">
        <f>ROUND(F25/(1+'数据-取费表'!C42),4)</f>
        <v>2.9000000000000001E-2</v>
      </c>
      <c r="D25" s="465" t="s">
        <v>2836</v>
      </c>
      <c r="E25" s="472"/>
      <c r="F25" s="2883">
        <f>'数据-取费表'!B48+'数据-取费表'!B49</f>
        <v>3.0499999999999999E-2</v>
      </c>
      <c r="G25" s="2847" t="s">
        <v>2293</v>
      </c>
      <c r="H25" s="2840"/>
      <c r="I25" s="2840"/>
      <c r="J25" s="2840"/>
      <c r="K25" s="2841"/>
    </row>
    <row r="26" spans="1:14" s="2119" customFormat="1" ht="13.5" customHeight="1">
      <c r="A26" s="2877" t="s">
        <v>1863</v>
      </c>
      <c r="B26" s="3060" t="s">
        <v>2843</v>
      </c>
      <c r="C26" s="2884">
        <f ca="1">C28</f>
        <v>6300</v>
      </c>
      <c r="D26" s="470">
        <f ca="1">C27</f>
        <v>0.12659999999999999</v>
      </c>
      <c r="E26" s="472" t="s">
        <v>495</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6" t="s">
        <v>1858</v>
      </c>
      <c r="B27" s="2885" t="s">
        <v>496</v>
      </c>
      <c r="C27" s="2886">
        <f ca="1">ROUND(IF('数据-取费表'!B22&lt;=1,(1+C25)*F26*'数据-取费表'!B24,(1+C25)*(POWER((1+F26),'数据-取费表'!B24)-1)),4)</f>
        <v>0.12659999999999999</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6" t="s">
        <v>1859</v>
      </c>
      <c r="B28" s="2885" t="s">
        <v>2845</v>
      </c>
      <c r="C28" s="2887">
        <f ca="1">ROUND(IF('数据-取费表'!B22&lt;=1,(C18+C19+C20+C23+C24)*F26*'数据-取费表'!B24/2,(C18+C19+C20+C23+C24)*(POWER((1+F26),'数据-取费表'!B24/2)-1)),0)</f>
        <v>6300</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22259</v>
      </c>
      <c r="D29" s="471"/>
      <c r="E29" s="471"/>
      <c r="F29" s="3061">
        <f>'数据-取费表'!B41</f>
        <v>5.6000000000000001E-2</v>
      </c>
      <c r="G29" s="2848" t="s">
        <v>498</v>
      </c>
      <c r="H29" s="2840"/>
      <c r="I29" s="2840"/>
      <c r="J29" s="2840"/>
      <c r="K29" s="2841"/>
    </row>
    <row r="30" spans="1:14" s="2122" customFormat="1" ht="13.5" customHeight="1">
      <c r="A30" s="1637" t="s">
        <v>1865</v>
      </c>
      <c r="B30" s="2889" t="s">
        <v>500</v>
      </c>
      <c r="C30" s="2884">
        <f ca="1">C31</f>
        <v>134041</v>
      </c>
      <c r="D30" s="480">
        <f ca="1">C32</f>
        <v>0.15559999999999999</v>
      </c>
      <c r="E30" s="472" t="s">
        <v>495</v>
      </c>
      <c r="F30" s="474"/>
      <c r="G30" s="2839" t="s">
        <v>501</v>
      </c>
      <c r="H30" s="2840"/>
      <c r="I30" s="2840"/>
      <c r="J30" s="2840"/>
      <c r="K30" s="2841"/>
    </row>
    <row r="31" spans="1:14" s="2121" customFormat="1" ht="13.5" customHeight="1">
      <c r="A31" s="806" t="s">
        <v>1858</v>
      </c>
      <c r="B31" s="2885"/>
      <c r="C31" s="453">
        <f ca="1">C18+C19+C20+C23+C24+C26+C29</f>
        <v>134041</v>
      </c>
      <c r="D31" s="475"/>
      <c r="E31" s="476"/>
      <c r="F31" s="477"/>
      <c r="G31" s="261"/>
      <c r="H31" s="2842"/>
      <c r="I31" s="2842"/>
      <c r="J31" s="2842"/>
      <c r="K31" s="279"/>
    </row>
    <row r="32" spans="1:14" s="2121" customFormat="1" ht="13.5" customHeight="1">
      <c r="A32" s="806" t="s">
        <v>1859</v>
      </c>
      <c r="B32" s="2885"/>
      <c r="C32" s="53">
        <f ca="1">ROUND(C25+D26,4)</f>
        <v>0.15559999999999999</v>
      </c>
      <c r="D32" s="475"/>
      <c r="E32" s="476"/>
      <c r="F32" s="477"/>
      <c r="G32" s="261"/>
      <c r="H32" s="2842"/>
      <c r="I32" s="2842"/>
      <c r="J32" s="2842"/>
      <c r="K32" s="279"/>
    </row>
    <row r="33" spans="1:11" s="2123" customFormat="1" ht="13.5" customHeight="1">
      <c r="A33" s="3058" t="s">
        <v>2840</v>
      </c>
      <c r="B33" s="3056" t="s">
        <v>2838</v>
      </c>
      <c r="C33" s="481">
        <f ca="1">C35</f>
        <v>9493</v>
      </c>
      <c r="D33" s="470">
        <f ca="1">C34</f>
        <v>9.2600000000000002E-2</v>
      </c>
      <c r="E33" s="472" t="s">
        <v>495</v>
      </c>
      <c r="F33" s="482">
        <f ca="1">IF(B1="",'数据-取费表'!Q16,INDIRECT("'数据-取费表'!q"&amp;$K$1))</f>
        <v>0.09</v>
      </c>
      <c r="G33" s="2843"/>
      <c r="H33" s="2844"/>
      <c r="I33" s="2844"/>
      <c r="J33" s="2844"/>
      <c r="K33" s="2845"/>
    </row>
    <row r="34" spans="1:11" s="2124" customFormat="1" ht="13.5" customHeight="1">
      <c r="A34" s="378" t="s">
        <v>1858</v>
      </c>
      <c r="B34" s="2890" t="s">
        <v>502</v>
      </c>
      <c r="C34" s="475">
        <f ca="1">ROUND((1+C25)*F33,4)</f>
        <v>9.2600000000000002E-2</v>
      </c>
      <c r="D34" s="475"/>
      <c r="E34" s="476"/>
      <c r="F34" s="483"/>
      <c r="G34" s="261" t="s">
        <v>2294</v>
      </c>
      <c r="H34" s="2842"/>
      <c r="I34" s="2842"/>
      <c r="J34" s="2842"/>
      <c r="K34" s="279"/>
    </row>
    <row r="35" spans="1:11" s="2124" customFormat="1" ht="13.5" customHeight="1" thickBot="1">
      <c r="A35" s="1638" t="s">
        <v>1859</v>
      </c>
      <c r="B35" s="3057" t="s">
        <v>2846</v>
      </c>
      <c r="C35" s="1630">
        <f ca="1">ROUND((C18+C19+C20+C23+C24)*F33,0)</f>
        <v>9493</v>
      </c>
      <c r="D35" s="1631"/>
      <c r="E35" s="2891"/>
      <c r="F35" s="1632"/>
      <c r="G35" s="2849"/>
      <c r="H35" s="2850"/>
      <c r="I35" s="2850"/>
      <c r="J35" s="2850"/>
      <c r="K35" s="2851"/>
    </row>
    <row r="36" spans="1:11" s="2086" customFormat="1" ht="13.5" customHeight="1" thickBot="1">
      <c r="A36" s="284" t="s">
        <v>1846</v>
      </c>
      <c r="B36" s="2853"/>
      <c r="C36" s="2892">
        <f ca="1">ROUND((C6-C30-C33)/(1+D30+D33),0)</f>
        <v>219376</v>
      </c>
      <c r="D36" s="2853"/>
      <c r="E36" s="2853"/>
      <c r="F36" s="2853"/>
      <c r="G36" s="2852" t="s">
        <v>2847</v>
      </c>
      <c r="H36" s="2853"/>
      <c r="I36" s="2853"/>
      <c r="J36" s="2853"/>
      <c r="K36" s="2854"/>
    </row>
    <row r="37" spans="1:11">
      <c r="C37" s="2126">
        <f ca="1">ROUND(C6/D16*10000,0)</f>
        <v>12603</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55" zoomScaleNormal="80" zoomScaleSheetLayoutView="55" workbookViewId="0">
      <selection activeCell="L43" sqref="L43"/>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8" t="s">
        <v>720</v>
      </c>
      <c r="C1" s="2649" t="s">
        <v>721</v>
      </c>
      <c r="D1" s="2650" t="s">
        <v>3017</v>
      </c>
      <c r="E1" s="2651"/>
      <c r="F1" s="2834" t="s">
        <v>3008</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7">
        <f>ROUND(B3*D3/10000,0)</f>
        <v>26486</v>
      </c>
      <c r="C2" s="2128"/>
      <c r="D2" s="2128"/>
      <c r="E2" s="2128"/>
      <c r="F2" s="2202"/>
      <c r="G2" s="2128"/>
      <c r="H2" s="2128"/>
      <c r="I2" s="2128"/>
      <c r="J2" s="2128"/>
      <c r="K2" s="2203"/>
      <c r="L2" s="2204"/>
      <c r="M2" s="2205"/>
      <c r="N2" s="2205"/>
      <c r="O2" s="2205"/>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10341</v>
      </c>
      <c r="C3" s="855" t="s">
        <v>723</v>
      </c>
      <c r="D3" s="854">
        <f>SUMIF('数据-汇总表'!$C19:$C33,D1,'数据-汇总表'!$E19:$E33)</f>
        <v>25613</v>
      </c>
      <c r="E3" s="2128"/>
      <c r="F3" s="2202"/>
      <c r="G3" s="2128"/>
      <c r="H3" s="2128"/>
      <c r="I3" s="2128"/>
      <c r="J3" s="2128"/>
      <c r="K3" s="2203"/>
      <c r="L3" s="2204"/>
      <c r="M3" s="2205"/>
      <c r="N3" s="2205"/>
      <c r="O3" s="2205"/>
      <c r="P3" s="1604"/>
      <c r="Q3" s="1604"/>
      <c r="R3" s="1604"/>
      <c r="S3" s="1604"/>
      <c r="T3" s="1604"/>
      <c r="U3" s="1604"/>
      <c r="V3" s="1604"/>
      <c r="W3" s="1604"/>
      <c r="X3" s="1604"/>
      <c r="Y3" s="1604"/>
      <c r="Z3" s="1604"/>
      <c r="AA3" s="1604"/>
      <c r="AB3" s="1604"/>
      <c r="AC3" s="1606"/>
    </row>
    <row r="4" spans="1:29" ht="15">
      <c r="A4" s="515" t="s">
        <v>522</v>
      </c>
      <c r="B4" s="516"/>
      <c r="C4" s="3366" t="s">
        <v>523</v>
      </c>
      <c r="D4" s="3367"/>
      <c r="E4" s="3400" t="s">
        <v>524</v>
      </c>
      <c r="F4" s="3401"/>
      <c r="G4" s="3366" t="s">
        <v>525</v>
      </c>
      <c r="H4" s="3367"/>
      <c r="I4" s="3366" t="s">
        <v>526</v>
      </c>
      <c r="J4" s="3367"/>
      <c r="K4" s="856" t="s">
        <v>527</v>
      </c>
      <c r="L4" s="2134"/>
      <c r="M4" s="2135"/>
      <c r="N4" s="2135"/>
      <c r="O4" s="2135"/>
      <c r="P4" s="3368" t="s">
        <v>528</v>
      </c>
      <c r="Q4" s="3369"/>
      <c r="R4" s="3374" t="s">
        <v>524</v>
      </c>
      <c r="S4" s="3375"/>
      <c r="T4" s="3374" t="s">
        <v>525</v>
      </c>
      <c r="U4" s="3375"/>
      <c r="V4" s="3361" t="s">
        <v>526</v>
      </c>
      <c r="W4" s="3361"/>
      <c r="X4" s="3173"/>
      <c r="Y4" s="3374" t="s">
        <v>528</v>
      </c>
      <c r="Z4" s="3375"/>
      <c r="AA4" s="3363" t="s">
        <v>524</v>
      </c>
      <c r="AB4" s="3363" t="s">
        <v>525</v>
      </c>
      <c r="AC4" s="3363" t="s">
        <v>526</v>
      </c>
    </row>
    <row r="5" spans="1:29" ht="15">
      <c r="A5" s="518"/>
      <c r="B5" s="519"/>
      <c r="C5" s="3384" t="s">
        <v>2934</v>
      </c>
      <c r="D5" s="3383"/>
      <c r="E5" s="3402" t="s">
        <v>3039</v>
      </c>
      <c r="F5" s="3403"/>
      <c r="G5" s="3382" t="s">
        <v>3099</v>
      </c>
      <c r="H5" s="3383"/>
      <c r="I5" s="3382" t="s">
        <v>3046</v>
      </c>
      <c r="J5" s="3383"/>
      <c r="K5" s="857"/>
      <c r="L5" s="2134"/>
      <c r="M5" s="2135"/>
      <c r="N5" s="2135"/>
      <c r="O5" s="2135"/>
      <c r="P5" s="3370"/>
      <c r="Q5" s="3371"/>
      <c r="R5" s="3376"/>
      <c r="S5" s="3377"/>
      <c r="T5" s="3376"/>
      <c r="U5" s="3377"/>
      <c r="V5" s="3361"/>
      <c r="W5" s="3361"/>
      <c r="X5" s="3173"/>
      <c r="Y5" s="3376"/>
      <c r="Z5" s="3377"/>
      <c r="AA5" s="3364"/>
      <c r="AB5" s="3364"/>
      <c r="AC5" s="3364"/>
    </row>
    <row r="6" spans="1:29" ht="26.25" customHeight="1" thickBot="1">
      <c r="A6" s="520"/>
      <c r="B6" s="521"/>
      <c r="C6" s="3404" t="s">
        <v>2938</v>
      </c>
      <c r="D6" s="3381"/>
      <c r="E6" s="3405" t="s">
        <v>3044</v>
      </c>
      <c r="F6" s="3406"/>
      <c r="G6" s="3380" t="s">
        <v>3045</v>
      </c>
      <c r="H6" s="3381"/>
      <c r="I6" s="3380" t="s">
        <v>3047</v>
      </c>
      <c r="J6" s="3381"/>
      <c r="K6" s="857" t="s">
        <v>529</v>
      </c>
      <c r="L6" s="2134"/>
      <c r="M6" s="2135"/>
      <c r="N6" s="2135"/>
      <c r="O6" s="2135"/>
      <c r="P6" s="3372"/>
      <c r="Q6" s="3373"/>
      <c r="R6" s="3376"/>
      <c r="S6" s="3377"/>
      <c r="T6" s="3378"/>
      <c r="U6" s="3379"/>
      <c r="V6" s="3361"/>
      <c r="W6" s="3361"/>
      <c r="X6" s="3173"/>
      <c r="Y6" s="3378"/>
      <c r="Z6" s="3379"/>
      <c r="AA6" s="3365"/>
      <c r="AB6" s="3365"/>
      <c r="AC6" s="3365"/>
    </row>
    <row r="7" spans="1:29" s="1222" customFormat="1" ht="15.75" thickBot="1">
      <c r="A7" s="2939"/>
      <c r="B7" s="2946" t="s">
        <v>530</v>
      </c>
      <c r="C7" s="522">
        <f>'数据-取费表'!B2</f>
        <v>43025</v>
      </c>
      <c r="D7" s="523">
        <v>100</v>
      </c>
      <c r="E7" s="524">
        <f>C7</f>
        <v>43025</v>
      </c>
      <c r="F7" s="525">
        <f>SUMIF(58:58,YEAR(E7)&amp;"-"&amp;MONTH(E7),59:59)</f>
        <v>100</v>
      </c>
      <c r="G7" s="526">
        <f>C7</f>
        <v>43025</v>
      </c>
      <c r="H7" s="523">
        <f>SUMIF(58:58,YEAR(G7)&amp;"-"&amp;MONTH(G7),59:59)</f>
        <v>100</v>
      </c>
      <c r="I7" s="526">
        <f>C7</f>
        <v>43025</v>
      </c>
      <c r="J7" s="523">
        <f>SUMIF(58:58,YEAR(I7)&amp;"-"&amp;MONTH(I7),59:59)</f>
        <v>100</v>
      </c>
      <c r="K7" s="858"/>
      <c r="L7" s="2136"/>
      <c r="M7" s="2137"/>
      <c r="N7" s="2137"/>
      <c r="O7" s="2137"/>
      <c r="P7" s="3393" t="s">
        <v>531</v>
      </c>
      <c r="Q7" s="3395"/>
      <c r="R7" s="1570" t="s">
        <v>13</v>
      </c>
      <c r="S7" s="1571">
        <f t="shared" ref="S7:S15" si="0">F7</f>
        <v>100</v>
      </c>
      <c r="T7" s="1570" t="s">
        <v>13</v>
      </c>
      <c r="U7" s="1571">
        <f t="shared" ref="U7:U15" si="1">H7</f>
        <v>100</v>
      </c>
      <c r="V7" s="1570" t="s">
        <v>13</v>
      </c>
      <c r="W7" s="1571">
        <f t="shared" ref="W7:W15" si="2">J7</f>
        <v>100</v>
      </c>
      <c r="X7" s="1572"/>
      <c r="Y7" s="3393" t="s">
        <v>531</v>
      </c>
      <c r="Z7" s="3394"/>
      <c r="AA7" s="1573">
        <f>D7/F7</f>
        <v>1</v>
      </c>
      <c r="AB7" s="1573">
        <f>D7/H7</f>
        <v>1</v>
      </c>
      <c r="AC7" s="1573">
        <f>D7/J7</f>
        <v>1</v>
      </c>
    </row>
    <row r="8" spans="1:29" s="1222" customFormat="1" ht="15.75" thickBot="1">
      <c r="A8" s="2940"/>
      <c r="B8" s="2947" t="s">
        <v>532</v>
      </c>
      <c r="C8" s="528" t="s">
        <v>577</v>
      </c>
      <c r="D8" s="523">
        <v>100</v>
      </c>
      <c r="E8" s="859" t="s">
        <v>3006</v>
      </c>
      <c r="F8" s="525">
        <f>SUMIF(61:61,E8,62:62)-SUMIF(61:61,C8,62:62)+100</f>
        <v>100</v>
      </c>
      <c r="G8" s="528" t="s">
        <v>3006</v>
      </c>
      <c r="H8" s="523">
        <f>SUMIF(61:61,G8,62:62)-SUMIF(61:61,C8,62:62)+100</f>
        <v>100</v>
      </c>
      <c r="I8" s="859" t="s">
        <v>3006</v>
      </c>
      <c r="J8" s="523">
        <f>SUMIF(61:61,I8,62:62)-SUMIF(61:61,C8,62:62)+100</f>
        <v>100</v>
      </c>
      <c r="K8" s="858"/>
      <c r="L8" s="2136"/>
      <c r="M8" s="2137"/>
      <c r="N8" s="2137"/>
      <c r="O8" s="2137"/>
      <c r="P8" s="3393" t="s">
        <v>534</v>
      </c>
      <c r="Q8" s="3394"/>
      <c r="R8" s="1570" t="s">
        <v>13</v>
      </c>
      <c r="S8" s="1571">
        <f t="shared" si="0"/>
        <v>100</v>
      </c>
      <c r="T8" s="1570" t="s">
        <v>13</v>
      </c>
      <c r="U8" s="1571">
        <f t="shared" si="1"/>
        <v>100</v>
      </c>
      <c r="V8" s="1570" t="s">
        <v>13</v>
      </c>
      <c r="W8" s="1571">
        <f t="shared" si="2"/>
        <v>100</v>
      </c>
      <c r="X8" s="1572"/>
      <c r="Y8" s="3393" t="s">
        <v>534</v>
      </c>
      <c r="Z8" s="3394"/>
      <c r="AA8" s="1573">
        <f t="shared" ref="AA8:AA46" si="3">D8/F8</f>
        <v>1</v>
      </c>
      <c r="AB8" s="1573">
        <f t="shared" ref="AB8:AB46" si="4">D8/H8</f>
        <v>1</v>
      </c>
      <c r="AC8" s="1573">
        <f t="shared" ref="AC8:AC46" si="5">D8/J8</f>
        <v>1</v>
      </c>
    </row>
    <row r="9" spans="1:29" s="1222" customFormat="1" ht="15">
      <c r="A9" s="2941"/>
      <c r="B9" s="2948" t="s">
        <v>2763</v>
      </c>
      <c r="C9" s="3165" t="s">
        <v>3041</v>
      </c>
      <c r="D9" s="254">
        <v>100</v>
      </c>
      <c r="E9" s="861" t="s">
        <v>1679</v>
      </c>
      <c r="F9" s="862">
        <f>SUMIF(63:63,E9,64:64)-SUMIF(63:63,C9,64:64)+100</f>
        <v>100</v>
      </c>
      <c r="G9" s="863" t="s">
        <v>1679</v>
      </c>
      <c r="H9" s="254">
        <f>SUMIF(63:63,G9,64:64)-SUMIF(63:63,C9,64:64)+100</f>
        <v>100</v>
      </c>
      <c r="I9" s="863" t="s">
        <v>1679</v>
      </c>
      <c r="J9" s="254">
        <f>SUMIF(63:63,I9,64:64)-SUMIF(63:63,C9,64:64)+100</f>
        <v>100</v>
      </c>
      <c r="K9" s="858"/>
      <c r="L9" s="2136"/>
      <c r="M9" s="2137"/>
      <c r="N9" s="2137"/>
      <c r="O9" s="2138"/>
      <c r="P9" s="3360" t="s">
        <v>536</v>
      </c>
      <c r="Q9" s="3168" t="str">
        <f t="shared" ref="Q9:Q15" si="6">B9</f>
        <v>用途</v>
      </c>
      <c r="R9" s="1570" t="s">
        <v>8</v>
      </c>
      <c r="S9" s="1571">
        <f t="shared" si="0"/>
        <v>100</v>
      </c>
      <c r="T9" s="1570" t="s">
        <v>8</v>
      </c>
      <c r="U9" s="1571">
        <f t="shared" si="1"/>
        <v>100</v>
      </c>
      <c r="V9" s="1570" t="s">
        <v>8</v>
      </c>
      <c r="W9" s="1571">
        <f t="shared" si="2"/>
        <v>100</v>
      </c>
      <c r="X9" s="1572"/>
      <c r="Y9" s="3306" t="s">
        <v>537</v>
      </c>
      <c r="Z9" s="3166" t="str">
        <f t="shared" ref="Z9:Z15" si="7">Q9</f>
        <v>用途</v>
      </c>
      <c r="AA9" s="1573">
        <f t="shared" si="3"/>
        <v>1</v>
      </c>
      <c r="AB9" s="1573">
        <f t="shared" si="4"/>
        <v>1</v>
      </c>
      <c r="AC9" s="1573">
        <f t="shared" si="5"/>
        <v>1</v>
      </c>
    </row>
    <row r="10" spans="1:29" s="1340" customFormat="1" ht="27">
      <c r="A10" s="2942"/>
      <c r="B10" s="2947" t="s">
        <v>2764</v>
      </c>
      <c r="C10" s="864" t="s">
        <v>3042</v>
      </c>
      <c r="D10" s="255">
        <v>100</v>
      </c>
      <c r="E10" s="865" t="s">
        <v>3043</v>
      </c>
      <c r="F10" s="866">
        <f>SUMIF(65:65,E10,66:66)-SUMIF(65:65,C10,66:66)+100</f>
        <v>105</v>
      </c>
      <c r="G10" s="864" t="s">
        <v>3043</v>
      </c>
      <c r="H10" s="255">
        <f>SUMIF(65:65,G10,66:66)-SUMIF(65:65,C10,66:66)+100</f>
        <v>105</v>
      </c>
      <c r="I10" s="864" t="s">
        <v>3042</v>
      </c>
      <c r="J10" s="255">
        <f>SUMIF(65:65,I10,66:66)-SUMIF(65:65,C10,66:66)+100</f>
        <v>100</v>
      </c>
      <c r="K10" s="867">
        <v>5</v>
      </c>
      <c r="L10" s="2139"/>
      <c r="M10" s="2179"/>
      <c r="N10" s="2179"/>
      <c r="O10" s="2140"/>
      <c r="P10" s="3360"/>
      <c r="Q10" s="3168" t="str">
        <f t="shared" si="6"/>
        <v>土地使用年限（年）</v>
      </c>
      <c r="R10" s="1570" t="s">
        <v>8</v>
      </c>
      <c r="S10" s="1571">
        <f t="shared" si="0"/>
        <v>105</v>
      </c>
      <c r="T10" s="1570" t="s">
        <v>8</v>
      </c>
      <c r="U10" s="1571">
        <f t="shared" si="1"/>
        <v>105</v>
      </c>
      <c r="V10" s="1570" t="s">
        <v>8</v>
      </c>
      <c r="W10" s="1571">
        <f t="shared" si="2"/>
        <v>100</v>
      </c>
      <c r="X10" s="1572"/>
      <c r="Y10" s="3306"/>
      <c r="Z10" s="3166" t="str">
        <f t="shared" si="7"/>
        <v>土地使用年限（年）</v>
      </c>
      <c r="AA10" s="1573">
        <f t="shared" si="3"/>
        <v>0.95238095238095233</v>
      </c>
      <c r="AB10" s="1573">
        <f t="shared" si="4"/>
        <v>0.95238095238095233</v>
      </c>
      <c r="AC10" s="1573">
        <f t="shared" si="5"/>
        <v>1</v>
      </c>
    </row>
    <row r="11" spans="1:29" ht="15.75" thickBot="1">
      <c r="A11" s="2943"/>
      <c r="B11" s="2947" t="s">
        <v>2765</v>
      </c>
      <c r="C11" s="536">
        <f>'数据-汇总表'!I6</f>
        <v>2.6</v>
      </c>
      <c r="D11" s="255">
        <v>100</v>
      </c>
      <c r="E11" s="537">
        <v>3</v>
      </c>
      <c r="F11" s="866">
        <f>LOOKUP(E11,68:68,69:69)-LOOKUP(C11,68:68,69:69)+100</f>
        <v>99</v>
      </c>
      <c r="G11" s="536">
        <v>3</v>
      </c>
      <c r="H11" s="255">
        <f>LOOKUP(G11,68:68,69:69)-LOOKUP(C11,68:68,69:69)+100</f>
        <v>99</v>
      </c>
      <c r="I11" s="536">
        <v>3.5</v>
      </c>
      <c r="J11" s="255">
        <f>LOOKUP(I11,68:68,69:69)-LOOKUP(C11,68:68,69:69)+100</f>
        <v>99</v>
      </c>
      <c r="K11" s="867">
        <v>1</v>
      </c>
      <c r="L11" s="2141"/>
      <c r="M11" s="2135"/>
      <c r="N11" s="2135"/>
      <c r="O11" s="2142"/>
      <c r="P11" s="3360"/>
      <c r="Q11" s="3168" t="str">
        <f t="shared" si="6"/>
        <v>容积率</v>
      </c>
      <c r="R11" s="1570" t="s">
        <v>11</v>
      </c>
      <c r="S11" s="1571">
        <f t="shared" si="0"/>
        <v>99</v>
      </c>
      <c r="T11" s="1570" t="s">
        <v>11</v>
      </c>
      <c r="U11" s="1571">
        <f t="shared" si="1"/>
        <v>99</v>
      </c>
      <c r="V11" s="1570" t="s">
        <v>11</v>
      </c>
      <c r="W11" s="1571">
        <f t="shared" si="2"/>
        <v>99</v>
      </c>
      <c r="X11" s="1572"/>
      <c r="Y11" s="3306"/>
      <c r="Z11" s="3166" t="str">
        <f t="shared" si="7"/>
        <v>容积率</v>
      </c>
      <c r="AA11" s="1573">
        <f t="shared" si="3"/>
        <v>1.0101010101010102</v>
      </c>
      <c r="AB11" s="1573">
        <f t="shared" si="4"/>
        <v>1.0101010101010102</v>
      </c>
      <c r="AC11" s="1573">
        <f t="shared" si="5"/>
        <v>1.0101010101010102</v>
      </c>
    </row>
    <row r="12" spans="1:29" s="1222" customFormat="1" ht="15.75" hidden="1" thickBot="1">
      <c r="A12" s="2944"/>
      <c r="B12" s="2950">
        <v>111</v>
      </c>
      <c r="C12" s="531"/>
      <c r="D12" s="541">
        <v>100</v>
      </c>
      <c r="E12" s="531"/>
      <c r="F12" s="866">
        <f>SUMIF(70:70,E12,71:71)-SUMIF(70:70,C12,71:71)+100</f>
        <v>100</v>
      </c>
      <c r="G12" s="531"/>
      <c r="H12" s="255">
        <f>SUMIF(70:70,G12,71:71)-SUMIF(70:70,C12,71:71)+100</f>
        <v>100</v>
      </c>
      <c r="I12" s="531"/>
      <c r="J12" s="255">
        <f>SUMIF(70:70,I12,71:71)-SUMIF(70:70,C12,71:71)+100</f>
        <v>100</v>
      </c>
      <c r="K12" s="868"/>
      <c r="L12" s="2136"/>
      <c r="M12" s="2137"/>
      <c r="N12" s="2137"/>
      <c r="O12" s="2138"/>
      <c r="P12" s="3360"/>
      <c r="Q12" s="3168">
        <f t="shared" si="6"/>
        <v>111</v>
      </c>
      <c r="R12" s="1570" t="s">
        <v>11</v>
      </c>
      <c r="S12" s="1571">
        <f t="shared" si="0"/>
        <v>100</v>
      </c>
      <c r="T12" s="1570" t="s">
        <v>11</v>
      </c>
      <c r="U12" s="1571">
        <f t="shared" si="1"/>
        <v>100</v>
      </c>
      <c r="V12" s="1570" t="s">
        <v>11</v>
      </c>
      <c r="W12" s="1571">
        <f t="shared" si="2"/>
        <v>100</v>
      </c>
      <c r="X12" s="1572"/>
      <c r="Y12" s="3306"/>
      <c r="Z12" s="3166">
        <f t="shared" si="7"/>
        <v>111</v>
      </c>
      <c r="AA12" s="1573">
        <f>D12/F12</f>
        <v>1</v>
      </c>
      <c r="AB12" s="1573">
        <f>D12/H12</f>
        <v>1</v>
      </c>
      <c r="AC12" s="1573">
        <f>D12/J12</f>
        <v>1</v>
      </c>
    </row>
    <row r="13" spans="1:29" ht="15.75" hidden="1" thickBot="1">
      <c r="A13" s="2944"/>
      <c r="B13" s="2950">
        <v>111</v>
      </c>
      <c r="C13" s="542"/>
      <c r="D13" s="543">
        <v>100</v>
      </c>
      <c r="E13" s="542"/>
      <c r="F13" s="866">
        <f>SUMIF(72:72,E13,73:73)-SUMIF(72:72,C13,73:73)+100</f>
        <v>100</v>
      </c>
      <c r="G13" s="542"/>
      <c r="H13" s="543">
        <f>SUMIF(72:72,G13,73:73)-SUMIF(72:72,C13,73:73)+100</f>
        <v>100</v>
      </c>
      <c r="I13" s="542"/>
      <c r="J13" s="543">
        <f>SUMIF(72:72,I13,73:73)-SUMIF(72:72,C13,73:73)+100</f>
        <v>100</v>
      </c>
      <c r="K13" s="868"/>
      <c r="L13" s="2143"/>
      <c r="M13" s="2135"/>
      <c r="N13" s="2135"/>
      <c r="O13" s="2142"/>
      <c r="P13" s="3360"/>
      <c r="Q13" s="3168">
        <f t="shared" si="6"/>
        <v>111</v>
      </c>
      <c r="R13" s="1570" t="s">
        <v>11</v>
      </c>
      <c r="S13" s="1571">
        <f t="shared" si="0"/>
        <v>100</v>
      </c>
      <c r="T13" s="1570" t="s">
        <v>11</v>
      </c>
      <c r="U13" s="1571">
        <f t="shared" si="1"/>
        <v>100</v>
      </c>
      <c r="V13" s="1570" t="s">
        <v>11</v>
      </c>
      <c r="W13" s="1571">
        <f t="shared" si="2"/>
        <v>100</v>
      </c>
      <c r="X13" s="1572"/>
      <c r="Y13" s="3306"/>
      <c r="Z13" s="3166">
        <f t="shared" si="7"/>
        <v>111</v>
      </c>
      <c r="AA13" s="1573">
        <f t="shared" si="3"/>
        <v>1</v>
      </c>
      <c r="AB13" s="1573">
        <f t="shared" si="4"/>
        <v>1</v>
      </c>
      <c r="AC13" s="1573">
        <f t="shared" si="5"/>
        <v>1</v>
      </c>
    </row>
    <row r="14" spans="1:29" ht="15.75" hidden="1" thickBot="1">
      <c r="A14" s="2945"/>
      <c r="B14" s="2951">
        <v>111</v>
      </c>
      <c r="C14" s="548"/>
      <c r="D14" s="549">
        <v>100</v>
      </c>
      <c r="E14" s="548"/>
      <c r="F14" s="869">
        <f>SUMIF(74:74,E14,75:75)-SUMIF(74:74,C14,75:75)+100</f>
        <v>100</v>
      </c>
      <c r="G14" s="548"/>
      <c r="H14" s="549">
        <f>SUMIF(74:74,G14,75:75)-SUMIF(74:74,C14,75:75)+100</f>
        <v>100</v>
      </c>
      <c r="I14" s="548"/>
      <c r="J14" s="549">
        <f>SUMIF(74:74,I14,75:75)-SUMIF(74:74,C14,75:75)+100</f>
        <v>100</v>
      </c>
      <c r="K14" s="868"/>
      <c r="L14" s="2143"/>
      <c r="M14" s="2135"/>
      <c r="N14" s="2135"/>
      <c r="O14" s="2142"/>
      <c r="P14" s="3360"/>
      <c r="Q14" s="3168">
        <f t="shared" si="6"/>
        <v>111</v>
      </c>
      <c r="R14" s="1570" t="s">
        <v>11</v>
      </c>
      <c r="S14" s="1571">
        <f t="shared" si="0"/>
        <v>100</v>
      </c>
      <c r="T14" s="1570" t="s">
        <v>11</v>
      </c>
      <c r="U14" s="1571">
        <f t="shared" si="1"/>
        <v>100</v>
      </c>
      <c r="V14" s="1570" t="s">
        <v>11</v>
      </c>
      <c r="W14" s="1571">
        <f t="shared" si="2"/>
        <v>100</v>
      </c>
      <c r="X14" s="1572"/>
      <c r="Y14" s="3306"/>
      <c r="Z14" s="3166">
        <f t="shared" si="7"/>
        <v>111</v>
      </c>
      <c r="AA14" s="1573">
        <f t="shared" si="3"/>
        <v>1</v>
      </c>
      <c r="AB14" s="1573">
        <f t="shared" si="4"/>
        <v>1</v>
      </c>
      <c r="AC14" s="1573">
        <f t="shared" si="5"/>
        <v>1</v>
      </c>
    </row>
    <row r="15" spans="1:29" ht="99.75">
      <c r="A15" s="2937"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103</v>
      </c>
      <c r="I15" s="553"/>
      <c r="J15" s="552">
        <f>SUMIF(76:76,I16,77:77)-SUMIF(76:76,C16,77:77)+100</f>
        <v>103</v>
      </c>
      <c r="K15" s="871">
        <v>3</v>
      </c>
      <c r="L15" s="2143"/>
      <c r="M15" s="2135"/>
      <c r="N15" s="2135"/>
      <c r="O15" s="2142"/>
      <c r="P15" s="3396" t="s">
        <v>541</v>
      </c>
      <c r="Q15" s="3174" t="str">
        <f t="shared" si="6"/>
        <v>居住社区成熟度</v>
      </c>
      <c r="R15" s="1575" t="s">
        <v>11</v>
      </c>
      <c r="S15" s="1576">
        <f t="shared" si="0"/>
        <v>100</v>
      </c>
      <c r="T15" s="1575" t="s">
        <v>11</v>
      </c>
      <c r="U15" s="1576">
        <f t="shared" si="1"/>
        <v>103</v>
      </c>
      <c r="V15" s="1575" t="s">
        <v>11</v>
      </c>
      <c r="W15" s="1576">
        <f t="shared" si="2"/>
        <v>103</v>
      </c>
      <c r="X15" s="3173"/>
      <c r="Y15" s="3396" t="s">
        <v>541</v>
      </c>
      <c r="Z15" s="3175" t="str">
        <f t="shared" si="7"/>
        <v>居住社区成熟度</v>
      </c>
      <c r="AA15" s="3176">
        <f t="shared" si="3"/>
        <v>1</v>
      </c>
      <c r="AB15" s="3176">
        <f t="shared" si="4"/>
        <v>0.970873786407767</v>
      </c>
      <c r="AC15" s="3176">
        <f t="shared" si="5"/>
        <v>0.970873786407767</v>
      </c>
    </row>
    <row r="16" spans="1:29" ht="15">
      <c r="A16" s="535"/>
      <c r="B16" s="872"/>
      <c r="C16" s="579" t="s">
        <v>3007</v>
      </c>
      <c r="D16" s="558"/>
      <c r="E16" s="559" t="s">
        <v>3007</v>
      </c>
      <c r="F16" s="560"/>
      <c r="G16" s="561" t="s">
        <v>3032</v>
      </c>
      <c r="H16" s="562"/>
      <c r="I16" s="559" t="s">
        <v>3032</v>
      </c>
      <c r="J16" s="558"/>
      <c r="K16" s="873"/>
      <c r="L16" s="2143"/>
      <c r="M16" s="2135"/>
      <c r="N16" s="2135"/>
      <c r="O16" s="2142"/>
      <c r="P16" s="3397"/>
      <c r="Q16" s="3174"/>
      <c r="R16" s="1575"/>
      <c r="S16" s="1576"/>
      <c r="T16" s="1575"/>
      <c r="U16" s="1576"/>
      <c r="V16" s="1575"/>
      <c r="W16" s="1576"/>
      <c r="X16" s="3173"/>
      <c r="Y16" s="3397"/>
      <c r="Z16" s="3175"/>
      <c r="AA16" s="3176">
        <v>1</v>
      </c>
      <c r="AB16" s="3176">
        <v>1</v>
      </c>
      <c r="AC16" s="3176">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100</v>
      </c>
      <c r="I17" s="565"/>
      <c r="J17" s="568">
        <f>SUMIF(78:78,I18,79:79)-SUMIF(78:78,C18,79:79)+100</f>
        <v>97</v>
      </c>
      <c r="K17" s="871">
        <v>3</v>
      </c>
      <c r="L17" s="2143"/>
      <c r="M17" s="2135"/>
      <c r="N17" s="2135"/>
      <c r="O17" s="2142"/>
      <c r="P17" s="3397"/>
      <c r="Q17" s="3174" t="str">
        <f>B17</f>
        <v>交通便捷度</v>
      </c>
      <c r="R17" s="1575" t="s">
        <v>11</v>
      </c>
      <c r="S17" s="1576">
        <f>F17</f>
        <v>97</v>
      </c>
      <c r="T17" s="1575" t="s">
        <v>11</v>
      </c>
      <c r="U17" s="1576">
        <f>H17</f>
        <v>100</v>
      </c>
      <c r="V17" s="1575" t="s">
        <v>11</v>
      </c>
      <c r="W17" s="1576">
        <f>J17</f>
        <v>97</v>
      </c>
      <c r="X17" s="3173"/>
      <c r="Y17" s="3397"/>
      <c r="Z17" s="3175" t="str">
        <f>Q17</f>
        <v>交通便捷度</v>
      </c>
      <c r="AA17" s="3176">
        <f t="shared" si="3"/>
        <v>1.0309278350515463</v>
      </c>
      <c r="AB17" s="3176">
        <f t="shared" si="4"/>
        <v>1</v>
      </c>
      <c r="AC17" s="3176">
        <f t="shared" si="5"/>
        <v>1.0309278350515463</v>
      </c>
    </row>
    <row r="18" spans="1:29" ht="15">
      <c r="A18" s="535"/>
      <c r="B18" s="598"/>
      <c r="C18" s="876" t="s">
        <v>3032</v>
      </c>
      <c r="D18" s="562"/>
      <c r="E18" s="571" t="s">
        <v>3007</v>
      </c>
      <c r="F18" s="566"/>
      <c r="G18" s="572" t="s">
        <v>3032</v>
      </c>
      <c r="H18" s="558"/>
      <c r="I18" s="571" t="s">
        <v>3007</v>
      </c>
      <c r="J18" s="558"/>
      <c r="K18" s="873"/>
      <c r="L18" s="2143"/>
      <c r="M18" s="2135"/>
      <c r="N18" s="2135"/>
      <c r="O18" s="2142"/>
      <c r="P18" s="3397"/>
      <c r="Q18" s="3174"/>
      <c r="R18" s="1575"/>
      <c r="S18" s="1576"/>
      <c r="T18" s="1575"/>
      <c r="U18" s="1576"/>
      <c r="V18" s="1575"/>
      <c r="W18" s="1576"/>
      <c r="X18" s="3173"/>
      <c r="Y18" s="3397"/>
      <c r="Z18" s="3175"/>
      <c r="AA18" s="3176">
        <v>1</v>
      </c>
      <c r="AB18" s="3176">
        <v>1</v>
      </c>
      <c r="AC18" s="3176">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3"/>
      <c r="M19" s="2135"/>
      <c r="N19" s="2135"/>
      <c r="O19" s="2142"/>
      <c r="P19" s="3397"/>
      <c r="Q19" s="3174" t="str">
        <f>B19</f>
        <v>公共配套设施</v>
      </c>
      <c r="R19" s="1575" t="s">
        <v>11</v>
      </c>
      <c r="S19" s="1576">
        <f>F19</f>
        <v>100</v>
      </c>
      <c r="T19" s="1575" t="s">
        <v>11</v>
      </c>
      <c r="U19" s="1576">
        <f>H19</f>
        <v>100</v>
      </c>
      <c r="V19" s="1575" t="s">
        <v>11</v>
      </c>
      <c r="W19" s="1576">
        <f>J19</f>
        <v>100</v>
      </c>
      <c r="X19" s="3173"/>
      <c r="Y19" s="3397"/>
      <c r="Z19" s="3175" t="str">
        <f>Q19</f>
        <v>公共配套设施</v>
      </c>
      <c r="AA19" s="3176">
        <f t="shared" si="3"/>
        <v>1</v>
      </c>
      <c r="AB19" s="3176">
        <f t="shared" si="4"/>
        <v>1</v>
      </c>
      <c r="AC19" s="3176">
        <f t="shared" si="5"/>
        <v>1</v>
      </c>
    </row>
    <row r="20" spans="1:29" ht="15">
      <c r="A20" s="535"/>
      <c r="B20" s="598"/>
      <c r="C20" s="579" t="s">
        <v>3007</v>
      </c>
      <c r="D20" s="558"/>
      <c r="E20" s="559" t="s">
        <v>3007</v>
      </c>
      <c r="F20" s="560"/>
      <c r="G20" s="561" t="s">
        <v>3007</v>
      </c>
      <c r="H20" s="558"/>
      <c r="I20" s="559" t="s">
        <v>3007</v>
      </c>
      <c r="J20" s="558"/>
      <c r="K20" s="873"/>
      <c r="L20" s="2143"/>
      <c r="M20" s="2135"/>
      <c r="N20" s="2135"/>
      <c r="O20" s="2142"/>
      <c r="P20" s="3397"/>
      <c r="Q20" s="3174"/>
      <c r="R20" s="1575"/>
      <c r="S20" s="1576"/>
      <c r="T20" s="1575"/>
      <c r="U20" s="1576"/>
      <c r="V20" s="1575"/>
      <c r="W20" s="1576"/>
      <c r="X20" s="3173"/>
      <c r="Y20" s="3397"/>
      <c r="Z20" s="3175"/>
      <c r="AA20" s="3176">
        <v>1</v>
      </c>
      <c r="AB20" s="3176">
        <v>1</v>
      </c>
      <c r="AC20" s="3176">
        <v>1</v>
      </c>
    </row>
    <row r="21" spans="1:29" ht="28.5">
      <c r="A21" s="535"/>
      <c r="B21" s="2618" t="s">
        <v>2552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3"/>
      <c r="M21" s="2135"/>
      <c r="N21" s="2135"/>
      <c r="O21" s="2142"/>
      <c r="P21" s="3397"/>
      <c r="Q21" s="3174" t="str">
        <f>B21</f>
        <v>基础设施水平</v>
      </c>
      <c r="R21" s="1575" t="s">
        <v>11</v>
      </c>
      <c r="S21" s="1576">
        <f>F21</f>
        <v>100</v>
      </c>
      <c r="T21" s="1575" t="s">
        <v>11</v>
      </c>
      <c r="U21" s="1576">
        <f>H21</f>
        <v>100</v>
      </c>
      <c r="V21" s="1575" t="s">
        <v>11</v>
      </c>
      <c r="W21" s="1576">
        <f>J21</f>
        <v>100</v>
      </c>
      <c r="X21" s="3173"/>
      <c r="Y21" s="3397"/>
      <c r="Z21" s="3175" t="str">
        <f>Q21</f>
        <v>基础设施水平</v>
      </c>
      <c r="AA21" s="3176">
        <f t="shared" ref="AA21" si="8">D21/F21</f>
        <v>1</v>
      </c>
      <c r="AB21" s="3176">
        <f t="shared" ref="AB21" si="9">D21/H21</f>
        <v>1</v>
      </c>
      <c r="AC21" s="3176">
        <f t="shared" ref="AC21" si="10">D21/J21</f>
        <v>1</v>
      </c>
    </row>
    <row r="22" spans="1:29" ht="15">
      <c r="A22" s="535"/>
      <c r="B22" s="924"/>
      <c r="C22" s="876" t="s">
        <v>3061</v>
      </c>
      <c r="D22" s="558"/>
      <c r="E22" s="579" t="s">
        <v>3061</v>
      </c>
      <c r="F22" s="560"/>
      <c r="G22" s="579" t="s">
        <v>3061</v>
      </c>
      <c r="H22" s="558"/>
      <c r="I22" s="579" t="s">
        <v>3061</v>
      </c>
      <c r="J22" s="558"/>
      <c r="K22" s="2624"/>
      <c r="L22" s="2143"/>
      <c r="M22" s="2135"/>
      <c r="N22" s="2135"/>
      <c r="O22" s="2142"/>
      <c r="P22" s="3397"/>
      <c r="Q22" s="3174"/>
      <c r="R22" s="1575"/>
      <c r="S22" s="1576"/>
      <c r="T22" s="1575"/>
      <c r="U22" s="1576"/>
      <c r="V22" s="1575"/>
      <c r="W22" s="1576"/>
      <c r="X22" s="3173"/>
      <c r="Y22" s="3397"/>
      <c r="Z22" s="3175"/>
      <c r="AA22" s="3176">
        <v>1</v>
      </c>
      <c r="AB22" s="3176">
        <v>1</v>
      </c>
      <c r="AC22" s="3176">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3"/>
      <c r="M23" s="2135"/>
      <c r="N23" s="2135"/>
      <c r="O23" s="2142"/>
      <c r="P23" s="3397"/>
      <c r="Q23" s="3174" t="str">
        <f>B23</f>
        <v>自然及人文环境</v>
      </c>
      <c r="R23" s="1575" t="s">
        <v>11</v>
      </c>
      <c r="S23" s="1576">
        <f>F23</f>
        <v>100</v>
      </c>
      <c r="T23" s="1575" t="s">
        <v>11</v>
      </c>
      <c r="U23" s="1576">
        <f>H23</f>
        <v>100</v>
      </c>
      <c r="V23" s="1575" t="s">
        <v>11</v>
      </c>
      <c r="W23" s="1576">
        <f>J23</f>
        <v>100</v>
      </c>
      <c r="X23" s="3173"/>
      <c r="Y23" s="3397"/>
      <c r="Z23" s="3175" t="str">
        <f>Q23</f>
        <v>自然及人文环境</v>
      </c>
      <c r="AA23" s="3176">
        <f t="shared" si="3"/>
        <v>1</v>
      </c>
      <c r="AB23" s="3176">
        <f t="shared" si="4"/>
        <v>1</v>
      </c>
      <c r="AC23" s="3176">
        <f t="shared" si="5"/>
        <v>1</v>
      </c>
    </row>
    <row r="24" spans="1:29" ht="15.75" thickBot="1">
      <c r="A24" s="535"/>
      <c r="B24" s="598"/>
      <c r="C24" s="579" t="s">
        <v>3007</v>
      </c>
      <c r="D24" s="558"/>
      <c r="E24" s="559" t="s">
        <v>3007</v>
      </c>
      <c r="F24" s="560"/>
      <c r="G24" s="561" t="s">
        <v>3007</v>
      </c>
      <c r="H24" s="558"/>
      <c r="I24" s="559" t="s">
        <v>3007</v>
      </c>
      <c r="J24" s="558"/>
      <c r="K24" s="873"/>
      <c r="L24" s="2143"/>
      <c r="M24" s="2135"/>
      <c r="N24" s="2135"/>
      <c r="O24" s="2142"/>
      <c r="P24" s="3397"/>
      <c r="Q24" s="3174"/>
      <c r="R24" s="1575"/>
      <c r="S24" s="1576"/>
      <c r="T24" s="1575"/>
      <c r="U24" s="1576"/>
      <c r="V24" s="1575"/>
      <c r="W24" s="1576"/>
      <c r="X24" s="3173"/>
      <c r="Y24" s="3397"/>
      <c r="Z24" s="3175"/>
      <c r="AA24" s="3176">
        <v>1</v>
      </c>
      <c r="AB24" s="3176">
        <v>1</v>
      </c>
      <c r="AC24" s="3176">
        <v>1</v>
      </c>
    </row>
    <row r="25" spans="1:29" ht="15" hidden="1">
      <c r="A25" s="535"/>
      <c r="B25" s="1896" t="s">
        <v>2260</v>
      </c>
      <c r="C25" s="577"/>
      <c r="D25" s="543">
        <v>100</v>
      </c>
      <c r="E25" s="877"/>
      <c r="F25" s="578">
        <f>SUMIF(86:86,E25,87:87)-SUMIF(86:86,C25,87:87)+100</f>
        <v>100</v>
      </c>
      <c r="G25" s="602"/>
      <c r="H25" s="543">
        <f>SUMIF(86:86,G25,87:87)-SUMIF(86:86,C25,87:87)+100</f>
        <v>100</v>
      </c>
      <c r="I25" s="877"/>
      <c r="J25" s="543">
        <f>SUMIF(86:86,I25,87:87)-SUMIF(86:86,C25,87:87)+100</f>
        <v>100</v>
      </c>
      <c r="K25" s="867"/>
      <c r="L25" s="2143"/>
      <c r="M25" s="2135"/>
      <c r="N25" s="2135"/>
      <c r="O25" s="2142"/>
      <c r="P25" s="3397"/>
      <c r="Q25" s="3174" t="str">
        <f t="shared" ref="Q25:Q46" si="11">B25</f>
        <v>楼层-1</v>
      </c>
      <c r="R25" s="1575" t="s">
        <v>11</v>
      </c>
      <c r="S25" s="1576">
        <f>F25</f>
        <v>100</v>
      </c>
      <c r="T25" s="1575" t="s">
        <v>11</v>
      </c>
      <c r="U25" s="1576">
        <f>H25</f>
        <v>100</v>
      </c>
      <c r="V25" s="1575" t="s">
        <v>11</v>
      </c>
      <c r="W25" s="1576">
        <f>J25</f>
        <v>100</v>
      </c>
      <c r="X25" s="3173"/>
      <c r="Y25" s="3397"/>
      <c r="Z25" s="3175" t="str">
        <f>Q25</f>
        <v>楼层-1</v>
      </c>
      <c r="AA25" s="3176">
        <f t="shared" si="3"/>
        <v>1</v>
      </c>
      <c r="AB25" s="3176">
        <f t="shared" si="4"/>
        <v>1</v>
      </c>
      <c r="AC25" s="3176">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3"/>
      <c r="M26" s="2135"/>
      <c r="N26" s="2135"/>
      <c r="O26" s="2142"/>
      <c r="P26" s="3397"/>
      <c r="Q26" s="3174" t="str">
        <f t="shared" si="11"/>
        <v>朝向</v>
      </c>
      <c r="R26" s="1575" t="s">
        <v>11</v>
      </c>
      <c r="S26" s="1576">
        <f>F26</f>
        <v>100</v>
      </c>
      <c r="T26" s="1575" t="s">
        <v>11</v>
      </c>
      <c r="U26" s="1576">
        <f>H26</f>
        <v>100</v>
      </c>
      <c r="V26" s="1575" t="s">
        <v>11</v>
      </c>
      <c r="W26" s="1576">
        <f>J26</f>
        <v>100</v>
      </c>
      <c r="X26" s="3173"/>
      <c r="Y26" s="3397"/>
      <c r="Z26" s="3175" t="str">
        <f>Q26</f>
        <v>朝向</v>
      </c>
      <c r="AA26" s="3176">
        <f t="shared" si="3"/>
        <v>1</v>
      </c>
      <c r="AB26" s="3176">
        <f t="shared" si="4"/>
        <v>1</v>
      </c>
      <c r="AC26" s="3176">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6"/>
      <c r="M27" s="2137"/>
      <c r="N27" s="2137"/>
      <c r="O27" s="2138"/>
      <c r="P27" s="3397"/>
      <c r="Q27" s="3168" t="str">
        <f t="shared" si="11"/>
        <v>道路级别</v>
      </c>
      <c r="R27" s="1570" t="s">
        <v>11</v>
      </c>
      <c r="S27" s="1571">
        <f>F27</f>
        <v>100</v>
      </c>
      <c r="T27" s="1570" t="s">
        <v>11</v>
      </c>
      <c r="U27" s="1571">
        <f>H27</f>
        <v>100</v>
      </c>
      <c r="V27" s="1570" t="s">
        <v>11</v>
      </c>
      <c r="W27" s="1571">
        <f>J27</f>
        <v>100</v>
      </c>
      <c r="X27" s="1572"/>
      <c r="Y27" s="3397"/>
      <c r="Z27" s="3166" t="str">
        <f>Q27</f>
        <v>道路级别</v>
      </c>
      <c r="AA27" s="3176">
        <f>D27/F27</f>
        <v>1</v>
      </c>
      <c r="AB27" s="3176">
        <f>D27/H27</f>
        <v>1</v>
      </c>
      <c r="AC27" s="3176">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3"/>
      <c r="M28" s="2135"/>
      <c r="N28" s="2135"/>
      <c r="O28" s="2142"/>
      <c r="P28" s="3397"/>
      <c r="Q28" s="3174">
        <f t="shared" si="11"/>
        <v>111</v>
      </c>
      <c r="R28" s="1575" t="s">
        <v>11</v>
      </c>
      <c r="S28" s="1576">
        <f t="shared" ref="S28:S46" si="12">F28</f>
        <v>100</v>
      </c>
      <c r="T28" s="1575" t="s">
        <v>11</v>
      </c>
      <c r="U28" s="1576">
        <f t="shared" ref="U28:U46" si="13">H28</f>
        <v>100</v>
      </c>
      <c r="V28" s="1575" t="s">
        <v>11</v>
      </c>
      <c r="W28" s="1576">
        <f t="shared" ref="W28:W46" si="14">J28</f>
        <v>100</v>
      </c>
      <c r="X28" s="3173"/>
      <c r="Y28" s="3397"/>
      <c r="Z28" s="3175">
        <f t="shared" ref="Z28:Z46" si="15">Q28</f>
        <v>111</v>
      </c>
      <c r="AA28" s="3176">
        <f t="shared" si="3"/>
        <v>1</v>
      </c>
      <c r="AB28" s="3176">
        <f t="shared" si="4"/>
        <v>1</v>
      </c>
      <c r="AC28" s="3176">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3"/>
      <c r="M29" s="2135"/>
      <c r="N29" s="2135"/>
      <c r="O29" s="2142"/>
      <c r="P29" s="3397"/>
      <c r="Q29" s="3174">
        <f t="shared" si="11"/>
        <v>111</v>
      </c>
      <c r="R29" s="1575" t="s">
        <v>11</v>
      </c>
      <c r="S29" s="1576">
        <f t="shared" si="12"/>
        <v>100</v>
      </c>
      <c r="T29" s="1575" t="s">
        <v>11</v>
      </c>
      <c r="U29" s="1576">
        <f t="shared" si="13"/>
        <v>100</v>
      </c>
      <c r="V29" s="1575" t="s">
        <v>11</v>
      </c>
      <c r="W29" s="1576">
        <f t="shared" si="14"/>
        <v>100</v>
      </c>
      <c r="X29" s="3173"/>
      <c r="Y29" s="3397"/>
      <c r="Z29" s="3175">
        <f t="shared" si="15"/>
        <v>111</v>
      </c>
      <c r="AA29" s="3176">
        <f t="shared" si="3"/>
        <v>1</v>
      </c>
      <c r="AB29" s="3176">
        <f t="shared" si="4"/>
        <v>1</v>
      </c>
      <c r="AC29" s="3176">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3"/>
      <c r="M30" s="2135"/>
      <c r="N30" s="2135"/>
      <c r="O30" s="2142"/>
      <c r="P30" s="3397"/>
      <c r="Q30" s="3174">
        <f t="shared" si="11"/>
        <v>111</v>
      </c>
      <c r="R30" s="1575" t="s">
        <v>11</v>
      </c>
      <c r="S30" s="1576">
        <f t="shared" si="12"/>
        <v>100</v>
      </c>
      <c r="T30" s="1575" t="s">
        <v>11</v>
      </c>
      <c r="U30" s="1576">
        <f t="shared" si="13"/>
        <v>100</v>
      </c>
      <c r="V30" s="1575" t="s">
        <v>11</v>
      </c>
      <c r="W30" s="1576">
        <f t="shared" si="14"/>
        <v>100</v>
      </c>
      <c r="X30" s="3173"/>
      <c r="Y30" s="3397"/>
      <c r="Z30" s="3175">
        <f t="shared" si="15"/>
        <v>111</v>
      </c>
      <c r="AA30" s="3176">
        <f t="shared" si="3"/>
        <v>1</v>
      </c>
      <c r="AB30" s="3176">
        <f t="shared" si="4"/>
        <v>1</v>
      </c>
      <c r="AC30" s="3176">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3"/>
      <c r="M31" s="2135"/>
      <c r="N31" s="2135"/>
      <c r="O31" s="2142"/>
      <c r="P31" s="3397"/>
      <c r="Q31" s="3174">
        <f t="shared" si="11"/>
        <v>111</v>
      </c>
      <c r="R31" s="1575" t="s">
        <v>11</v>
      </c>
      <c r="S31" s="1576">
        <f t="shared" si="12"/>
        <v>100</v>
      </c>
      <c r="T31" s="1575" t="s">
        <v>11</v>
      </c>
      <c r="U31" s="1576">
        <f t="shared" si="13"/>
        <v>100</v>
      </c>
      <c r="V31" s="1575" t="s">
        <v>11</v>
      </c>
      <c r="W31" s="1576">
        <f t="shared" si="14"/>
        <v>100</v>
      </c>
      <c r="X31" s="3173"/>
      <c r="Y31" s="3397"/>
      <c r="Z31" s="3175">
        <f t="shared" si="15"/>
        <v>111</v>
      </c>
      <c r="AA31" s="3176">
        <f t="shared" si="3"/>
        <v>1</v>
      </c>
      <c r="AB31" s="3176">
        <f t="shared" si="4"/>
        <v>1</v>
      </c>
      <c r="AC31" s="3176">
        <f t="shared" si="5"/>
        <v>1</v>
      </c>
    </row>
    <row r="32" spans="1:29" ht="15">
      <c r="A32" s="2934" t="s">
        <v>2762</v>
      </c>
      <c r="B32" s="172" t="s">
        <v>726</v>
      </c>
      <c r="C32" s="881" t="s">
        <v>3091</v>
      </c>
      <c r="D32" s="600">
        <v>100</v>
      </c>
      <c r="E32" s="881" t="s">
        <v>3091</v>
      </c>
      <c r="F32" s="578">
        <f>SUMIF(100:100,E32,101:101)-SUMIF(100:100,C32,101:101)+100</f>
        <v>100</v>
      </c>
      <c r="G32" s="881" t="s">
        <v>3091</v>
      </c>
      <c r="H32" s="600">
        <f>SUMIF(100:100,G32,101:101)-SUMIF(100:100,C32,101:101)+100</f>
        <v>100</v>
      </c>
      <c r="I32" s="881" t="s">
        <v>3091</v>
      </c>
      <c r="J32" s="543">
        <f>SUMIF(100:100,I32,101:101)-SUMIF(100:100,C32,101:101)+100</f>
        <v>100</v>
      </c>
      <c r="K32" s="867"/>
      <c r="L32" s="2143"/>
      <c r="M32" s="2135"/>
      <c r="N32" s="2135"/>
      <c r="O32" s="2142"/>
      <c r="P32" s="3398" t="s">
        <v>551</v>
      </c>
      <c r="Q32" s="3174" t="str">
        <f t="shared" si="11"/>
        <v>建筑类型</v>
      </c>
      <c r="R32" s="1575" t="s">
        <v>11</v>
      </c>
      <c r="S32" s="1576">
        <f t="shared" si="12"/>
        <v>100</v>
      </c>
      <c r="T32" s="1575" t="s">
        <v>11</v>
      </c>
      <c r="U32" s="1576">
        <f t="shared" si="13"/>
        <v>100</v>
      </c>
      <c r="V32" s="1575" t="s">
        <v>11</v>
      </c>
      <c r="W32" s="1576">
        <f t="shared" si="14"/>
        <v>100</v>
      </c>
      <c r="X32" s="3173"/>
      <c r="Y32" s="3399" t="s">
        <v>551</v>
      </c>
      <c r="Z32" s="3175" t="str">
        <f t="shared" si="15"/>
        <v>建筑类型</v>
      </c>
      <c r="AA32" s="3176">
        <f t="shared" si="3"/>
        <v>1</v>
      </c>
      <c r="AB32" s="3176">
        <f t="shared" si="4"/>
        <v>1</v>
      </c>
      <c r="AC32" s="3176">
        <f t="shared" si="5"/>
        <v>1</v>
      </c>
    </row>
    <row r="33" spans="1:29" s="1341" customFormat="1" ht="15">
      <c r="A33" s="606"/>
      <c r="B33" s="530" t="s">
        <v>727</v>
      </c>
      <c r="C33" s="882">
        <f>'数据-汇总表'!E3</f>
        <v>331165.86</v>
      </c>
      <c r="D33" s="255">
        <v>100</v>
      </c>
      <c r="E33" s="537">
        <v>80000</v>
      </c>
      <c r="F33" s="866">
        <f>LOOKUP(E33,103:103,104:104)-LOOKUP(C33,103:103,104:104)+100</f>
        <v>99.5</v>
      </c>
      <c r="G33" s="536">
        <v>290000</v>
      </c>
      <c r="H33" s="255">
        <f>LOOKUP(G33,103:103,104:104)-LOOKUP(C33,103:103,104:104)+100</f>
        <v>100</v>
      </c>
      <c r="I33" s="537">
        <v>129000</v>
      </c>
      <c r="J33" s="255">
        <f>LOOKUP(I33,103:103,104:104)-LOOKUP(C33,103:103,104:104)+100</f>
        <v>99.5</v>
      </c>
      <c r="K33" s="868"/>
      <c r="L33" s="2141"/>
      <c r="M33" s="2172"/>
      <c r="N33" s="2172"/>
      <c r="O33" s="2144"/>
      <c r="P33" s="3399"/>
      <c r="Q33" s="1607" t="str">
        <f t="shared" si="11"/>
        <v>项目建筑规模</v>
      </c>
      <c r="R33" s="1579" t="s">
        <v>11</v>
      </c>
      <c r="S33" s="1580">
        <f t="shared" si="12"/>
        <v>99.5</v>
      </c>
      <c r="T33" s="1579" t="s">
        <v>11</v>
      </c>
      <c r="U33" s="1580">
        <f t="shared" si="13"/>
        <v>100</v>
      </c>
      <c r="V33" s="1579" t="s">
        <v>11</v>
      </c>
      <c r="W33" s="1580">
        <f t="shared" si="14"/>
        <v>99.5</v>
      </c>
      <c r="X33" s="1581"/>
      <c r="Y33" s="3399"/>
      <c r="Z33" s="1582" t="str">
        <f t="shared" si="15"/>
        <v>项目建筑规模</v>
      </c>
      <c r="AA33" s="3176">
        <f t="shared" si="3"/>
        <v>1.0050251256281406</v>
      </c>
      <c r="AB33" s="3176">
        <f t="shared" si="4"/>
        <v>1</v>
      </c>
      <c r="AC33" s="3176">
        <f t="shared" si="5"/>
        <v>1.0050251256281406</v>
      </c>
    </row>
    <row r="34" spans="1:29" ht="15">
      <c r="A34" s="597"/>
      <c r="B34" s="530" t="s">
        <v>728</v>
      </c>
      <c r="C34" s="883" t="s">
        <v>3024</v>
      </c>
      <c r="D34" s="543">
        <v>100</v>
      </c>
      <c r="E34" s="883" t="s">
        <v>3024</v>
      </c>
      <c r="F34" s="578">
        <f>SUMIF(105:105,E34,106:106)-SUMIF(105:105,C34,106:106)+100</f>
        <v>100</v>
      </c>
      <c r="G34" s="883" t="s">
        <v>3024</v>
      </c>
      <c r="H34" s="543">
        <f>SUMIF(105:105,G34,106:106)-SUMIF(105:105,C34,106:106)+100</f>
        <v>100</v>
      </c>
      <c r="I34" s="883" t="s">
        <v>3024</v>
      </c>
      <c r="J34" s="543">
        <f>SUMIF(105:105,I34,106:106)-SUMIF(105:105,C34,106:106)+100</f>
        <v>100</v>
      </c>
      <c r="K34" s="867"/>
      <c r="L34" s="2143"/>
      <c r="M34" s="2135"/>
      <c r="N34" s="2135"/>
      <c r="O34" s="2142"/>
      <c r="P34" s="3399"/>
      <c r="Q34" s="3174" t="str">
        <f t="shared" si="11"/>
        <v>建筑结构</v>
      </c>
      <c r="R34" s="1575" t="s">
        <v>11</v>
      </c>
      <c r="S34" s="1576">
        <f t="shared" si="12"/>
        <v>100</v>
      </c>
      <c r="T34" s="1575" t="s">
        <v>11</v>
      </c>
      <c r="U34" s="1576">
        <f t="shared" si="13"/>
        <v>100</v>
      </c>
      <c r="V34" s="1575" t="s">
        <v>11</v>
      </c>
      <c r="W34" s="1576">
        <f t="shared" si="14"/>
        <v>100</v>
      </c>
      <c r="X34" s="3173"/>
      <c r="Y34" s="3399"/>
      <c r="Z34" s="3175" t="str">
        <f t="shared" si="15"/>
        <v>建筑结构</v>
      </c>
      <c r="AA34" s="3176">
        <f t="shared" si="3"/>
        <v>1</v>
      </c>
      <c r="AB34" s="3176">
        <f t="shared" si="4"/>
        <v>1</v>
      </c>
      <c r="AC34" s="3176">
        <f t="shared" si="5"/>
        <v>1</v>
      </c>
    </row>
    <row r="35" spans="1:29" ht="15">
      <c r="A35" s="597"/>
      <c r="B35" s="530" t="s">
        <v>729</v>
      </c>
      <c r="C35" s="602" t="s">
        <v>3086</v>
      </c>
      <c r="D35" s="543">
        <v>100</v>
      </c>
      <c r="E35" s="602" t="s">
        <v>3086</v>
      </c>
      <c r="F35" s="578">
        <f>SUMIF(107:107,E35,108:108)-SUMIF(107:107,C35,108:108)+100</f>
        <v>100</v>
      </c>
      <c r="G35" s="602" t="s">
        <v>3086</v>
      </c>
      <c r="H35" s="543">
        <f>SUMIF(107:107,G35,108:108)-SUMIF(107:107,C35,108:108)+100</f>
        <v>100</v>
      </c>
      <c r="I35" s="602" t="s">
        <v>3086</v>
      </c>
      <c r="J35" s="543">
        <f>SUMIF(107:107,I35,108:108)-SUMIF(107:107,C35,108:108)+100</f>
        <v>100</v>
      </c>
      <c r="K35" s="867"/>
      <c r="L35" s="2143"/>
      <c r="M35" s="2135"/>
      <c r="N35" s="2135"/>
      <c r="O35" s="2142"/>
      <c r="P35" s="3399"/>
      <c r="Q35" s="3174" t="str">
        <f t="shared" si="11"/>
        <v>建筑品质</v>
      </c>
      <c r="R35" s="1575" t="s">
        <v>11</v>
      </c>
      <c r="S35" s="1576">
        <f t="shared" si="12"/>
        <v>100</v>
      </c>
      <c r="T35" s="1575" t="s">
        <v>11</v>
      </c>
      <c r="U35" s="1576">
        <f t="shared" si="13"/>
        <v>100</v>
      </c>
      <c r="V35" s="1575" t="s">
        <v>11</v>
      </c>
      <c r="W35" s="1576">
        <f t="shared" si="14"/>
        <v>100</v>
      </c>
      <c r="X35" s="3173"/>
      <c r="Y35" s="3399"/>
      <c r="Z35" s="3175" t="str">
        <f t="shared" si="15"/>
        <v>建筑品质</v>
      </c>
      <c r="AA35" s="3176">
        <f t="shared" si="3"/>
        <v>1</v>
      </c>
      <c r="AB35" s="3176">
        <f t="shared" si="4"/>
        <v>1</v>
      </c>
      <c r="AC35" s="3176">
        <f t="shared" si="5"/>
        <v>1</v>
      </c>
    </row>
    <row r="36" spans="1:29" ht="15">
      <c r="A36" s="597"/>
      <c r="B36" s="530" t="s">
        <v>730</v>
      </c>
      <c r="C36" s="602" t="s">
        <v>3071</v>
      </c>
      <c r="D36" s="543">
        <v>100</v>
      </c>
      <c r="E36" s="602" t="s">
        <v>3071</v>
      </c>
      <c r="F36" s="578">
        <f>SUMIF(109:109,E36,110:110)-SUMIF(109:109,C36,110:110)+100</f>
        <v>100</v>
      </c>
      <c r="G36" s="602" t="s">
        <v>3071</v>
      </c>
      <c r="H36" s="543">
        <f>SUMIF(109:109,G36,110:110)-SUMIF(109:109,C36,110:110)+100</f>
        <v>100</v>
      </c>
      <c r="I36" s="602" t="s">
        <v>3071</v>
      </c>
      <c r="J36" s="543">
        <f>SUMIF(109:109,I36,110:110)-SUMIF(109:109,C36,110:110)+100</f>
        <v>100</v>
      </c>
      <c r="K36" s="867"/>
      <c r="L36" s="2143"/>
      <c r="M36" s="2135"/>
      <c r="N36" s="2135"/>
      <c r="O36" s="2142"/>
      <c r="P36" s="3399"/>
      <c r="Q36" s="3174" t="str">
        <f t="shared" si="11"/>
        <v>公共部分装修</v>
      </c>
      <c r="R36" s="1575" t="s">
        <v>11</v>
      </c>
      <c r="S36" s="1576">
        <f t="shared" si="12"/>
        <v>100</v>
      </c>
      <c r="T36" s="1575" t="s">
        <v>11</v>
      </c>
      <c r="U36" s="1576">
        <f t="shared" si="13"/>
        <v>100</v>
      </c>
      <c r="V36" s="1575" t="s">
        <v>11</v>
      </c>
      <c r="W36" s="1576">
        <f t="shared" si="14"/>
        <v>100</v>
      </c>
      <c r="X36" s="3173"/>
      <c r="Y36" s="3399"/>
      <c r="Z36" s="3175" t="str">
        <f t="shared" si="15"/>
        <v>公共部分装修</v>
      </c>
      <c r="AA36" s="3176">
        <f t="shared" si="3"/>
        <v>1</v>
      </c>
      <c r="AB36" s="3176">
        <f t="shared" si="4"/>
        <v>1</v>
      </c>
      <c r="AC36" s="3176">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6"/>
      <c r="M37" s="2137"/>
      <c r="N37" s="2137"/>
      <c r="O37" s="2138"/>
      <c r="P37" s="3399"/>
      <c r="Q37" s="3168" t="str">
        <f t="shared" si="11"/>
        <v>成新度</v>
      </c>
      <c r="R37" s="1570" t="s">
        <v>11</v>
      </c>
      <c r="S37" s="1571">
        <f t="shared" si="12"/>
        <v>100</v>
      </c>
      <c r="T37" s="1570" t="s">
        <v>11</v>
      </c>
      <c r="U37" s="1571">
        <f t="shared" si="13"/>
        <v>100</v>
      </c>
      <c r="V37" s="1570" t="s">
        <v>11</v>
      </c>
      <c r="W37" s="1571">
        <f t="shared" si="14"/>
        <v>100</v>
      </c>
      <c r="X37" s="1572"/>
      <c r="Y37" s="3399"/>
      <c r="Z37" s="3166" t="str">
        <f t="shared" si="15"/>
        <v>成新度</v>
      </c>
      <c r="AA37" s="1573">
        <f t="shared" si="3"/>
        <v>1</v>
      </c>
      <c r="AB37" s="1573">
        <f t="shared" si="4"/>
        <v>1</v>
      </c>
      <c r="AC37" s="1573">
        <f t="shared" si="5"/>
        <v>1</v>
      </c>
    </row>
    <row r="38" spans="1:29" ht="15">
      <c r="A38" s="597"/>
      <c r="B38" s="530" t="s">
        <v>732</v>
      </c>
      <c r="C38" s="602" t="s">
        <v>3088</v>
      </c>
      <c r="D38" s="543">
        <v>100</v>
      </c>
      <c r="E38" s="602" t="s">
        <v>3088</v>
      </c>
      <c r="F38" s="578">
        <f>SUMIF(114:114,E38,115:115)-SUMIF(114:114,C38,115:115)+100</f>
        <v>100</v>
      </c>
      <c r="G38" s="602" t="s">
        <v>3088</v>
      </c>
      <c r="H38" s="543">
        <f>SUMIF(114:114,G38,115:115)-SUMIF(114:114,C38,115:115)+100</f>
        <v>100</v>
      </c>
      <c r="I38" s="602" t="s">
        <v>3088</v>
      </c>
      <c r="J38" s="543">
        <f>SUMIF(114:114,I38,115:115)-SUMIF(114:114,C38,115:115)+100</f>
        <v>100</v>
      </c>
      <c r="K38" s="867"/>
      <c r="L38" s="2143"/>
      <c r="M38" s="2135"/>
      <c r="N38" s="2135"/>
      <c r="O38" s="2142"/>
      <c r="P38" s="3399" t="s">
        <v>551</v>
      </c>
      <c r="Q38" s="3174" t="str">
        <f t="shared" si="11"/>
        <v>物业管理</v>
      </c>
      <c r="R38" s="1575" t="s">
        <v>11</v>
      </c>
      <c r="S38" s="1576">
        <f t="shared" si="12"/>
        <v>100</v>
      </c>
      <c r="T38" s="1575" t="s">
        <v>11</v>
      </c>
      <c r="U38" s="1576">
        <f t="shared" si="13"/>
        <v>100</v>
      </c>
      <c r="V38" s="1575" t="s">
        <v>11</v>
      </c>
      <c r="W38" s="1576">
        <f t="shared" si="14"/>
        <v>100</v>
      </c>
      <c r="X38" s="3173"/>
      <c r="Y38" s="3399" t="s">
        <v>551</v>
      </c>
      <c r="Z38" s="3175" t="str">
        <f t="shared" si="15"/>
        <v>物业管理</v>
      </c>
      <c r="AA38" s="3176">
        <f t="shared" si="3"/>
        <v>1</v>
      </c>
      <c r="AB38" s="3176">
        <f t="shared" si="4"/>
        <v>1</v>
      </c>
      <c r="AC38" s="3176">
        <f t="shared" si="5"/>
        <v>1</v>
      </c>
    </row>
    <row r="39" spans="1:29" ht="15">
      <c r="A39" s="597"/>
      <c r="B39" s="1896" t="s">
        <v>2569</v>
      </c>
      <c r="C39" s="602" t="s">
        <v>3061</v>
      </c>
      <c r="D39" s="543">
        <v>100</v>
      </c>
      <c r="E39" s="602" t="s">
        <v>3061</v>
      </c>
      <c r="F39" s="578">
        <f>SUMIF(116:116,E39,117:117)-SUMIF(116:116,C39,117:117)+100</f>
        <v>100</v>
      </c>
      <c r="G39" s="602" t="s">
        <v>3061</v>
      </c>
      <c r="H39" s="543">
        <f>SUMIF(116:116,G39,117:117)-SUMIF(116:116,C39,117:117)+100</f>
        <v>100</v>
      </c>
      <c r="I39" s="602" t="s">
        <v>3061</v>
      </c>
      <c r="J39" s="543">
        <f>SUMIF(116:116,I39,117:117)-SUMIF(116:116,C39,117:117)+100</f>
        <v>100</v>
      </c>
      <c r="K39" s="867"/>
      <c r="L39" s="2143"/>
      <c r="M39" s="2135"/>
      <c r="N39" s="2135"/>
      <c r="O39" s="2142"/>
      <c r="P39" s="3399"/>
      <c r="Q39" s="3174" t="str">
        <f t="shared" si="11"/>
        <v>市政基础设施</v>
      </c>
      <c r="R39" s="1575" t="s">
        <v>11</v>
      </c>
      <c r="S39" s="1576">
        <f t="shared" si="12"/>
        <v>100</v>
      </c>
      <c r="T39" s="1575" t="s">
        <v>11</v>
      </c>
      <c r="U39" s="1576">
        <f t="shared" si="13"/>
        <v>100</v>
      </c>
      <c r="V39" s="1575" t="s">
        <v>11</v>
      </c>
      <c r="W39" s="1576">
        <f t="shared" si="14"/>
        <v>100</v>
      </c>
      <c r="X39" s="3173"/>
      <c r="Y39" s="3399"/>
      <c r="Z39" s="3175" t="str">
        <f t="shared" si="15"/>
        <v>市政基础设施</v>
      </c>
      <c r="AA39" s="3176">
        <f t="shared" si="3"/>
        <v>1</v>
      </c>
      <c r="AB39" s="3176">
        <f t="shared" si="4"/>
        <v>1</v>
      </c>
      <c r="AC39" s="3176">
        <f t="shared" si="5"/>
        <v>1</v>
      </c>
    </row>
    <row r="40" spans="1:29" ht="15">
      <c r="A40" s="597"/>
      <c r="B40" s="530" t="s">
        <v>733</v>
      </c>
      <c r="C40" s="602" t="s">
        <v>3078</v>
      </c>
      <c r="D40" s="543">
        <v>100</v>
      </c>
      <c r="E40" s="602" t="s">
        <v>3078</v>
      </c>
      <c r="F40" s="578">
        <f>SUMIF(118:118,E40,119:119)-SUMIF(118:118,C40,119:119)+100</f>
        <v>100</v>
      </c>
      <c r="G40" s="602" t="s">
        <v>3078</v>
      </c>
      <c r="H40" s="543">
        <f>SUMIF(118:118,G40,119:119)-SUMIF(118:118,C40,119:119)+100</f>
        <v>100</v>
      </c>
      <c r="I40" s="602" t="s">
        <v>3078</v>
      </c>
      <c r="J40" s="543">
        <f>SUMIF(118:118,I40,119:119)-SUMIF(118:118,C40,119:119)+100</f>
        <v>100</v>
      </c>
      <c r="K40" s="867"/>
      <c r="L40" s="2143"/>
      <c r="M40" s="2135"/>
      <c r="N40" s="2135"/>
      <c r="O40" s="2142"/>
      <c r="P40" s="3399"/>
      <c r="Q40" s="3174" t="str">
        <f t="shared" si="11"/>
        <v>房型</v>
      </c>
      <c r="R40" s="1575" t="s">
        <v>11</v>
      </c>
      <c r="S40" s="1576">
        <f t="shared" si="12"/>
        <v>100</v>
      </c>
      <c r="T40" s="1575" t="s">
        <v>11</v>
      </c>
      <c r="U40" s="1576">
        <f t="shared" si="13"/>
        <v>100</v>
      </c>
      <c r="V40" s="1575" t="s">
        <v>11</v>
      </c>
      <c r="W40" s="1576">
        <f t="shared" si="14"/>
        <v>100</v>
      </c>
      <c r="X40" s="3173"/>
      <c r="Y40" s="3399"/>
      <c r="Z40" s="3175" t="str">
        <f t="shared" si="15"/>
        <v>房型</v>
      </c>
      <c r="AA40" s="3176">
        <f t="shared" si="3"/>
        <v>1</v>
      </c>
      <c r="AB40" s="3176">
        <f t="shared" si="4"/>
        <v>1</v>
      </c>
      <c r="AC40" s="3176">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1"/>
      <c r="M41" s="2172"/>
      <c r="N41" s="2172"/>
      <c r="O41" s="2144"/>
      <c r="P41" s="3399"/>
      <c r="Q41" s="1607" t="str">
        <f t="shared" si="11"/>
        <v>单套/主力户型建筑面积</v>
      </c>
      <c r="R41" s="1579" t="s">
        <v>11</v>
      </c>
      <c r="S41" s="1580">
        <f t="shared" si="12"/>
        <v>100</v>
      </c>
      <c r="T41" s="1579" t="s">
        <v>11</v>
      </c>
      <c r="U41" s="1580">
        <f t="shared" si="13"/>
        <v>100</v>
      </c>
      <c r="V41" s="1579" t="s">
        <v>11</v>
      </c>
      <c r="W41" s="1580">
        <f t="shared" si="14"/>
        <v>100</v>
      </c>
      <c r="X41" s="1581"/>
      <c r="Y41" s="3399"/>
      <c r="Z41" s="1582" t="str">
        <f t="shared" si="15"/>
        <v>单套/主力户型建筑面积</v>
      </c>
      <c r="AA41" s="3176">
        <f t="shared" si="3"/>
        <v>1</v>
      </c>
      <c r="AB41" s="3176">
        <f t="shared" si="4"/>
        <v>1</v>
      </c>
      <c r="AC41" s="3176">
        <f t="shared" si="5"/>
        <v>1</v>
      </c>
    </row>
    <row r="42" spans="1:29" ht="15">
      <c r="A42" s="597"/>
      <c r="B42" s="530" t="s">
        <v>735</v>
      </c>
      <c r="C42" s="602" t="s">
        <v>3071</v>
      </c>
      <c r="D42" s="543">
        <v>100</v>
      </c>
      <c r="E42" s="602" t="s">
        <v>3071</v>
      </c>
      <c r="F42" s="578">
        <f>SUMIF(122:122,E42,123:123)-SUMIF(122:122,C42,123:123)+100</f>
        <v>100</v>
      </c>
      <c r="G42" s="602" t="s">
        <v>3071</v>
      </c>
      <c r="H42" s="543">
        <f>SUMIF(122:122,G42,123:123)-SUMIF(122:122,C42,123:123)+100</f>
        <v>100</v>
      </c>
      <c r="I42" s="602" t="s">
        <v>3071</v>
      </c>
      <c r="J42" s="543">
        <f>SUMIF(122:122,I42,123:123)-SUMIF(122:122,C42,123:123)+100</f>
        <v>100</v>
      </c>
      <c r="K42" s="867"/>
      <c r="L42" s="2143"/>
      <c r="M42" s="2135"/>
      <c r="N42" s="2135"/>
      <c r="O42" s="2142"/>
      <c r="P42" s="3399"/>
      <c r="Q42" s="3174" t="str">
        <f t="shared" si="11"/>
        <v>内部装修</v>
      </c>
      <c r="R42" s="1575" t="s">
        <v>11</v>
      </c>
      <c r="S42" s="1576">
        <f t="shared" si="12"/>
        <v>100</v>
      </c>
      <c r="T42" s="1575" t="s">
        <v>11</v>
      </c>
      <c r="U42" s="1576">
        <f t="shared" si="13"/>
        <v>100</v>
      </c>
      <c r="V42" s="1575" t="s">
        <v>11</v>
      </c>
      <c r="W42" s="1576">
        <f t="shared" si="14"/>
        <v>100</v>
      </c>
      <c r="X42" s="3173"/>
      <c r="Y42" s="3399"/>
      <c r="Z42" s="3175" t="str">
        <f t="shared" si="15"/>
        <v>内部装修</v>
      </c>
      <c r="AA42" s="3176">
        <f t="shared" si="3"/>
        <v>1</v>
      </c>
      <c r="AB42" s="3176">
        <f t="shared" si="4"/>
        <v>1</v>
      </c>
      <c r="AC42" s="3176">
        <f t="shared" si="5"/>
        <v>1</v>
      </c>
    </row>
    <row r="43" spans="1:29" ht="27.75" thickBot="1">
      <c r="A43" s="597"/>
      <c r="B43" s="530" t="s">
        <v>736</v>
      </c>
      <c r="C43" s="602" t="s">
        <v>3032</v>
      </c>
      <c r="D43" s="543">
        <v>100</v>
      </c>
      <c r="E43" s="877" t="s">
        <v>3032</v>
      </c>
      <c r="F43" s="578">
        <f>SUMIF(124:124,E43,125:125)-SUMIF(124:124,C43,125:125)+100</f>
        <v>100</v>
      </c>
      <c r="G43" s="602" t="s">
        <v>3032</v>
      </c>
      <c r="H43" s="543">
        <f>SUMIF(124:124,G43,125:125)-SUMIF(124:124,C43,125:125)+100</f>
        <v>100</v>
      </c>
      <c r="I43" s="877" t="s">
        <v>3032</v>
      </c>
      <c r="J43" s="543">
        <f>SUMIF(124:124,I43,125:125)-SUMIF(124:124,C43,125:125)+100</f>
        <v>100</v>
      </c>
      <c r="K43" s="867"/>
      <c r="L43" s="2143"/>
      <c r="M43" s="2135"/>
      <c r="N43" s="2135"/>
      <c r="O43" s="2142"/>
      <c r="P43" s="3399"/>
      <c r="Q43" s="3174" t="str">
        <f t="shared" si="11"/>
        <v>内部装修维护情况</v>
      </c>
      <c r="R43" s="1575" t="s">
        <v>11</v>
      </c>
      <c r="S43" s="1576">
        <f t="shared" si="12"/>
        <v>100</v>
      </c>
      <c r="T43" s="1575" t="s">
        <v>11</v>
      </c>
      <c r="U43" s="1576">
        <f t="shared" si="13"/>
        <v>100</v>
      </c>
      <c r="V43" s="1575" t="s">
        <v>11</v>
      </c>
      <c r="W43" s="1576">
        <f t="shared" si="14"/>
        <v>100</v>
      </c>
      <c r="X43" s="3173"/>
      <c r="Y43" s="3399"/>
      <c r="Z43" s="3175" t="str">
        <f t="shared" si="15"/>
        <v>内部装修维护情况</v>
      </c>
      <c r="AA43" s="3176">
        <f t="shared" si="3"/>
        <v>1</v>
      </c>
      <c r="AB43" s="3176">
        <f t="shared" si="4"/>
        <v>1</v>
      </c>
      <c r="AC43" s="3176">
        <f t="shared" si="5"/>
        <v>1</v>
      </c>
    </row>
    <row r="44" spans="1:29" s="1222" customFormat="1" ht="15.75" hidden="1" thickBot="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6"/>
      <c r="M44" s="2137"/>
      <c r="N44" s="2137"/>
      <c r="O44" s="2138"/>
      <c r="P44" s="3399"/>
      <c r="Q44" s="3168">
        <f t="shared" si="11"/>
        <v>111</v>
      </c>
      <c r="R44" s="1570" t="s">
        <v>11</v>
      </c>
      <c r="S44" s="1571">
        <f t="shared" si="12"/>
        <v>100</v>
      </c>
      <c r="T44" s="1570" t="s">
        <v>11</v>
      </c>
      <c r="U44" s="1571">
        <f t="shared" si="13"/>
        <v>100</v>
      </c>
      <c r="V44" s="1570" t="s">
        <v>11</v>
      </c>
      <c r="W44" s="1571">
        <f t="shared" si="14"/>
        <v>100</v>
      </c>
      <c r="X44" s="1572"/>
      <c r="Y44" s="3399"/>
      <c r="Z44" s="3166">
        <f t="shared" si="15"/>
        <v>111</v>
      </c>
      <c r="AA44" s="1573">
        <f t="shared" si="3"/>
        <v>1</v>
      </c>
      <c r="AB44" s="1573">
        <f t="shared" si="4"/>
        <v>1</v>
      </c>
      <c r="AC44" s="1573">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3"/>
      <c r="M45" s="2135"/>
      <c r="N45" s="2135"/>
      <c r="O45" s="2142"/>
      <c r="P45" s="3399"/>
      <c r="Q45" s="3174">
        <f t="shared" si="11"/>
        <v>111</v>
      </c>
      <c r="R45" s="1575" t="s">
        <v>11</v>
      </c>
      <c r="S45" s="1576">
        <f t="shared" si="12"/>
        <v>100</v>
      </c>
      <c r="T45" s="1575" t="s">
        <v>11</v>
      </c>
      <c r="U45" s="1576">
        <f t="shared" si="13"/>
        <v>100</v>
      </c>
      <c r="V45" s="1575" t="s">
        <v>11</v>
      </c>
      <c r="W45" s="1576">
        <f t="shared" si="14"/>
        <v>100</v>
      </c>
      <c r="X45" s="3173"/>
      <c r="Y45" s="3399"/>
      <c r="Z45" s="3175">
        <f t="shared" si="15"/>
        <v>111</v>
      </c>
      <c r="AA45" s="3176">
        <f t="shared" si="3"/>
        <v>1</v>
      </c>
      <c r="AB45" s="3176">
        <f t="shared" si="4"/>
        <v>1</v>
      </c>
      <c r="AC45" s="3176">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3"/>
      <c r="M46" s="2135"/>
      <c r="N46" s="2135"/>
      <c r="O46" s="2142"/>
      <c r="P46" s="3407"/>
      <c r="Q46" s="3174">
        <f t="shared" si="11"/>
        <v>111</v>
      </c>
      <c r="R46" s="1575" t="s">
        <v>10</v>
      </c>
      <c r="S46" s="1576">
        <f t="shared" si="12"/>
        <v>100</v>
      </c>
      <c r="T46" s="1575" t="s">
        <v>10</v>
      </c>
      <c r="U46" s="1576">
        <f t="shared" si="13"/>
        <v>100</v>
      </c>
      <c r="V46" s="1575" t="s">
        <v>10</v>
      </c>
      <c r="W46" s="1576">
        <f t="shared" si="14"/>
        <v>100</v>
      </c>
      <c r="X46" s="3173"/>
      <c r="Y46" s="3407"/>
      <c r="Z46" s="3175">
        <f t="shared" si="15"/>
        <v>111</v>
      </c>
      <c r="AA46" s="3176">
        <f t="shared" si="3"/>
        <v>1</v>
      </c>
      <c r="AB46" s="3176">
        <f t="shared" si="4"/>
        <v>1</v>
      </c>
      <c r="AC46" s="3176">
        <f t="shared" si="5"/>
        <v>1</v>
      </c>
    </row>
    <row r="47" spans="1:29" ht="15">
      <c r="A47" s="610" t="s">
        <v>737</v>
      </c>
      <c r="B47" s="889"/>
      <c r="C47" s="2652" t="s">
        <v>9</v>
      </c>
      <c r="D47" s="2653"/>
      <c r="E47" s="2654">
        <f>11000*0.95</f>
        <v>10450</v>
      </c>
      <c r="F47" s="2655"/>
      <c r="G47" s="2656">
        <f>11800*0.95</f>
        <v>11210</v>
      </c>
      <c r="H47" s="2657"/>
      <c r="I47" s="2654">
        <f>10500*0.95</f>
        <v>9975</v>
      </c>
      <c r="J47" s="2657"/>
      <c r="K47" s="1608"/>
      <c r="L47" s="2145"/>
      <c r="M47" s="2146"/>
      <c r="N47" s="2135"/>
      <c r="O47" s="2146"/>
      <c r="P47" s="3360" t="str">
        <f>A47</f>
        <v>成交单价（元/平方米）</v>
      </c>
      <c r="Q47" s="3360"/>
      <c r="R47" s="3408">
        <f>E47</f>
        <v>10450</v>
      </c>
      <c r="S47" s="3408"/>
      <c r="T47" s="3408">
        <f>G47</f>
        <v>11210</v>
      </c>
      <c r="U47" s="3408"/>
      <c r="V47" s="3408">
        <f>I47</f>
        <v>9975</v>
      </c>
      <c r="W47" s="3408"/>
      <c r="X47" s="1561"/>
      <c r="Y47" s="1583"/>
      <c r="Z47" s="1561"/>
      <c r="AA47" s="1561"/>
      <c r="AB47" s="1561"/>
      <c r="AC47" s="1561"/>
    </row>
    <row r="48" spans="1:29" ht="15.75" thickBot="1">
      <c r="A48" s="618" t="s">
        <v>2700</v>
      </c>
      <c r="B48" s="890"/>
      <c r="C48" s="2658">
        <f>R49</f>
        <v>10341</v>
      </c>
      <c r="D48" s="2659"/>
      <c r="E48" s="2660">
        <f>R48</f>
        <v>10416</v>
      </c>
      <c r="F48" s="2660"/>
      <c r="G48" s="2658">
        <f>T48</f>
        <v>10470</v>
      </c>
      <c r="H48" s="2659"/>
      <c r="I48" s="2660">
        <f>V48</f>
        <v>10136</v>
      </c>
      <c r="J48" s="2659"/>
      <c r="K48" s="1609"/>
      <c r="L48" s="2145"/>
      <c r="M48" s="2146"/>
      <c r="N48" s="2146"/>
      <c r="O48" s="2146"/>
      <c r="P48" s="3360" t="str">
        <f>A48</f>
        <v>比较价格（元/平方米）</v>
      </c>
      <c r="Q48" s="3360"/>
      <c r="R48" s="3408">
        <f>IF(F1="售价",ROUND(PRODUCT(R47,AA7:AA46),0),ROUND(PRODUCT(R47,AA7:AA46),1))</f>
        <v>10416</v>
      </c>
      <c r="S48" s="3408"/>
      <c r="T48" s="3408">
        <f>IF(F1="售价",ROUND(PRODUCT(T47,AB7:AB46),0),ROUND(PRODUCT(T47,AB7:AB46),1))</f>
        <v>10470</v>
      </c>
      <c r="U48" s="3408"/>
      <c r="V48" s="3408">
        <f>IF(F1="售价",ROUND(PRODUCT(V47,AC7:AC46),0),ROUND(PRODUCT(V47,AC7:AC46),1))</f>
        <v>10136</v>
      </c>
      <c r="W48" s="3408"/>
      <c r="X48" s="1561"/>
      <c r="Y48" s="1561"/>
      <c r="Z48" s="1561"/>
      <c r="AA48" s="1561"/>
      <c r="AB48" s="1561"/>
      <c r="AC48" s="1561"/>
    </row>
    <row r="49" spans="1:29" ht="15.75" hidden="1" thickBot="1">
      <c r="A49" s="624" t="s">
        <v>2940</v>
      </c>
      <c r="B49" s="625"/>
      <c r="C49" s="2661">
        <f>R49</f>
        <v>10341</v>
      </c>
      <c r="D49" s="2661"/>
      <c r="E49" s="2661"/>
      <c r="F49" s="2661"/>
      <c r="G49" s="2661"/>
      <c r="H49" s="2661"/>
      <c r="I49" s="2661"/>
      <c r="J49" s="2661"/>
      <c r="K49" s="1610"/>
      <c r="L49" s="2145"/>
      <c r="M49" s="2146"/>
      <c r="N49" s="2146"/>
      <c r="O49" s="2146"/>
      <c r="P49" s="3357" t="str">
        <f>A49</f>
        <v>估价对象XX用房的比较价格（楼面单价，元/平方米）</v>
      </c>
      <c r="Q49" s="3358"/>
      <c r="R49" s="3409">
        <f>IF(F1="售价",ROUND(AVERAGE(R48:V48),0),ROUND(AVERAGE(R48:V48),1))</f>
        <v>10341</v>
      </c>
      <c r="S49" s="3409"/>
      <c r="T49" s="3409"/>
      <c r="U49" s="3409"/>
      <c r="V49" s="3409"/>
      <c r="W49" s="3409"/>
      <c r="X49" s="1561"/>
      <c r="Y49" s="1561"/>
      <c r="Z49" s="1561"/>
      <c r="AA49" s="1561"/>
      <c r="AB49" s="1561"/>
      <c r="AC49" s="1561"/>
    </row>
    <row r="50" spans="1:29" hidden="1">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idden="1">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f>IF(E47&lt;E48,E48/E47-1,E47/E48-1)</f>
        <v>3.2642089093701809E-3</v>
      </c>
      <c r="F52" s="630" t="str">
        <f>IF(OR(E52&gt;=0.3,E52&lt;=-0.3),"超过30%","")</f>
        <v/>
      </c>
      <c r="G52" s="629">
        <f>IF(G47&lt;G48,G48/G47-1,G47/G48-1)</f>
        <v>7.0678127984718175E-2</v>
      </c>
      <c r="H52" s="630" t="str">
        <f>IF(OR(G52&gt;=0.3,G52&lt;=-0.3),"超过30%","")</f>
        <v/>
      </c>
      <c r="I52" s="629">
        <f>IF(I47&lt;I48,I48/I47-1,I47/I48-1)</f>
        <v>1.6140350877192899E-2</v>
      </c>
      <c r="J52" s="630"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f>IF(E48&lt;G48,G48/E48-1,E48/G48-1)</f>
        <v>5.1843317972350977E-3</v>
      </c>
      <c r="F53" s="630" t="str">
        <f>IF(OR(E53&gt;=0.2,E53&lt;=-0.2),"超过20%","")</f>
        <v/>
      </c>
      <c r="G53" s="629">
        <f>IF(G48&lt;I48,I48/G48-1,G48/I48-1)</f>
        <v>3.2951854775059131E-2</v>
      </c>
      <c r="H53" s="630" t="str">
        <f>IF(OR(G53&gt;=0.2,G53&lt;=-0.2),"超过20%","")</f>
        <v/>
      </c>
      <c r="I53" s="629">
        <f>IF(I48&lt;E48,E48/I48-1,I48/E48-1)</f>
        <v>2.7624309392265234E-2</v>
      </c>
      <c r="J53" s="630"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f>IF(E47&lt;G47,G47/E47-1,E47/G47-1)</f>
        <v>7.2727272727272751E-2</v>
      </c>
      <c r="F54" s="630" t="str">
        <f>IF(OR(E54&gt;=0.3,E54&lt;=-0.3),"超过30%","")</f>
        <v/>
      </c>
      <c r="G54" s="629">
        <f>IF(G47&lt;I47,I47/G47-1,G47/I47-1)</f>
        <v>0.12380952380952381</v>
      </c>
      <c r="H54" s="630" t="str">
        <f>IF(OR(G54&gt;=0.3,G54&lt;=-0.3),"超过30%","")</f>
        <v/>
      </c>
      <c r="I54" s="629">
        <f>IF(I47&lt;E47,E47/I47-1,I47/E47-1)</f>
        <v>4.7619047619047672E-2</v>
      </c>
      <c r="J54" s="630"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31"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3"/>
      <c r="N59" s="653"/>
      <c r="O59" s="653"/>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994"/>
    </row>
    <row r="63" spans="1:29">
      <c r="A63" s="667" t="s">
        <v>578</v>
      </c>
      <c r="B63" s="668" t="s">
        <v>535</v>
      </c>
      <c r="C63" s="707" t="str">
        <f>C9</f>
        <v>办公</v>
      </c>
      <c r="D63" s="3164" t="s">
        <v>3040</v>
      </c>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1611"/>
      <c r="F64" s="1611"/>
      <c r="G64" s="1611"/>
      <c r="H64" s="1611"/>
      <c r="I64" s="1611"/>
      <c r="J64" s="1611"/>
      <c r="K64" s="1611"/>
      <c r="L64" s="1611"/>
      <c r="M64" s="1612"/>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 t="shared" ref="D66:I66" si="17">C66-$K10</f>
        <v>95</v>
      </c>
      <c r="E66" s="682">
        <f t="shared" si="17"/>
        <v>90</v>
      </c>
      <c r="F66" s="682">
        <f t="shared" si="17"/>
        <v>85</v>
      </c>
      <c r="G66" s="682">
        <f t="shared" si="17"/>
        <v>80</v>
      </c>
      <c r="H66" s="682">
        <f t="shared" si="17"/>
        <v>75</v>
      </c>
      <c r="I66" s="682">
        <f t="shared" si="17"/>
        <v>70</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v>1</v>
      </c>
      <c r="D68" s="544">
        <v>2</v>
      </c>
      <c r="E68" s="544">
        <v>3</v>
      </c>
      <c r="F68" s="544">
        <v>4</v>
      </c>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95"/>
      <c r="E73" s="695"/>
      <c r="F73" s="695"/>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97</v>
      </c>
      <c r="E77" s="682">
        <f>D77-$K15</f>
        <v>94</v>
      </c>
      <c r="F77" s="682">
        <f>E77-$K15</f>
        <v>91</v>
      </c>
      <c r="G77" s="682">
        <f>F77-$K15</f>
        <v>88</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97</v>
      </c>
      <c r="E79" s="682">
        <f>D79-$K17</f>
        <v>94</v>
      </c>
      <c r="F79" s="682">
        <f>E79-$K17</f>
        <v>91</v>
      </c>
      <c r="G79" s="682">
        <f>F79-$K17</f>
        <v>88</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2321</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2552</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1897" t="s">
        <v>2261</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
        <v>747</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道路级别</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695"/>
      <c r="D91" s="695"/>
      <c r="E91" s="695"/>
      <c r="F91" s="695"/>
      <c r="G91" s="695"/>
      <c r="H91" s="696"/>
      <c r="I91" s="696"/>
      <c r="J91" s="696"/>
      <c r="K91" s="696"/>
      <c r="L91" s="696"/>
      <c r="M91" s="697"/>
      <c r="N91" s="2168"/>
      <c r="O91" s="2168"/>
      <c r="P91" s="2169"/>
      <c r="Q91" s="2170"/>
      <c r="R91" s="2171"/>
      <c r="S91" s="2171"/>
      <c r="T91" s="2171"/>
      <c r="U91" s="2171"/>
      <c r="V91" s="2171"/>
      <c r="W91" s="2171"/>
      <c r="X91" s="2171"/>
      <c r="Y91" s="2171"/>
      <c r="Z91" s="2171"/>
      <c r="AA91" s="2171"/>
      <c r="AB91" s="2171"/>
      <c r="AC91" s="2171"/>
    </row>
    <row r="92" spans="1:29" ht="15.75" thickTop="1">
      <c r="A92" s="672"/>
      <c r="B92" s="676">
        <f>B28</f>
        <v>111</v>
      </c>
      <c r="C92" s="691"/>
      <c r="D92" s="691"/>
      <c r="E92" s="691"/>
      <c r="F92" s="691"/>
      <c r="G92" s="721"/>
      <c r="H92" s="721"/>
      <c r="I92" s="721"/>
      <c r="J92" s="721"/>
      <c r="K92" s="722"/>
      <c r="L92" s="723"/>
      <c r="M92" s="724"/>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95"/>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95"/>
      <c r="E95" s="695"/>
      <c r="F95" s="695"/>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703"/>
      <c r="D97" s="703"/>
      <c r="E97" s="703"/>
      <c r="F97" s="703"/>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725"/>
      <c r="D98" s="725"/>
      <c r="E98" s="725"/>
      <c r="F98" s="725"/>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29"/>
      <c r="D99" s="729"/>
      <c r="E99" s="729"/>
      <c r="F99" s="729"/>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748</v>
      </c>
      <c r="C100" s="3164" t="s">
        <v>3092</v>
      </c>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3180" t="s">
        <v>3093</v>
      </c>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751</v>
      </c>
      <c r="C107" s="3181" t="s">
        <v>3094</v>
      </c>
      <c r="D107" s="721"/>
      <c r="E107" s="72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752</v>
      </c>
      <c r="C109" s="3180" t="s">
        <v>3095</v>
      </c>
      <c r="D109" s="691"/>
      <c r="E109" s="691"/>
      <c r="F109" s="721"/>
      <c r="G109" s="721"/>
      <c r="H109" s="72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7"/>
      <c r="O110" s="2167"/>
      <c r="P110" s="2166"/>
      <c r="Q110" s="2159"/>
      <c r="R110" s="2146"/>
      <c r="S110" s="2146"/>
      <c r="T110" s="2146"/>
      <c r="U110" s="2146"/>
      <c r="V110" s="2146"/>
      <c r="W110" s="2146"/>
      <c r="X110" s="2146"/>
      <c r="Y110" s="2146"/>
      <c r="Z110" s="2146"/>
      <c r="AA110" s="2146"/>
      <c r="AB110" s="2146"/>
      <c r="AC110" s="2146"/>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8"/>
      <c r="O111" s="2168"/>
      <c r="P111" s="2169"/>
      <c r="Q111" s="2170"/>
      <c r="R111" s="2171"/>
      <c r="S111" s="2171"/>
      <c r="T111" s="2171"/>
      <c r="U111" s="2171"/>
      <c r="V111" s="2171"/>
      <c r="W111" s="2171"/>
      <c r="X111" s="2171"/>
      <c r="Y111" s="2171"/>
      <c r="Z111" s="2171"/>
      <c r="AA111" s="2171"/>
      <c r="AB111" s="2171"/>
      <c r="AC111" s="2171"/>
    </row>
    <row r="112" spans="1:29" s="1341" customFormat="1">
      <c r="A112" s="731"/>
      <c r="B112" s="684"/>
      <c r="C112" s="896">
        <v>0.5</v>
      </c>
      <c r="D112" s="896">
        <v>0.6</v>
      </c>
      <c r="E112" s="896">
        <v>0.7</v>
      </c>
      <c r="F112" s="896">
        <v>0.8</v>
      </c>
      <c r="G112" s="896">
        <v>0.9</v>
      </c>
      <c r="H112" s="896">
        <v>1.0001</v>
      </c>
      <c r="I112" s="896"/>
      <c r="J112" s="897"/>
      <c r="K112" s="897"/>
      <c r="L112" s="898"/>
      <c r="M112" s="899"/>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754</v>
      </c>
      <c r="C114" s="3180" t="s">
        <v>3096</v>
      </c>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1897" t="s">
        <v>2561</v>
      </c>
      <c r="C116" s="3180" t="s">
        <v>3097</v>
      </c>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755</v>
      </c>
      <c r="C118" s="3181" t="s">
        <v>3098</v>
      </c>
      <c r="D118" s="721"/>
      <c r="E118" s="721"/>
      <c r="F118" s="721"/>
      <c r="G118" s="72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7"/>
      <c r="O119" s="2167"/>
      <c r="P119" s="2166"/>
      <c r="Q119" s="2159"/>
      <c r="R119" s="2146"/>
      <c r="S119" s="2146"/>
      <c r="T119" s="2146"/>
      <c r="U119" s="2146"/>
      <c r="V119" s="2146"/>
      <c r="W119" s="2146"/>
      <c r="X119" s="2146"/>
      <c r="Y119" s="2146"/>
      <c r="Z119" s="2146"/>
      <c r="AA119" s="2146"/>
      <c r="AB119" s="2146"/>
      <c r="AC119" s="2146"/>
    </row>
    <row r="120" spans="1:29" s="1341" customFormat="1" ht="28.5" thickTop="1">
      <c r="A120" s="731"/>
      <c r="B120" s="676" t="s">
        <v>734</v>
      </c>
      <c r="C120" s="691"/>
      <c r="D120" s="691"/>
      <c r="E120" s="691"/>
      <c r="F120" s="691"/>
      <c r="G120" s="691"/>
      <c r="H120" s="691"/>
      <c r="I120" s="691"/>
      <c r="J120" s="691"/>
      <c r="K120" s="691"/>
      <c r="L120" s="892"/>
      <c r="M120" s="893"/>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695"/>
      <c r="D121" s="674"/>
      <c r="E121" s="674"/>
      <c r="F121" s="674"/>
      <c r="G121" s="674"/>
      <c r="H121" s="674"/>
      <c r="I121" s="674"/>
      <c r="J121" s="674"/>
      <c r="K121" s="674"/>
      <c r="L121" s="674"/>
      <c r="M121" s="674"/>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3180" t="s">
        <v>3095</v>
      </c>
      <c r="D122" s="691"/>
      <c r="E122" s="691"/>
      <c r="F122" s="721"/>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95"/>
      <c r="E129" s="695"/>
      <c r="F129" s="695"/>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2266</v>
      </c>
      <c r="H138" s="1929" t="s">
        <v>2267</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2273</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9">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9">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9">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H57" sqref="H57"/>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8" t="s">
        <v>720</v>
      </c>
      <c r="C1" s="2649" t="s">
        <v>721</v>
      </c>
      <c r="D1" s="2650" t="s">
        <v>924</v>
      </c>
      <c r="E1" s="2651"/>
      <c r="F1" s="2834" t="s">
        <v>3008</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7">
        <f>ROUND(B3*D3/10000,0)</f>
        <v>368022</v>
      </c>
      <c r="C2" s="2128"/>
      <c r="D2" s="2128"/>
      <c r="E2" s="2128"/>
      <c r="F2" s="2202"/>
      <c r="G2" s="2128"/>
      <c r="H2" s="2128"/>
      <c r="I2" s="2128"/>
      <c r="J2" s="2128"/>
      <c r="K2" s="2203"/>
      <c r="L2" s="2204"/>
      <c r="M2" s="2205"/>
      <c r="N2" s="2205"/>
      <c r="O2" s="2205"/>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16870</v>
      </c>
      <c r="C3" s="855" t="s">
        <v>723</v>
      </c>
      <c r="D3" s="854">
        <f>SUMIF('数据-汇总表'!$C19:$C33,D1,'数据-汇总表'!$E19:$E33)</f>
        <v>218152</v>
      </c>
      <c r="E3" s="2128"/>
      <c r="F3" s="2202"/>
      <c r="G3" s="2128"/>
      <c r="H3" s="2128"/>
      <c r="I3" s="2128"/>
      <c r="J3" s="2128"/>
      <c r="K3" s="2203"/>
      <c r="L3" s="2204"/>
      <c r="M3" s="2205"/>
      <c r="N3" s="2205"/>
      <c r="O3" s="2205"/>
      <c r="P3" s="1604"/>
      <c r="Q3" s="1604"/>
      <c r="R3" s="1604"/>
      <c r="S3" s="1604"/>
      <c r="T3" s="1604"/>
      <c r="U3" s="1604"/>
      <c r="V3" s="1604"/>
      <c r="W3" s="1604"/>
      <c r="X3" s="1604"/>
      <c r="Y3" s="1604"/>
      <c r="Z3" s="1604"/>
      <c r="AA3" s="1604"/>
      <c r="AB3" s="1604"/>
      <c r="AC3" s="1606"/>
    </row>
    <row r="4" spans="1:29" ht="15">
      <c r="A4" s="515" t="s">
        <v>522</v>
      </c>
      <c r="B4" s="516"/>
      <c r="C4" s="3366" t="s">
        <v>523</v>
      </c>
      <c r="D4" s="3367"/>
      <c r="E4" s="3400" t="s">
        <v>524</v>
      </c>
      <c r="F4" s="3401"/>
      <c r="G4" s="3366" t="s">
        <v>525</v>
      </c>
      <c r="H4" s="3367"/>
      <c r="I4" s="3366" t="s">
        <v>526</v>
      </c>
      <c r="J4" s="3367"/>
      <c r="K4" s="856" t="s">
        <v>527</v>
      </c>
      <c r="L4" s="2134"/>
      <c r="M4" s="2135"/>
      <c r="N4" s="2135"/>
      <c r="O4" s="2135"/>
      <c r="P4" s="3368" t="s">
        <v>528</v>
      </c>
      <c r="Q4" s="3369"/>
      <c r="R4" s="3374" t="s">
        <v>524</v>
      </c>
      <c r="S4" s="3375"/>
      <c r="T4" s="3374" t="s">
        <v>525</v>
      </c>
      <c r="U4" s="3375"/>
      <c r="V4" s="3361" t="s">
        <v>526</v>
      </c>
      <c r="W4" s="3361"/>
      <c r="X4" s="1569"/>
      <c r="Y4" s="3374" t="s">
        <v>528</v>
      </c>
      <c r="Z4" s="3375"/>
      <c r="AA4" s="3363" t="s">
        <v>524</v>
      </c>
      <c r="AB4" s="3363" t="s">
        <v>525</v>
      </c>
      <c r="AC4" s="3363" t="s">
        <v>526</v>
      </c>
    </row>
    <row r="5" spans="1:29" ht="15">
      <c r="A5" s="518"/>
      <c r="B5" s="519"/>
      <c r="C5" s="3384" t="s">
        <v>2934</v>
      </c>
      <c r="D5" s="3383"/>
      <c r="E5" s="3402" t="s">
        <v>3081</v>
      </c>
      <c r="F5" s="3403"/>
      <c r="G5" s="3382" t="s">
        <v>3012</v>
      </c>
      <c r="H5" s="3383"/>
      <c r="I5" s="3382" t="s">
        <v>3014</v>
      </c>
      <c r="J5" s="3383"/>
      <c r="K5" s="857"/>
      <c r="L5" s="2134"/>
      <c r="M5" s="2135"/>
      <c r="N5" s="2135"/>
      <c r="O5" s="2135"/>
      <c r="P5" s="3370"/>
      <c r="Q5" s="3371"/>
      <c r="R5" s="3376"/>
      <c r="S5" s="3377"/>
      <c r="T5" s="3376"/>
      <c r="U5" s="3377"/>
      <c r="V5" s="3361"/>
      <c r="W5" s="3361"/>
      <c r="X5" s="1569"/>
      <c r="Y5" s="3376"/>
      <c r="Z5" s="3377"/>
      <c r="AA5" s="3364"/>
      <c r="AB5" s="3364"/>
      <c r="AC5" s="3364"/>
    </row>
    <row r="6" spans="1:29" ht="15.75" thickBot="1">
      <c r="A6" s="520"/>
      <c r="B6" s="521"/>
      <c r="C6" s="3404" t="s">
        <v>2938</v>
      </c>
      <c r="D6" s="3381"/>
      <c r="E6" s="3405" t="s">
        <v>3082</v>
      </c>
      <c r="F6" s="3406"/>
      <c r="G6" s="3380" t="s">
        <v>3013</v>
      </c>
      <c r="H6" s="3381"/>
      <c r="I6" s="3380" t="s">
        <v>3015</v>
      </c>
      <c r="J6" s="3381"/>
      <c r="K6" s="857" t="s">
        <v>529</v>
      </c>
      <c r="L6" s="2134"/>
      <c r="M6" s="2135"/>
      <c r="N6" s="2135"/>
      <c r="O6" s="2135"/>
      <c r="P6" s="3372"/>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f>C7</f>
        <v>43025</v>
      </c>
      <c r="F7" s="525">
        <f>SUMIF(58:58,YEAR(E7)&amp;"-"&amp;MONTH(E7),59:59)</f>
        <v>100</v>
      </c>
      <c r="G7" s="526">
        <f>C7</f>
        <v>43025</v>
      </c>
      <c r="H7" s="523">
        <f>SUMIF(58:58,YEAR(G7)&amp;"-"&amp;MONTH(G7),59:59)</f>
        <v>100</v>
      </c>
      <c r="I7" s="526">
        <f>C7</f>
        <v>43025</v>
      </c>
      <c r="J7" s="523">
        <f>SUMIF(58:58,YEAR(I7)&amp;"-"&amp;MONTH(I7),59:59)</f>
        <v>100</v>
      </c>
      <c r="K7" s="858"/>
      <c r="L7" s="2136"/>
      <c r="M7" s="2137"/>
      <c r="N7" s="2137"/>
      <c r="O7" s="2137"/>
      <c r="P7" s="3393" t="s">
        <v>531</v>
      </c>
      <c r="Q7" s="3395"/>
      <c r="R7" s="1570" t="s">
        <v>13</v>
      </c>
      <c r="S7" s="1571">
        <f t="shared" ref="S7:S15" si="0">F7</f>
        <v>100</v>
      </c>
      <c r="T7" s="1570" t="s">
        <v>13</v>
      </c>
      <c r="U7" s="1571">
        <f t="shared" ref="U7:U15" si="1">H7</f>
        <v>100</v>
      </c>
      <c r="V7" s="1570" t="s">
        <v>13</v>
      </c>
      <c r="W7" s="1571">
        <f t="shared" ref="W7:W15" si="2">J7</f>
        <v>100</v>
      </c>
      <c r="X7" s="1572"/>
      <c r="Y7" s="3393" t="s">
        <v>531</v>
      </c>
      <c r="Z7" s="3394"/>
      <c r="AA7" s="1573">
        <f>D7/F7</f>
        <v>1</v>
      </c>
      <c r="AB7" s="1573">
        <f>D7/H7</f>
        <v>1</v>
      </c>
      <c r="AC7" s="1573">
        <f>D7/J7</f>
        <v>1</v>
      </c>
    </row>
    <row r="8" spans="1:29" s="1222" customFormat="1" ht="15.75" thickBot="1">
      <c r="A8" s="2940"/>
      <c r="B8" s="2947" t="s">
        <v>532</v>
      </c>
      <c r="C8" s="528" t="s">
        <v>577</v>
      </c>
      <c r="D8" s="523">
        <v>100</v>
      </c>
      <c r="E8" s="859" t="s">
        <v>3006</v>
      </c>
      <c r="F8" s="525">
        <f>SUMIF(61:61,E8,62:62)-SUMIF(61:61,C8,62:62)+100</f>
        <v>100</v>
      </c>
      <c r="G8" s="528" t="s">
        <v>3006</v>
      </c>
      <c r="H8" s="523">
        <f>SUMIF(61:61,G8,62:62)-SUMIF(61:61,C8,62:62)+100</f>
        <v>100</v>
      </c>
      <c r="I8" s="859" t="s">
        <v>3006</v>
      </c>
      <c r="J8" s="523">
        <f>SUMIF(61:61,I8,62:62)-SUMIF(61:61,C8,62:62)+100</f>
        <v>100</v>
      </c>
      <c r="K8" s="858"/>
      <c r="L8" s="2136"/>
      <c r="M8" s="2137"/>
      <c r="N8" s="2137"/>
      <c r="O8" s="2137"/>
      <c r="P8" s="3393" t="s">
        <v>534</v>
      </c>
      <c r="Q8" s="3394"/>
      <c r="R8" s="1570" t="s">
        <v>13</v>
      </c>
      <c r="S8" s="1571">
        <f t="shared" si="0"/>
        <v>100</v>
      </c>
      <c r="T8" s="1570" t="s">
        <v>13</v>
      </c>
      <c r="U8" s="1571">
        <f t="shared" si="1"/>
        <v>100</v>
      </c>
      <c r="V8" s="1570" t="s">
        <v>13</v>
      </c>
      <c r="W8" s="1571">
        <f t="shared" si="2"/>
        <v>100</v>
      </c>
      <c r="X8" s="1572"/>
      <c r="Y8" s="3393" t="s">
        <v>534</v>
      </c>
      <c r="Z8" s="3394"/>
      <c r="AA8" s="1573">
        <f t="shared" ref="AA8:AA46" si="3">D8/F8</f>
        <v>1</v>
      </c>
      <c r="AB8" s="1573">
        <f t="shared" ref="AB8:AB46" si="4">D8/H8</f>
        <v>1</v>
      </c>
      <c r="AC8" s="1573">
        <f t="shared" ref="AC8:AC46" si="5">D8/J8</f>
        <v>1</v>
      </c>
    </row>
    <row r="9" spans="1:29" s="1222" customFormat="1" ht="15">
      <c r="A9" s="2941"/>
      <c r="B9" s="2948" t="s">
        <v>2763</v>
      </c>
      <c r="C9" s="3165" t="s">
        <v>3011</v>
      </c>
      <c r="D9" s="254">
        <v>100</v>
      </c>
      <c r="E9" s="861" t="s">
        <v>924</v>
      </c>
      <c r="F9" s="862">
        <f>SUMIF(63:63,E9,64:64)-SUMIF(63:63,C9,64:64)+100</f>
        <v>100</v>
      </c>
      <c r="G9" s="863" t="s">
        <v>924</v>
      </c>
      <c r="H9" s="254">
        <f>SUMIF(63:63,G9,64:64)-SUMIF(63:63,C9,64:64)+100</f>
        <v>100</v>
      </c>
      <c r="I9" s="863" t="s">
        <v>924</v>
      </c>
      <c r="J9" s="254">
        <f>SUMIF(63:63,I9,64:64)-SUMIF(63:63,C9,64:64)+100</f>
        <v>100</v>
      </c>
      <c r="K9" s="858"/>
      <c r="L9" s="2136"/>
      <c r="M9" s="2137"/>
      <c r="N9" s="2137"/>
      <c r="O9" s="2138"/>
      <c r="P9" s="3360" t="s">
        <v>536</v>
      </c>
      <c r="Q9" s="1153" t="str">
        <f t="shared" ref="Q9:Q15" si="6">B9</f>
        <v>用途</v>
      </c>
      <c r="R9" s="1570" t="s">
        <v>8</v>
      </c>
      <c r="S9" s="1571">
        <f t="shared" si="0"/>
        <v>100</v>
      </c>
      <c r="T9" s="1570" t="s">
        <v>8</v>
      </c>
      <c r="U9" s="1571">
        <f t="shared" si="1"/>
        <v>100</v>
      </c>
      <c r="V9" s="1570" t="s">
        <v>8</v>
      </c>
      <c r="W9" s="1571">
        <f t="shared" si="2"/>
        <v>100</v>
      </c>
      <c r="X9" s="1572"/>
      <c r="Y9" s="3306" t="s">
        <v>537</v>
      </c>
      <c r="Z9" s="1152" t="str">
        <f t="shared" ref="Z9:Z15" si="7">Q9</f>
        <v>用途</v>
      </c>
      <c r="AA9" s="1573">
        <f t="shared" si="3"/>
        <v>1</v>
      </c>
      <c r="AB9" s="1573">
        <f t="shared" si="4"/>
        <v>1</v>
      </c>
      <c r="AC9" s="1573">
        <f t="shared" si="5"/>
        <v>1</v>
      </c>
    </row>
    <row r="10" spans="1:29" s="1340" customFormat="1" ht="27">
      <c r="A10" s="2942"/>
      <c r="B10" s="2947" t="s">
        <v>2764</v>
      </c>
      <c r="C10" s="864" t="s">
        <v>3010</v>
      </c>
      <c r="D10" s="255">
        <v>100</v>
      </c>
      <c r="E10" s="865" t="s">
        <v>3009</v>
      </c>
      <c r="F10" s="866">
        <f>SUMIF(65:65,E10,66:66)-SUMIF(65:65,C10,66:66)+100</f>
        <v>101</v>
      </c>
      <c r="G10" s="864" t="s">
        <v>3009</v>
      </c>
      <c r="H10" s="255">
        <f>SUMIF(65:65,G10,66:66)-SUMIF(65:65,C10,66:66)+100</f>
        <v>101</v>
      </c>
      <c r="I10" s="864" t="s">
        <v>3009</v>
      </c>
      <c r="J10" s="255">
        <f>SUMIF(65:65,I10,66:66)-SUMIF(65:65,C10,66:66)+100</f>
        <v>101</v>
      </c>
      <c r="K10" s="3189">
        <v>1</v>
      </c>
      <c r="L10" s="2139"/>
      <c r="M10" s="2179"/>
      <c r="N10" s="2179"/>
      <c r="O10" s="2140"/>
      <c r="P10" s="3360"/>
      <c r="Q10" s="1153" t="str">
        <f t="shared" si="6"/>
        <v>土地使用年限（年）</v>
      </c>
      <c r="R10" s="1570" t="s">
        <v>8</v>
      </c>
      <c r="S10" s="1571">
        <f t="shared" si="0"/>
        <v>101</v>
      </c>
      <c r="T10" s="1570" t="s">
        <v>8</v>
      </c>
      <c r="U10" s="1571">
        <f t="shared" si="1"/>
        <v>101</v>
      </c>
      <c r="V10" s="1570" t="s">
        <v>8</v>
      </c>
      <c r="W10" s="1571">
        <f t="shared" si="2"/>
        <v>101</v>
      </c>
      <c r="X10" s="1572"/>
      <c r="Y10" s="3306"/>
      <c r="Z10" s="1152" t="str">
        <f t="shared" si="7"/>
        <v>土地使用年限（年）</v>
      </c>
      <c r="AA10" s="1573">
        <f t="shared" si="3"/>
        <v>0.99009900990099009</v>
      </c>
      <c r="AB10" s="1573">
        <f t="shared" si="4"/>
        <v>0.99009900990099009</v>
      </c>
      <c r="AC10" s="1573">
        <f t="shared" si="5"/>
        <v>0.99009900990099009</v>
      </c>
    </row>
    <row r="11" spans="1:29" ht="15.75" thickBot="1">
      <c r="A11" s="2943"/>
      <c r="B11" s="2947" t="s">
        <v>2765</v>
      </c>
      <c r="C11" s="536">
        <f>'数据-汇总表'!I6</f>
        <v>2.6</v>
      </c>
      <c r="D11" s="255">
        <v>100</v>
      </c>
      <c r="E11" s="537">
        <v>2.37</v>
      </c>
      <c r="F11" s="866">
        <f>LOOKUP(E11,68:68,69:69)-LOOKUP(C11,68:68,69:69)+100</f>
        <v>100</v>
      </c>
      <c r="G11" s="536">
        <v>2.5</v>
      </c>
      <c r="H11" s="255">
        <f>LOOKUP(G11,68:68,69:69)-LOOKUP(C11,68:68,69:69)+100</f>
        <v>100</v>
      </c>
      <c r="I11" s="536">
        <v>2</v>
      </c>
      <c r="J11" s="255">
        <f>LOOKUP(I11,68:68,69:69)-LOOKUP(C11,68:68,69:69)+100</f>
        <v>100</v>
      </c>
      <c r="K11" s="867">
        <v>1</v>
      </c>
      <c r="L11" s="2141"/>
      <c r="M11" s="2135"/>
      <c r="N11" s="2135"/>
      <c r="O11" s="2142"/>
      <c r="P11" s="3360"/>
      <c r="Q11" s="1153" t="str">
        <f t="shared" si="6"/>
        <v>容积率</v>
      </c>
      <c r="R11" s="1570" t="s">
        <v>11</v>
      </c>
      <c r="S11" s="1571">
        <f t="shared" si="0"/>
        <v>100</v>
      </c>
      <c r="T11" s="1570" t="s">
        <v>11</v>
      </c>
      <c r="U11" s="1571">
        <f t="shared" si="1"/>
        <v>100</v>
      </c>
      <c r="V11" s="1570" t="s">
        <v>11</v>
      </c>
      <c r="W11" s="1571">
        <f t="shared" si="2"/>
        <v>100</v>
      </c>
      <c r="X11" s="1572"/>
      <c r="Y11" s="3306"/>
      <c r="Z11" s="1152" t="str">
        <f t="shared" si="7"/>
        <v>容积率</v>
      </c>
      <c r="AA11" s="1573">
        <f t="shared" si="3"/>
        <v>1</v>
      </c>
      <c r="AB11" s="1573">
        <f t="shared" si="4"/>
        <v>1</v>
      </c>
      <c r="AC11" s="1573">
        <f t="shared" si="5"/>
        <v>1</v>
      </c>
    </row>
    <row r="12" spans="1:29" s="1222" customFormat="1" ht="15" hidden="1">
      <c r="A12" s="2944"/>
      <c r="B12" s="2950">
        <v>111</v>
      </c>
      <c r="C12" s="531"/>
      <c r="D12" s="541">
        <v>100</v>
      </c>
      <c r="E12" s="531"/>
      <c r="F12" s="866">
        <f>SUMIF(70:70,E12,71:71)-SUMIF(70:70,C12,71:71)+100</f>
        <v>100</v>
      </c>
      <c r="G12" s="531"/>
      <c r="H12" s="255">
        <f>SUMIF(70:70,G12,71:71)-SUMIF(70:70,C12,71:71)+100</f>
        <v>100</v>
      </c>
      <c r="I12" s="531"/>
      <c r="J12" s="255">
        <f>SUMIF(70:70,I12,71:71)-SUMIF(70:70,C12,71:71)+100</f>
        <v>100</v>
      </c>
      <c r="K12" s="868"/>
      <c r="L12" s="2136"/>
      <c r="M12" s="2137"/>
      <c r="N12" s="2137"/>
      <c r="O12" s="2138"/>
      <c r="P12" s="3360"/>
      <c r="Q12" s="1153">
        <f t="shared" si="6"/>
        <v>111</v>
      </c>
      <c r="R12" s="1570" t="s">
        <v>11</v>
      </c>
      <c r="S12" s="1571">
        <f t="shared" si="0"/>
        <v>100</v>
      </c>
      <c r="T12" s="1570" t="s">
        <v>11</v>
      </c>
      <c r="U12" s="1571">
        <f t="shared" si="1"/>
        <v>100</v>
      </c>
      <c r="V12" s="1570" t="s">
        <v>11</v>
      </c>
      <c r="W12" s="1571">
        <f t="shared" si="2"/>
        <v>100</v>
      </c>
      <c r="X12" s="1572"/>
      <c r="Y12" s="3306"/>
      <c r="Z12" s="1152">
        <f t="shared" si="7"/>
        <v>111</v>
      </c>
      <c r="AA12" s="1573">
        <f>D12/F12</f>
        <v>1</v>
      </c>
      <c r="AB12" s="1573">
        <f>D12/H12</f>
        <v>1</v>
      </c>
      <c r="AC12" s="1573">
        <f>D12/J12</f>
        <v>1</v>
      </c>
    </row>
    <row r="13" spans="1:29" ht="15" hidden="1">
      <c r="A13" s="2944"/>
      <c r="B13" s="2950">
        <v>111</v>
      </c>
      <c r="C13" s="542"/>
      <c r="D13" s="543">
        <v>100</v>
      </c>
      <c r="E13" s="542"/>
      <c r="F13" s="866">
        <f>SUMIF(72:72,E13,73:73)-SUMIF(72:72,C13,73:73)+100</f>
        <v>100</v>
      </c>
      <c r="G13" s="542"/>
      <c r="H13" s="543">
        <f>SUMIF(72:72,G13,73:73)-SUMIF(72:72,C13,73:73)+100</f>
        <v>100</v>
      </c>
      <c r="I13" s="542"/>
      <c r="J13" s="543">
        <f>SUMIF(72:72,I13,73:73)-SUMIF(72:72,C13,73:73)+100</f>
        <v>100</v>
      </c>
      <c r="K13" s="868"/>
      <c r="L13" s="2143"/>
      <c r="M13" s="2135"/>
      <c r="N13" s="2135"/>
      <c r="O13" s="2142"/>
      <c r="P13" s="3360"/>
      <c r="Q13" s="1153">
        <f t="shared" si="6"/>
        <v>111</v>
      </c>
      <c r="R13" s="1570" t="s">
        <v>11</v>
      </c>
      <c r="S13" s="1571">
        <f t="shared" si="0"/>
        <v>100</v>
      </c>
      <c r="T13" s="1570" t="s">
        <v>11</v>
      </c>
      <c r="U13" s="1571">
        <f t="shared" si="1"/>
        <v>100</v>
      </c>
      <c r="V13" s="1570" t="s">
        <v>11</v>
      </c>
      <c r="W13" s="1571">
        <f t="shared" si="2"/>
        <v>100</v>
      </c>
      <c r="X13" s="1572"/>
      <c r="Y13" s="3306"/>
      <c r="Z13" s="1152">
        <f t="shared" si="7"/>
        <v>111</v>
      </c>
      <c r="AA13" s="1573">
        <f t="shared" si="3"/>
        <v>1</v>
      </c>
      <c r="AB13" s="1573">
        <f t="shared" si="4"/>
        <v>1</v>
      </c>
      <c r="AC13" s="1573">
        <f t="shared" si="5"/>
        <v>1</v>
      </c>
    </row>
    <row r="14" spans="1:29" ht="15.75" hidden="1" thickBot="1">
      <c r="A14" s="2945"/>
      <c r="B14" s="2951">
        <v>111</v>
      </c>
      <c r="C14" s="548"/>
      <c r="D14" s="549">
        <v>100</v>
      </c>
      <c r="E14" s="548"/>
      <c r="F14" s="869">
        <f>SUMIF(74:74,E14,75:75)-SUMIF(74:74,C14,75:75)+100</f>
        <v>100</v>
      </c>
      <c r="G14" s="548"/>
      <c r="H14" s="549">
        <f>SUMIF(74:74,G14,75:75)-SUMIF(74:74,C14,75:75)+100</f>
        <v>100</v>
      </c>
      <c r="I14" s="548"/>
      <c r="J14" s="549">
        <f>SUMIF(74:74,I14,75:75)-SUMIF(74:74,C14,75:75)+100</f>
        <v>100</v>
      </c>
      <c r="K14" s="868"/>
      <c r="L14" s="2143"/>
      <c r="M14" s="2135"/>
      <c r="N14" s="2135"/>
      <c r="O14" s="2142"/>
      <c r="P14" s="3360"/>
      <c r="Q14" s="1153">
        <f t="shared" si="6"/>
        <v>111</v>
      </c>
      <c r="R14" s="1570" t="s">
        <v>11</v>
      </c>
      <c r="S14" s="1571">
        <f t="shared" si="0"/>
        <v>100</v>
      </c>
      <c r="T14" s="1570" t="s">
        <v>11</v>
      </c>
      <c r="U14" s="1571">
        <f t="shared" si="1"/>
        <v>100</v>
      </c>
      <c r="V14" s="1570" t="s">
        <v>11</v>
      </c>
      <c r="W14" s="1571">
        <f t="shared" si="2"/>
        <v>100</v>
      </c>
      <c r="X14" s="1572"/>
      <c r="Y14" s="3306"/>
      <c r="Z14" s="1152">
        <f t="shared" si="7"/>
        <v>111</v>
      </c>
      <c r="AA14" s="1573">
        <f t="shared" si="3"/>
        <v>1</v>
      </c>
      <c r="AB14" s="1573">
        <f t="shared" si="4"/>
        <v>1</v>
      </c>
      <c r="AC14" s="1573">
        <f t="shared" si="5"/>
        <v>1</v>
      </c>
    </row>
    <row r="15" spans="1:29" ht="99.75">
      <c r="A15" s="2937"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3"/>
      <c r="M15" s="2135"/>
      <c r="N15" s="2135"/>
      <c r="O15" s="2142"/>
      <c r="P15" s="3396" t="s">
        <v>541</v>
      </c>
      <c r="Q15" s="1574" t="str">
        <f t="shared" si="6"/>
        <v>居住社区成熟度</v>
      </c>
      <c r="R15" s="1575" t="s">
        <v>11</v>
      </c>
      <c r="S15" s="1576">
        <f t="shared" si="0"/>
        <v>100</v>
      </c>
      <c r="T15" s="1575" t="s">
        <v>11</v>
      </c>
      <c r="U15" s="1576">
        <f t="shared" si="1"/>
        <v>100</v>
      </c>
      <c r="V15" s="1575" t="s">
        <v>11</v>
      </c>
      <c r="W15" s="1576">
        <f t="shared" si="2"/>
        <v>100</v>
      </c>
      <c r="X15" s="1569"/>
      <c r="Y15" s="3396" t="s">
        <v>541</v>
      </c>
      <c r="Z15" s="1577" t="str">
        <f t="shared" si="7"/>
        <v>居住社区成熟度</v>
      </c>
      <c r="AA15" s="1578">
        <f t="shared" si="3"/>
        <v>1</v>
      </c>
      <c r="AB15" s="1578">
        <f t="shared" si="4"/>
        <v>1</v>
      </c>
      <c r="AC15" s="1578">
        <f t="shared" si="5"/>
        <v>1</v>
      </c>
    </row>
    <row r="16" spans="1:29" ht="15">
      <c r="A16" s="535"/>
      <c r="B16" s="872"/>
      <c r="C16" s="579" t="s">
        <v>3007</v>
      </c>
      <c r="D16" s="558"/>
      <c r="E16" s="559" t="s">
        <v>3007</v>
      </c>
      <c r="F16" s="560"/>
      <c r="G16" s="561" t="s">
        <v>3007</v>
      </c>
      <c r="H16" s="562"/>
      <c r="I16" s="559" t="s">
        <v>3007</v>
      </c>
      <c r="J16" s="558"/>
      <c r="K16" s="873"/>
      <c r="L16" s="2143"/>
      <c r="M16" s="2135"/>
      <c r="N16" s="2135"/>
      <c r="O16" s="2142"/>
      <c r="P16" s="3397"/>
      <c r="Q16" s="1574"/>
      <c r="R16" s="1575"/>
      <c r="S16" s="1576"/>
      <c r="T16" s="1575"/>
      <c r="U16" s="1576"/>
      <c r="V16" s="1575"/>
      <c r="W16" s="1576"/>
      <c r="X16" s="1569"/>
      <c r="Y16" s="3397"/>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98</v>
      </c>
      <c r="K17" s="871">
        <v>2</v>
      </c>
      <c r="L17" s="2143"/>
      <c r="M17" s="2135"/>
      <c r="N17" s="2135"/>
      <c r="O17" s="2142"/>
      <c r="P17" s="3397"/>
      <c r="Q17" s="1574" t="str">
        <f>B17</f>
        <v>交通便捷度</v>
      </c>
      <c r="R17" s="1575" t="s">
        <v>11</v>
      </c>
      <c r="S17" s="1576">
        <f>F17</f>
        <v>100</v>
      </c>
      <c r="T17" s="1575" t="s">
        <v>11</v>
      </c>
      <c r="U17" s="1576">
        <f>H17</f>
        <v>100</v>
      </c>
      <c r="V17" s="1575" t="s">
        <v>11</v>
      </c>
      <c r="W17" s="1576">
        <f>J17</f>
        <v>98</v>
      </c>
      <c r="X17" s="1569"/>
      <c r="Y17" s="3397"/>
      <c r="Z17" s="1577" t="str">
        <f>Q17</f>
        <v>交通便捷度</v>
      </c>
      <c r="AA17" s="1578">
        <f t="shared" si="3"/>
        <v>1</v>
      </c>
      <c r="AB17" s="1578">
        <f t="shared" si="4"/>
        <v>1</v>
      </c>
      <c r="AC17" s="1578">
        <f t="shared" si="5"/>
        <v>1.0204081632653061</v>
      </c>
    </row>
    <row r="18" spans="1:29" ht="15">
      <c r="A18" s="535"/>
      <c r="B18" s="598"/>
      <c r="C18" s="876" t="s">
        <v>3032</v>
      </c>
      <c r="D18" s="562"/>
      <c r="E18" s="571" t="s">
        <v>3032</v>
      </c>
      <c r="F18" s="566"/>
      <c r="G18" s="572" t="s">
        <v>3032</v>
      </c>
      <c r="H18" s="558"/>
      <c r="I18" s="571" t="s">
        <v>3007</v>
      </c>
      <c r="J18" s="558"/>
      <c r="K18" s="873"/>
      <c r="L18" s="2143"/>
      <c r="M18" s="2135"/>
      <c r="N18" s="2135"/>
      <c r="O18" s="2142"/>
      <c r="P18" s="3397"/>
      <c r="Q18" s="1574"/>
      <c r="R18" s="1575"/>
      <c r="S18" s="1576"/>
      <c r="T18" s="1575"/>
      <c r="U18" s="1576"/>
      <c r="V18" s="1575"/>
      <c r="W18" s="1576"/>
      <c r="X18" s="1569"/>
      <c r="Y18" s="3397"/>
      <c r="Z18" s="1577"/>
      <c r="AA18" s="1578">
        <v>1</v>
      </c>
      <c r="AB18" s="1578">
        <v>1</v>
      </c>
      <c r="AC18" s="1578">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43"/>
      <c r="M19" s="2135"/>
      <c r="N19" s="2135"/>
      <c r="O19" s="2142"/>
      <c r="P19" s="3397"/>
      <c r="Q19" s="1574" t="str">
        <f>B19</f>
        <v>公共配套设施</v>
      </c>
      <c r="R19" s="1575" t="s">
        <v>11</v>
      </c>
      <c r="S19" s="1576">
        <f>F19</f>
        <v>100</v>
      </c>
      <c r="T19" s="1575" t="s">
        <v>11</v>
      </c>
      <c r="U19" s="1576">
        <f>H19</f>
        <v>100</v>
      </c>
      <c r="V19" s="1575" t="s">
        <v>11</v>
      </c>
      <c r="W19" s="1576">
        <f>J19</f>
        <v>100</v>
      </c>
      <c r="X19" s="1569"/>
      <c r="Y19" s="3397"/>
      <c r="Z19" s="1577" t="str">
        <f>Q19</f>
        <v>公共配套设施</v>
      </c>
      <c r="AA19" s="1578">
        <f t="shared" si="3"/>
        <v>1</v>
      </c>
      <c r="AB19" s="1578">
        <f t="shared" si="4"/>
        <v>1</v>
      </c>
      <c r="AC19" s="1578">
        <f t="shared" si="5"/>
        <v>1</v>
      </c>
    </row>
    <row r="20" spans="1:29" ht="15">
      <c r="A20" s="535"/>
      <c r="B20" s="598"/>
      <c r="C20" s="579" t="s">
        <v>3007</v>
      </c>
      <c r="D20" s="558"/>
      <c r="E20" s="579" t="s">
        <v>3007</v>
      </c>
      <c r="F20" s="560"/>
      <c r="G20" s="579" t="s">
        <v>3007</v>
      </c>
      <c r="H20" s="558"/>
      <c r="I20" s="579" t="s">
        <v>3007</v>
      </c>
      <c r="J20" s="558"/>
      <c r="K20" s="873"/>
      <c r="L20" s="2143"/>
      <c r="M20" s="2135"/>
      <c r="N20" s="2135"/>
      <c r="O20" s="2142"/>
      <c r="P20" s="3397"/>
      <c r="Q20" s="1574"/>
      <c r="R20" s="1575"/>
      <c r="S20" s="1576"/>
      <c r="T20" s="1575"/>
      <c r="U20" s="1576"/>
      <c r="V20" s="1575"/>
      <c r="W20" s="1576"/>
      <c r="X20" s="1569"/>
      <c r="Y20" s="3397"/>
      <c r="Z20" s="1577"/>
      <c r="AA20" s="1578">
        <v>1</v>
      </c>
      <c r="AB20" s="1578">
        <v>1</v>
      </c>
      <c r="AC20" s="1578">
        <v>1</v>
      </c>
    </row>
    <row r="21" spans="1:29" ht="28.5">
      <c r="A21" s="535"/>
      <c r="B21" s="2618"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3"/>
      <c r="M21" s="2135"/>
      <c r="N21" s="2135"/>
      <c r="O21" s="2142"/>
      <c r="P21" s="3397"/>
      <c r="Q21" s="2604" t="str">
        <f>B21</f>
        <v>基础设施水平</v>
      </c>
      <c r="R21" s="1575" t="s">
        <v>11</v>
      </c>
      <c r="S21" s="1576">
        <f>F21</f>
        <v>100</v>
      </c>
      <c r="T21" s="1575" t="s">
        <v>11</v>
      </c>
      <c r="U21" s="1576">
        <f>H21</f>
        <v>100</v>
      </c>
      <c r="V21" s="1575" t="s">
        <v>11</v>
      </c>
      <c r="W21" s="1576">
        <f>J21</f>
        <v>100</v>
      </c>
      <c r="X21" s="2606"/>
      <c r="Y21" s="3397"/>
      <c r="Z21" s="2605" t="str">
        <f>Q21</f>
        <v>基础设施水平</v>
      </c>
      <c r="AA21" s="1578">
        <f t="shared" ref="AA21" si="8">D21/F21</f>
        <v>1</v>
      </c>
      <c r="AB21" s="1578">
        <f t="shared" ref="AB21" si="9">D21/H21</f>
        <v>1</v>
      </c>
      <c r="AC21" s="1578">
        <f t="shared" ref="AC21" si="10">D21/J21</f>
        <v>1</v>
      </c>
    </row>
    <row r="22" spans="1:29" ht="15">
      <c r="A22" s="535"/>
      <c r="B22" s="924"/>
      <c r="C22" s="876" t="s">
        <v>3061</v>
      </c>
      <c r="D22" s="558"/>
      <c r="E22" s="876" t="s">
        <v>3061</v>
      </c>
      <c r="F22" s="560"/>
      <c r="G22" s="876" t="s">
        <v>3061</v>
      </c>
      <c r="H22" s="558"/>
      <c r="I22" s="876" t="s">
        <v>3061</v>
      </c>
      <c r="J22" s="558"/>
      <c r="K22" s="2624"/>
      <c r="L22" s="2143"/>
      <c r="M22" s="2135"/>
      <c r="N22" s="2135"/>
      <c r="O22" s="2142"/>
      <c r="P22" s="3397"/>
      <c r="Q22" s="2604"/>
      <c r="R22" s="1575"/>
      <c r="S22" s="1576"/>
      <c r="T22" s="1575"/>
      <c r="U22" s="1576"/>
      <c r="V22" s="1575"/>
      <c r="W22" s="1576"/>
      <c r="X22" s="2606"/>
      <c r="Y22" s="3397"/>
      <c r="Z22" s="2605"/>
      <c r="AA22" s="1578">
        <v>1</v>
      </c>
      <c r="AB22" s="1578">
        <v>1</v>
      </c>
      <c r="AC22" s="1578">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3"/>
      <c r="M23" s="2135"/>
      <c r="N23" s="2135"/>
      <c r="O23" s="2142"/>
      <c r="P23" s="3397"/>
      <c r="Q23" s="1574" t="str">
        <f>B23</f>
        <v>自然及人文环境</v>
      </c>
      <c r="R23" s="1575" t="s">
        <v>11</v>
      </c>
      <c r="S23" s="1576">
        <f>F23</f>
        <v>100</v>
      </c>
      <c r="T23" s="1575" t="s">
        <v>11</v>
      </c>
      <c r="U23" s="1576">
        <f>H23</f>
        <v>100</v>
      </c>
      <c r="V23" s="1575" t="s">
        <v>11</v>
      </c>
      <c r="W23" s="1576">
        <f>J23</f>
        <v>100</v>
      </c>
      <c r="X23" s="1569"/>
      <c r="Y23" s="3397"/>
      <c r="Z23" s="1577" t="str">
        <f>Q23</f>
        <v>自然及人文环境</v>
      </c>
      <c r="AA23" s="1578">
        <f t="shared" si="3"/>
        <v>1</v>
      </c>
      <c r="AB23" s="1578">
        <f t="shared" si="4"/>
        <v>1</v>
      </c>
      <c r="AC23" s="1578">
        <f t="shared" si="5"/>
        <v>1</v>
      </c>
    </row>
    <row r="24" spans="1:29" ht="15.75" thickBot="1">
      <c r="A24" s="535"/>
      <c r="B24" s="598"/>
      <c r="C24" s="579" t="s">
        <v>3007</v>
      </c>
      <c r="D24" s="558"/>
      <c r="E24" s="579" t="s">
        <v>3007</v>
      </c>
      <c r="F24" s="560"/>
      <c r="G24" s="579" t="s">
        <v>3007</v>
      </c>
      <c r="H24" s="558"/>
      <c r="I24" s="579" t="s">
        <v>3007</v>
      </c>
      <c r="J24" s="558"/>
      <c r="K24" s="873"/>
      <c r="L24" s="2143"/>
      <c r="M24" s="2135"/>
      <c r="N24" s="2135"/>
      <c r="O24" s="2142"/>
      <c r="P24" s="3397"/>
      <c r="Q24" s="1574"/>
      <c r="R24" s="1575"/>
      <c r="S24" s="1576"/>
      <c r="T24" s="1575"/>
      <c r="U24" s="1576"/>
      <c r="V24" s="1575"/>
      <c r="W24" s="1576"/>
      <c r="X24" s="1569"/>
      <c r="Y24" s="3397"/>
      <c r="Z24" s="1577"/>
      <c r="AA24" s="1578">
        <v>1</v>
      </c>
      <c r="AB24" s="1578">
        <v>1</v>
      </c>
      <c r="AC24" s="1578">
        <v>1</v>
      </c>
    </row>
    <row r="25" spans="1:29" ht="15" hidden="1">
      <c r="A25" s="535"/>
      <c r="B25" s="1896" t="s">
        <v>2260</v>
      </c>
      <c r="C25" s="577"/>
      <c r="D25" s="543">
        <v>100</v>
      </c>
      <c r="E25" s="877"/>
      <c r="F25" s="578">
        <f>SUMIF(86:86,E25,87:87)-SUMIF(86:86,C25,87:87)+100</f>
        <v>100</v>
      </c>
      <c r="G25" s="602"/>
      <c r="H25" s="543">
        <f>SUMIF(86:86,G25,87:87)-SUMIF(86:86,C25,87:87)+100</f>
        <v>100</v>
      </c>
      <c r="I25" s="877"/>
      <c r="J25" s="543">
        <f>SUMIF(86:86,I25,87:87)-SUMIF(86:86,C25,87:87)+100</f>
        <v>100</v>
      </c>
      <c r="K25" s="867"/>
      <c r="L25" s="2143"/>
      <c r="M25" s="2135"/>
      <c r="N25" s="2135"/>
      <c r="O25" s="2142"/>
      <c r="P25" s="3397"/>
      <c r="Q25" s="1574" t="str">
        <f t="shared" ref="Q25:Q46" si="11">B25</f>
        <v>楼层-1</v>
      </c>
      <c r="R25" s="1575" t="s">
        <v>11</v>
      </c>
      <c r="S25" s="1576">
        <f>F25</f>
        <v>100</v>
      </c>
      <c r="T25" s="1575" t="s">
        <v>11</v>
      </c>
      <c r="U25" s="1576">
        <f>H25</f>
        <v>100</v>
      </c>
      <c r="V25" s="1575" t="s">
        <v>11</v>
      </c>
      <c r="W25" s="1576">
        <f>J25</f>
        <v>100</v>
      </c>
      <c r="X25" s="1569"/>
      <c r="Y25" s="3397"/>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3"/>
      <c r="M26" s="2135"/>
      <c r="N26" s="2135"/>
      <c r="O26" s="2142"/>
      <c r="P26" s="3397"/>
      <c r="Q26" s="1574" t="str">
        <f t="shared" si="11"/>
        <v>朝向</v>
      </c>
      <c r="R26" s="1575" t="s">
        <v>11</v>
      </c>
      <c r="S26" s="1576">
        <f>F26</f>
        <v>100</v>
      </c>
      <c r="T26" s="1575" t="s">
        <v>11</v>
      </c>
      <c r="U26" s="1576">
        <f>H26</f>
        <v>100</v>
      </c>
      <c r="V26" s="1575" t="s">
        <v>11</v>
      </c>
      <c r="W26" s="1576">
        <f>J26</f>
        <v>100</v>
      </c>
      <c r="X26" s="1569"/>
      <c r="Y26" s="3397"/>
      <c r="Z26" s="1577" t="str">
        <f>Q26</f>
        <v>朝向</v>
      </c>
      <c r="AA26" s="1578">
        <f t="shared" si="3"/>
        <v>1</v>
      </c>
      <c r="AB26" s="1578">
        <f t="shared" si="4"/>
        <v>1</v>
      </c>
      <c r="AC26" s="1578">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6"/>
      <c r="M27" s="2137"/>
      <c r="N27" s="2137"/>
      <c r="O27" s="2138"/>
      <c r="P27" s="3397"/>
      <c r="Q27" s="1153" t="str">
        <f t="shared" si="11"/>
        <v>道路级别</v>
      </c>
      <c r="R27" s="1570" t="s">
        <v>11</v>
      </c>
      <c r="S27" s="1571">
        <f>F27</f>
        <v>100</v>
      </c>
      <c r="T27" s="1570" t="s">
        <v>11</v>
      </c>
      <c r="U27" s="1571">
        <f>H27</f>
        <v>100</v>
      </c>
      <c r="V27" s="1570" t="s">
        <v>11</v>
      </c>
      <c r="W27" s="1571">
        <f>J27</f>
        <v>100</v>
      </c>
      <c r="X27" s="1572"/>
      <c r="Y27" s="3397"/>
      <c r="Z27" s="1152" t="str">
        <f>Q27</f>
        <v>道路级别</v>
      </c>
      <c r="AA27" s="1578">
        <f>D27/F27</f>
        <v>1</v>
      </c>
      <c r="AB27" s="1578">
        <f>D27/H27</f>
        <v>1</v>
      </c>
      <c r="AC27" s="1578">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3"/>
      <c r="M28" s="2135"/>
      <c r="N28" s="2135"/>
      <c r="O28" s="2142"/>
      <c r="P28" s="3397"/>
      <c r="Q28" s="1574">
        <f t="shared" si="11"/>
        <v>111</v>
      </c>
      <c r="R28" s="1575" t="s">
        <v>11</v>
      </c>
      <c r="S28" s="1576">
        <f t="shared" ref="S28:S46" si="12">F28</f>
        <v>100</v>
      </c>
      <c r="T28" s="1575" t="s">
        <v>11</v>
      </c>
      <c r="U28" s="1576">
        <f t="shared" ref="U28:U46" si="13">H28</f>
        <v>100</v>
      </c>
      <c r="V28" s="1575" t="s">
        <v>11</v>
      </c>
      <c r="W28" s="1576">
        <f t="shared" ref="W28:W46" si="14">J28</f>
        <v>100</v>
      </c>
      <c r="X28" s="1569"/>
      <c r="Y28" s="3397"/>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3"/>
      <c r="M29" s="2135"/>
      <c r="N29" s="2135"/>
      <c r="O29" s="2142"/>
      <c r="P29" s="3397"/>
      <c r="Q29" s="1574">
        <f t="shared" si="11"/>
        <v>111</v>
      </c>
      <c r="R29" s="1575" t="s">
        <v>11</v>
      </c>
      <c r="S29" s="1576">
        <f t="shared" si="12"/>
        <v>100</v>
      </c>
      <c r="T29" s="1575" t="s">
        <v>11</v>
      </c>
      <c r="U29" s="1576">
        <f t="shared" si="13"/>
        <v>100</v>
      </c>
      <c r="V29" s="1575" t="s">
        <v>11</v>
      </c>
      <c r="W29" s="1576">
        <f t="shared" si="14"/>
        <v>100</v>
      </c>
      <c r="X29" s="1569"/>
      <c r="Y29" s="3397"/>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3"/>
      <c r="M30" s="2135"/>
      <c r="N30" s="2135"/>
      <c r="O30" s="2142"/>
      <c r="P30" s="3397"/>
      <c r="Q30" s="1574">
        <f t="shared" si="11"/>
        <v>111</v>
      </c>
      <c r="R30" s="1575" t="s">
        <v>11</v>
      </c>
      <c r="S30" s="1576">
        <f t="shared" si="12"/>
        <v>100</v>
      </c>
      <c r="T30" s="1575" t="s">
        <v>11</v>
      </c>
      <c r="U30" s="1576">
        <f t="shared" si="13"/>
        <v>100</v>
      </c>
      <c r="V30" s="1575" t="s">
        <v>11</v>
      </c>
      <c r="W30" s="1576">
        <f t="shared" si="14"/>
        <v>100</v>
      </c>
      <c r="X30" s="1569"/>
      <c r="Y30" s="3397"/>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3"/>
      <c r="M31" s="2135"/>
      <c r="N31" s="2135"/>
      <c r="O31" s="2142"/>
      <c r="P31" s="3397"/>
      <c r="Q31" s="1574">
        <f t="shared" si="11"/>
        <v>111</v>
      </c>
      <c r="R31" s="1575" t="s">
        <v>11</v>
      </c>
      <c r="S31" s="1576">
        <f t="shared" si="12"/>
        <v>100</v>
      </c>
      <c r="T31" s="1575" t="s">
        <v>11</v>
      </c>
      <c r="U31" s="1576">
        <f t="shared" si="13"/>
        <v>100</v>
      </c>
      <c r="V31" s="1575" t="s">
        <v>11</v>
      </c>
      <c r="W31" s="1576">
        <f t="shared" si="14"/>
        <v>100</v>
      </c>
      <c r="X31" s="1569"/>
      <c r="Y31" s="3397"/>
      <c r="Z31" s="1577">
        <f t="shared" si="15"/>
        <v>111</v>
      </c>
      <c r="AA31" s="1578">
        <f t="shared" si="3"/>
        <v>1</v>
      </c>
      <c r="AB31" s="1578">
        <f t="shared" si="4"/>
        <v>1</v>
      </c>
      <c r="AC31" s="1578">
        <f t="shared" si="5"/>
        <v>1</v>
      </c>
    </row>
    <row r="32" spans="1:29" ht="15">
      <c r="A32" s="2934" t="s">
        <v>2762</v>
      </c>
      <c r="B32" s="172" t="s">
        <v>726</v>
      </c>
      <c r="C32" s="881" t="s">
        <v>3083</v>
      </c>
      <c r="D32" s="600">
        <v>100</v>
      </c>
      <c r="E32" s="881" t="s">
        <v>3083</v>
      </c>
      <c r="F32" s="578">
        <f>SUMIF(100:100,E32,101:101)-SUMIF(100:100,C32,101:101)+100</f>
        <v>100</v>
      </c>
      <c r="G32" s="881" t="s">
        <v>3083</v>
      </c>
      <c r="H32" s="600">
        <f>SUMIF(100:100,G32,101:101)-SUMIF(100:100,C32,101:101)+100</f>
        <v>100</v>
      </c>
      <c r="I32" s="881" t="s">
        <v>3083</v>
      </c>
      <c r="J32" s="543">
        <f>SUMIF(100:100,I32,101:101)-SUMIF(100:100,C32,101:101)+100</f>
        <v>100</v>
      </c>
      <c r="K32" s="867"/>
      <c r="L32" s="2143"/>
      <c r="M32" s="2135"/>
      <c r="N32" s="2135"/>
      <c r="O32" s="2142"/>
      <c r="P32" s="3398" t="s">
        <v>551</v>
      </c>
      <c r="Q32" s="1574" t="str">
        <f t="shared" si="11"/>
        <v>建筑类型</v>
      </c>
      <c r="R32" s="1575" t="s">
        <v>11</v>
      </c>
      <c r="S32" s="1576">
        <f t="shared" si="12"/>
        <v>100</v>
      </c>
      <c r="T32" s="1575" t="s">
        <v>11</v>
      </c>
      <c r="U32" s="1576">
        <f t="shared" si="13"/>
        <v>100</v>
      </c>
      <c r="V32" s="1575" t="s">
        <v>11</v>
      </c>
      <c r="W32" s="1576">
        <f t="shared" si="14"/>
        <v>100</v>
      </c>
      <c r="X32" s="1569"/>
      <c r="Y32" s="3399" t="s">
        <v>551</v>
      </c>
      <c r="Z32" s="1577" t="str">
        <f t="shared" si="15"/>
        <v>建筑类型</v>
      </c>
      <c r="AA32" s="1578">
        <f t="shared" si="3"/>
        <v>1</v>
      </c>
      <c r="AB32" s="1578">
        <f t="shared" si="4"/>
        <v>1</v>
      </c>
      <c r="AC32" s="1578">
        <f t="shared" si="5"/>
        <v>1</v>
      </c>
    </row>
    <row r="33" spans="1:29" s="1341" customFormat="1" ht="15">
      <c r="A33" s="606"/>
      <c r="B33" s="530" t="s">
        <v>727</v>
      </c>
      <c r="C33" s="882">
        <f>'数据-汇总表'!E3</f>
        <v>331165.86</v>
      </c>
      <c r="D33" s="255">
        <v>100</v>
      </c>
      <c r="E33" s="537">
        <v>650000</v>
      </c>
      <c r="F33" s="866">
        <f>LOOKUP(E33,103:103,104:104)-LOOKUP(C33,103:103,104:104)+100</f>
        <v>101</v>
      </c>
      <c r="G33" s="536">
        <v>290000</v>
      </c>
      <c r="H33" s="255">
        <f>LOOKUP(G33,103:103,104:104)-LOOKUP(C33,103:103,104:104)+100</f>
        <v>100</v>
      </c>
      <c r="I33" s="537">
        <v>129000</v>
      </c>
      <c r="J33" s="255">
        <f>LOOKUP(I33,103:103,104:104)-LOOKUP(C33,103:103,104:104)+100</f>
        <v>99.5</v>
      </c>
      <c r="K33" s="868"/>
      <c r="L33" s="2141"/>
      <c r="M33" s="2172"/>
      <c r="N33" s="2172"/>
      <c r="O33" s="2144"/>
      <c r="P33" s="3399"/>
      <c r="Q33" s="1607" t="str">
        <f t="shared" si="11"/>
        <v>项目建筑规模</v>
      </c>
      <c r="R33" s="1579" t="s">
        <v>11</v>
      </c>
      <c r="S33" s="1580">
        <f t="shared" si="12"/>
        <v>101</v>
      </c>
      <c r="T33" s="1579" t="s">
        <v>11</v>
      </c>
      <c r="U33" s="1580">
        <f t="shared" si="13"/>
        <v>100</v>
      </c>
      <c r="V33" s="1579" t="s">
        <v>11</v>
      </c>
      <c r="W33" s="1580">
        <f t="shared" si="14"/>
        <v>99.5</v>
      </c>
      <c r="X33" s="1581"/>
      <c r="Y33" s="3399"/>
      <c r="Z33" s="1582" t="str">
        <f t="shared" si="15"/>
        <v>项目建筑规模</v>
      </c>
      <c r="AA33" s="1578">
        <f t="shared" si="3"/>
        <v>0.99009900990099009</v>
      </c>
      <c r="AB33" s="1578">
        <f t="shared" si="4"/>
        <v>1</v>
      </c>
      <c r="AC33" s="1578">
        <f t="shared" si="5"/>
        <v>1.0050251256281406</v>
      </c>
    </row>
    <row r="34" spans="1:29" ht="15">
      <c r="A34" s="597"/>
      <c r="B34" s="530" t="s">
        <v>728</v>
      </c>
      <c r="C34" s="883" t="s">
        <v>3024</v>
      </c>
      <c r="D34" s="543">
        <v>100</v>
      </c>
      <c r="E34" s="883" t="s">
        <v>3024</v>
      </c>
      <c r="F34" s="578">
        <f>SUMIF(105:105,E34,106:106)-SUMIF(105:105,C34,106:106)+100</f>
        <v>100</v>
      </c>
      <c r="G34" s="883" t="s">
        <v>3024</v>
      </c>
      <c r="H34" s="543">
        <f>SUMIF(105:105,G34,106:106)-SUMIF(105:105,C34,106:106)+100</f>
        <v>100</v>
      </c>
      <c r="I34" s="883" t="s">
        <v>3024</v>
      </c>
      <c r="J34" s="543">
        <f>SUMIF(105:105,I34,106:106)-SUMIF(105:105,C34,106:106)+100</f>
        <v>100</v>
      </c>
      <c r="K34" s="867"/>
      <c r="L34" s="2143"/>
      <c r="M34" s="2135"/>
      <c r="N34" s="2135"/>
      <c r="O34" s="2142"/>
      <c r="P34" s="3399"/>
      <c r="Q34" s="1574" t="str">
        <f t="shared" si="11"/>
        <v>建筑结构</v>
      </c>
      <c r="R34" s="1575" t="s">
        <v>11</v>
      </c>
      <c r="S34" s="1576">
        <f t="shared" si="12"/>
        <v>100</v>
      </c>
      <c r="T34" s="1575" t="s">
        <v>11</v>
      </c>
      <c r="U34" s="1576">
        <f t="shared" si="13"/>
        <v>100</v>
      </c>
      <c r="V34" s="1575" t="s">
        <v>11</v>
      </c>
      <c r="W34" s="1576">
        <f t="shared" si="14"/>
        <v>100</v>
      </c>
      <c r="X34" s="1569"/>
      <c r="Y34" s="3399"/>
      <c r="Z34" s="1577" t="str">
        <f t="shared" si="15"/>
        <v>建筑结构</v>
      </c>
      <c r="AA34" s="1578">
        <f t="shared" si="3"/>
        <v>1</v>
      </c>
      <c r="AB34" s="1578">
        <f t="shared" si="4"/>
        <v>1</v>
      </c>
      <c r="AC34" s="1578">
        <f t="shared" si="5"/>
        <v>1</v>
      </c>
    </row>
    <row r="35" spans="1:29" ht="15">
      <c r="A35" s="597"/>
      <c r="B35" s="530" t="s">
        <v>729</v>
      </c>
      <c r="C35" s="602" t="s">
        <v>3086</v>
      </c>
      <c r="D35" s="543">
        <v>100</v>
      </c>
      <c r="E35" s="602" t="s">
        <v>3086</v>
      </c>
      <c r="F35" s="578">
        <f>SUMIF(107:107,E35,108:108)-SUMIF(107:107,C35,108:108)+100</f>
        <v>100</v>
      </c>
      <c r="G35" s="602" t="s">
        <v>3086</v>
      </c>
      <c r="H35" s="543">
        <f>SUMIF(107:107,G35,108:108)-SUMIF(107:107,C35,108:108)+100</f>
        <v>100</v>
      </c>
      <c r="I35" s="602" t="s">
        <v>3086</v>
      </c>
      <c r="J35" s="543">
        <f>SUMIF(107:107,I35,108:108)-SUMIF(107:107,C35,108:108)+100</f>
        <v>100</v>
      </c>
      <c r="K35" s="867"/>
      <c r="L35" s="2143"/>
      <c r="M35" s="2135"/>
      <c r="N35" s="2135"/>
      <c r="O35" s="2142"/>
      <c r="P35" s="3399"/>
      <c r="Q35" s="1574" t="str">
        <f t="shared" si="11"/>
        <v>建筑品质</v>
      </c>
      <c r="R35" s="1575" t="s">
        <v>11</v>
      </c>
      <c r="S35" s="1576">
        <f t="shared" si="12"/>
        <v>100</v>
      </c>
      <c r="T35" s="1575" t="s">
        <v>11</v>
      </c>
      <c r="U35" s="1576">
        <f t="shared" si="13"/>
        <v>100</v>
      </c>
      <c r="V35" s="1575" t="s">
        <v>11</v>
      </c>
      <c r="W35" s="1576">
        <f t="shared" si="14"/>
        <v>100</v>
      </c>
      <c r="X35" s="1569"/>
      <c r="Y35" s="3399"/>
      <c r="Z35" s="1577" t="str">
        <f t="shared" si="15"/>
        <v>建筑品质</v>
      </c>
      <c r="AA35" s="1578">
        <f t="shared" si="3"/>
        <v>1</v>
      </c>
      <c r="AB35" s="1578">
        <f t="shared" si="4"/>
        <v>1</v>
      </c>
      <c r="AC35" s="1578">
        <f t="shared" si="5"/>
        <v>1</v>
      </c>
    </row>
    <row r="36" spans="1:29" ht="15">
      <c r="A36" s="597"/>
      <c r="B36" s="530" t="s">
        <v>730</v>
      </c>
      <c r="C36" s="602" t="s">
        <v>3071</v>
      </c>
      <c r="D36" s="543">
        <v>100</v>
      </c>
      <c r="E36" s="602" t="s">
        <v>3071</v>
      </c>
      <c r="F36" s="578">
        <f>SUMIF(109:109,E36,110:110)-SUMIF(109:109,C36,110:110)+100</f>
        <v>100</v>
      </c>
      <c r="G36" s="602" t="s">
        <v>3071</v>
      </c>
      <c r="H36" s="543">
        <f>SUMIF(109:109,G36,110:110)-SUMIF(109:109,C36,110:110)+100</f>
        <v>100</v>
      </c>
      <c r="I36" s="602" t="s">
        <v>3071</v>
      </c>
      <c r="J36" s="543">
        <f>SUMIF(109:109,I36,110:110)-SUMIF(109:109,C36,110:110)+100</f>
        <v>100</v>
      </c>
      <c r="K36" s="867"/>
      <c r="L36" s="2143"/>
      <c r="M36" s="2135"/>
      <c r="N36" s="2135"/>
      <c r="O36" s="2142"/>
      <c r="P36" s="3399"/>
      <c r="Q36" s="1574" t="str">
        <f t="shared" si="11"/>
        <v>公共部分装修</v>
      </c>
      <c r="R36" s="1575" t="s">
        <v>11</v>
      </c>
      <c r="S36" s="1576">
        <f t="shared" si="12"/>
        <v>100</v>
      </c>
      <c r="T36" s="1575" t="s">
        <v>11</v>
      </c>
      <c r="U36" s="1576">
        <f t="shared" si="13"/>
        <v>100</v>
      </c>
      <c r="V36" s="1575" t="s">
        <v>11</v>
      </c>
      <c r="W36" s="1576">
        <f t="shared" si="14"/>
        <v>100</v>
      </c>
      <c r="X36" s="1569"/>
      <c r="Y36" s="3399"/>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6"/>
      <c r="M37" s="2137"/>
      <c r="N37" s="2137"/>
      <c r="O37" s="2138"/>
      <c r="P37" s="3399"/>
      <c r="Q37" s="1153" t="str">
        <f t="shared" si="11"/>
        <v>成新度</v>
      </c>
      <c r="R37" s="1570" t="s">
        <v>11</v>
      </c>
      <c r="S37" s="1571">
        <f t="shared" si="12"/>
        <v>100</v>
      </c>
      <c r="T37" s="1570" t="s">
        <v>11</v>
      </c>
      <c r="U37" s="1571">
        <f t="shared" si="13"/>
        <v>100</v>
      </c>
      <c r="V37" s="1570" t="s">
        <v>11</v>
      </c>
      <c r="W37" s="1571">
        <f t="shared" si="14"/>
        <v>100</v>
      </c>
      <c r="X37" s="1572"/>
      <c r="Y37" s="3399"/>
      <c r="Z37" s="1152" t="str">
        <f t="shared" si="15"/>
        <v>成新度</v>
      </c>
      <c r="AA37" s="1573">
        <f t="shared" si="3"/>
        <v>1</v>
      </c>
      <c r="AB37" s="1573">
        <f t="shared" si="4"/>
        <v>1</v>
      </c>
      <c r="AC37" s="1573">
        <f t="shared" si="5"/>
        <v>1</v>
      </c>
    </row>
    <row r="38" spans="1:29" ht="15">
      <c r="A38" s="597"/>
      <c r="B38" s="530" t="s">
        <v>732</v>
      </c>
      <c r="C38" s="602" t="s">
        <v>3088</v>
      </c>
      <c r="D38" s="543">
        <v>100</v>
      </c>
      <c r="E38" s="602" t="s">
        <v>3088</v>
      </c>
      <c r="F38" s="578">
        <f>SUMIF(114:114,E38,115:115)-SUMIF(114:114,C38,115:115)+100</f>
        <v>100</v>
      </c>
      <c r="G38" s="602" t="s">
        <v>3088</v>
      </c>
      <c r="H38" s="543">
        <f>SUMIF(114:114,G38,115:115)-SUMIF(114:114,C38,115:115)+100</f>
        <v>100</v>
      </c>
      <c r="I38" s="602" t="s">
        <v>3088</v>
      </c>
      <c r="J38" s="543">
        <f>SUMIF(114:114,I38,115:115)-SUMIF(114:114,C38,115:115)+100</f>
        <v>100</v>
      </c>
      <c r="K38" s="867"/>
      <c r="L38" s="2143"/>
      <c r="M38" s="2135"/>
      <c r="N38" s="2135"/>
      <c r="O38" s="2142"/>
      <c r="P38" s="3399" t="s">
        <v>551</v>
      </c>
      <c r="Q38" s="1574" t="str">
        <f t="shared" si="11"/>
        <v>物业管理</v>
      </c>
      <c r="R38" s="1575" t="s">
        <v>11</v>
      </c>
      <c r="S38" s="1576">
        <f t="shared" si="12"/>
        <v>100</v>
      </c>
      <c r="T38" s="1575" t="s">
        <v>11</v>
      </c>
      <c r="U38" s="1576">
        <f t="shared" si="13"/>
        <v>100</v>
      </c>
      <c r="V38" s="1575" t="s">
        <v>11</v>
      </c>
      <c r="W38" s="1576">
        <f t="shared" si="14"/>
        <v>100</v>
      </c>
      <c r="X38" s="1569"/>
      <c r="Y38" s="3399" t="s">
        <v>551</v>
      </c>
      <c r="Z38" s="1577" t="str">
        <f t="shared" si="15"/>
        <v>物业管理</v>
      </c>
      <c r="AA38" s="1578">
        <f t="shared" si="3"/>
        <v>1</v>
      </c>
      <c r="AB38" s="1578">
        <f t="shared" si="4"/>
        <v>1</v>
      </c>
      <c r="AC38" s="1578">
        <f t="shared" si="5"/>
        <v>1</v>
      </c>
    </row>
    <row r="39" spans="1:29" ht="15">
      <c r="A39" s="597"/>
      <c r="B39" s="1896" t="s">
        <v>2569</v>
      </c>
      <c r="C39" s="602" t="s">
        <v>3061</v>
      </c>
      <c r="D39" s="543">
        <v>100</v>
      </c>
      <c r="E39" s="602" t="s">
        <v>3061</v>
      </c>
      <c r="F39" s="578">
        <f>SUMIF(116:116,E39,117:117)-SUMIF(116:116,C39,117:117)+100</f>
        <v>100</v>
      </c>
      <c r="G39" s="602" t="s">
        <v>3061</v>
      </c>
      <c r="H39" s="543">
        <f>SUMIF(116:116,G39,117:117)-SUMIF(116:116,C39,117:117)+100</f>
        <v>100</v>
      </c>
      <c r="I39" s="602" t="s">
        <v>3061</v>
      </c>
      <c r="J39" s="543">
        <f>SUMIF(116:116,I39,117:117)-SUMIF(116:116,C39,117:117)+100</f>
        <v>100</v>
      </c>
      <c r="K39" s="867"/>
      <c r="L39" s="2143"/>
      <c r="M39" s="2135"/>
      <c r="N39" s="2135"/>
      <c r="O39" s="2142"/>
      <c r="P39" s="3399"/>
      <c r="Q39" s="1574" t="str">
        <f t="shared" si="11"/>
        <v>市政基础设施</v>
      </c>
      <c r="R39" s="1575" t="s">
        <v>11</v>
      </c>
      <c r="S39" s="1576">
        <f t="shared" si="12"/>
        <v>100</v>
      </c>
      <c r="T39" s="1575" t="s">
        <v>11</v>
      </c>
      <c r="U39" s="1576">
        <f t="shared" si="13"/>
        <v>100</v>
      </c>
      <c r="V39" s="1575" t="s">
        <v>11</v>
      </c>
      <c r="W39" s="1576">
        <f t="shared" si="14"/>
        <v>100</v>
      </c>
      <c r="X39" s="1569"/>
      <c r="Y39" s="3399"/>
      <c r="Z39" s="1577" t="str">
        <f t="shared" si="15"/>
        <v>市政基础设施</v>
      </c>
      <c r="AA39" s="1578">
        <f t="shared" si="3"/>
        <v>1</v>
      </c>
      <c r="AB39" s="1578">
        <f t="shared" si="4"/>
        <v>1</v>
      </c>
      <c r="AC39" s="1578">
        <f t="shared" si="5"/>
        <v>1</v>
      </c>
    </row>
    <row r="40" spans="1:29" ht="15">
      <c r="A40" s="597"/>
      <c r="B40" s="530" t="s">
        <v>733</v>
      </c>
      <c r="C40" s="602" t="s">
        <v>3078</v>
      </c>
      <c r="D40" s="543">
        <v>100</v>
      </c>
      <c r="E40" s="602" t="s">
        <v>3078</v>
      </c>
      <c r="F40" s="578">
        <f>SUMIF(118:118,E40,119:119)-SUMIF(118:118,C40,119:119)+100</f>
        <v>100</v>
      </c>
      <c r="G40" s="602" t="s">
        <v>3078</v>
      </c>
      <c r="H40" s="543">
        <f>SUMIF(118:118,G40,119:119)-SUMIF(118:118,C40,119:119)+100</f>
        <v>100</v>
      </c>
      <c r="I40" s="602" t="s">
        <v>3078</v>
      </c>
      <c r="J40" s="543">
        <f>SUMIF(118:118,I40,119:119)-SUMIF(118:118,C40,119:119)+100</f>
        <v>100</v>
      </c>
      <c r="K40" s="867"/>
      <c r="L40" s="2143"/>
      <c r="M40" s="2135"/>
      <c r="N40" s="2135"/>
      <c r="O40" s="2142"/>
      <c r="P40" s="3399"/>
      <c r="Q40" s="1574" t="str">
        <f t="shared" si="11"/>
        <v>房型</v>
      </c>
      <c r="R40" s="1575" t="s">
        <v>11</v>
      </c>
      <c r="S40" s="1576">
        <f t="shared" si="12"/>
        <v>100</v>
      </c>
      <c r="T40" s="1575" t="s">
        <v>11</v>
      </c>
      <c r="U40" s="1576">
        <f t="shared" si="13"/>
        <v>100</v>
      </c>
      <c r="V40" s="1575" t="s">
        <v>11</v>
      </c>
      <c r="W40" s="1576">
        <f t="shared" si="14"/>
        <v>100</v>
      </c>
      <c r="X40" s="1569"/>
      <c r="Y40" s="3399"/>
      <c r="Z40" s="1577" t="str">
        <f t="shared" si="15"/>
        <v>房型</v>
      </c>
      <c r="AA40" s="1578">
        <f t="shared" si="3"/>
        <v>1</v>
      </c>
      <c r="AB40" s="1578">
        <f t="shared" si="4"/>
        <v>1</v>
      </c>
      <c r="AC40" s="1578">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1"/>
      <c r="M41" s="2172"/>
      <c r="N41" s="2172"/>
      <c r="O41" s="2144"/>
      <c r="P41" s="3399"/>
      <c r="Q41" s="1607" t="str">
        <f t="shared" si="11"/>
        <v>单套/主力户型建筑面积</v>
      </c>
      <c r="R41" s="1579" t="s">
        <v>11</v>
      </c>
      <c r="S41" s="1580">
        <f t="shared" si="12"/>
        <v>100</v>
      </c>
      <c r="T41" s="1579" t="s">
        <v>11</v>
      </c>
      <c r="U41" s="1580">
        <f t="shared" si="13"/>
        <v>100</v>
      </c>
      <c r="V41" s="1579" t="s">
        <v>11</v>
      </c>
      <c r="W41" s="1580">
        <f t="shared" si="14"/>
        <v>100</v>
      </c>
      <c r="X41" s="1581"/>
      <c r="Y41" s="3399"/>
      <c r="Z41" s="1582" t="str">
        <f t="shared" si="15"/>
        <v>单套/主力户型建筑面积</v>
      </c>
      <c r="AA41" s="1578">
        <f t="shared" si="3"/>
        <v>1</v>
      </c>
      <c r="AB41" s="1578">
        <f t="shared" si="4"/>
        <v>1</v>
      </c>
      <c r="AC41" s="1578">
        <f t="shared" si="5"/>
        <v>1</v>
      </c>
    </row>
    <row r="42" spans="1:29" ht="15.75" thickBot="1">
      <c r="A42" s="597"/>
      <c r="B42" s="530" t="s">
        <v>735</v>
      </c>
      <c r="C42" s="602" t="s">
        <v>3071</v>
      </c>
      <c r="D42" s="543">
        <v>100</v>
      </c>
      <c r="E42" s="602" t="s">
        <v>3076</v>
      </c>
      <c r="F42" s="578">
        <f>SUMIF(122:122,E42,123:123)-SUMIF(122:122,C42,123:123)+100</f>
        <v>94</v>
      </c>
      <c r="G42" s="602" t="s">
        <v>3076</v>
      </c>
      <c r="H42" s="543">
        <f>SUMIF(122:122,G42,123:123)-SUMIF(122:122,C42,123:123)+100</f>
        <v>94</v>
      </c>
      <c r="I42" s="602" t="s">
        <v>3076</v>
      </c>
      <c r="J42" s="543">
        <f>SUMIF(122:122,I42,123:123)-SUMIF(122:122,C42,123:123)+100</f>
        <v>94</v>
      </c>
      <c r="K42" s="867">
        <v>2</v>
      </c>
      <c r="L42" s="2143"/>
      <c r="M42" s="2135"/>
      <c r="N42" s="2135"/>
      <c r="O42" s="2142"/>
      <c r="P42" s="3399"/>
      <c r="Q42" s="1574" t="str">
        <f t="shared" si="11"/>
        <v>内部装修</v>
      </c>
      <c r="R42" s="1575" t="s">
        <v>11</v>
      </c>
      <c r="S42" s="1576">
        <f t="shared" si="12"/>
        <v>94</v>
      </c>
      <c r="T42" s="1575" t="s">
        <v>11</v>
      </c>
      <c r="U42" s="1576">
        <f t="shared" si="13"/>
        <v>94</v>
      </c>
      <c r="V42" s="1575" t="s">
        <v>11</v>
      </c>
      <c r="W42" s="1576">
        <f t="shared" si="14"/>
        <v>94</v>
      </c>
      <c r="X42" s="1569"/>
      <c r="Y42" s="3399"/>
      <c r="Z42" s="1577" t="str">
        <f t="shared" si="15"/>
        <v>内部装修</v>
      </c>
      <c r="AA42" s="1578">
        <f t="shared" si="3"/>
        <v>1.0638297872340425</v>
      </c>
      <c r="AB42" s="1578">
        <f t="shared" si="4"/>
        <v>1.0638297872340425</v>
      </c>
      <c r="AC42" s="1578">
        <f t="shared" si="5"/>
        <v>1.0638297872340425</v>
      </c>
    </row>
    <row r="43" spans="1:29" ht="27.75" hidden="1" thickBot="1">
      <c r="A43" s="597"/>
      <c r="B43" s="530" t="s">
        <v>736</v>
      </c>
      <c r="C43" s="602" t="s">
        <v>3032</v>
      </c>
      <c r="D43" s="543">
        <v>100</v>
      </c>
      <c r="E43" s="877" t="s">
        <v>3032</v>
      </c>
      <c r="F43" s="578">
        <f>SUMIF(124:124,E43,125:125)-SUMIF(124:124,C43,125:125)+100</f>
        <v>100</v>
      </c>
      <c r="G43" s="602" t="s">
        <v>3032</v>
      </c>
      <c r="H43" s="543">
        <f>SUMIF(124:124,G43,125:125)-SUMIF(124:124,C43,125:125)+100</f>
        <v>100</v>
      </c>
      <c r="I43" s="877" t="s">
        <v>3032</v>
      </c>
      <c r="J43" s="543">
        <f>SUMIF(124:124,I43,125:125)-SUMIF(124:124,C43,125:125)+100</f>
        <v>100</v>
      </c>
      <c r="K43" s="867"/>
      <c r="L43" s="2143"/>
      <c r="M43" s="2135"/>
      <c r="N43" s="2135"/>
      <c r="O43" s="2142"/>
      <c r="P43" s="3399"/>
      <c r="Q43" s="1574" t="str">
        <f t="shared" si="11"/>
        <v>内部装修维护情况</v>
      </c>
      <c r="R43" s="1575" t="s">
        <v>11</v>
      </c>
      <c r="S43" s="1576">
        <f t="shared" si="12"/>
        <v>100</v>
      </c>
      <c r="T43" s="1575" t="s">
        <v>11</v>
      </c>
      <c r="U43" s="1576">
        <f t="shared" si="13"/>
        <v>100</v>
      </c>
      <c r="V43" s="1575" t="s">
        <v>11</v>
      </c>
      <c r="W43" s="1576">
        <f t="shared" si="14"/>
        <v>100</v>
      </c>
      <c r="X43" s="1569"/>
      <c r="Y43" s="3399"/>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6"/>
      <c r="M44" s="2137"/>
      <c r="N44" s="2137"/>
      <c r="O44" s="2138"/>
      <c r="P44" s="3399"/>
      <c r="Q44" s="1153">
        <f t="shared" si="11"/>
        <v>111</v>
      </c>
      <c r="R44" s="1570" t="s">
        <v>11</v>
      </c>
      <c r="S44" s="1571">
        <f t="shared" si="12"/>
        <v>100</v>
      </c>
      <c r="T44" s="1570" t="s">
        <v>11</v>
      </c>
      <c r="U44" s="1571">
        <f t="shared" si="13"/>
        <v>100</v>
      </c>
      <c r="V44" s="1570" t="s">
        <v>11</v>
      </c>
      <c r="W44" s="1571">
        <f t="shared" si="14"/>
        <v>100</v>
      </c>
      <c r="X44" s="1572"/>
      <c r="Y44" s="3399"/>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3"/>
      <c r="M45" s="2135"/>
      <c r="N45" s="2135"/>
      <c r="O45" s="2142"/>
      <c r="P45" s="3399"/>
      <c r="Q45" s="1574">
        <f t="shared" si="11"/>
        <v>111</v>
      </c>
      <c r="R45" s="1575" t="s">
        <v>11</v>
      </c>
      <c r="S45" s="1576">
        <f t="shared" si="12"/>
        <v>100</v>
      </c>
      <c r="T45" s="1575" t="s">
        <v>11</v>
      </c>
      <c r="U45" s="1576">
        <f t="shared" si="13"/>
        <v>100</v>
      </c>
      <c r="V45" s="1575" t="s">
        <v>11</v>
      </c>
      <c r="W45" s="1576">
        <f t="shared" si="14"/>
        <v>100</v>
      </c>
      <c r="X45" s="1569"/>
      <c r="Y45" s="3399"/>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3"/>
      <c r="M46" s="2135"/>
      <c r="N46" s="2135"/>
      <c r="O46" s="2142"/>
      <c r="P46" s="3407"/>
      <c r="Q46" s="1574">
        <f t="shared" si="11"/>
        <v>111</v>
      </c>
      <c r="R46" s="1575" t="s">
        <v>10</v>
      </c>
      <c r="S46" s="1576">
        <f t="shared" si="12"/>
        <v>100</v>
      </c>
      <c r="T46" s="1575" t="s">
        <v>10</v>
      </c>
      <c r="U46" s="1576">
        <f t="shared" si="13"/>
        <v>100</v>
      </c>
      <c r="V46" s="1575" t="s">
        <v>10</v>
      </c>
      <c r="W46" s="1576">
        <f t="shared" si="14"/>
        <v>100</v>
      </c>
      <c r="X46" s="1569"/>
      <c r="Y46" s="3407"/>
      <c r="Z46" s="1577">
        <f t="shared" si="15"/>
        <v>111</v>
      </c>
      <c r="AA46" s="1578">
        <f t="shared" si="3"/>
        <v>1</v>
      </c>
      <c r="AB46" s="1578">
        <f t="shared" si="4"/>
        <v>1</v>
      </c>
      <c r="AC46" s="1578">
        <f t="shared" si="5"/>
        <v>1</v>
      </c>
    </row>
    <row r="47" spans="1:29" ht="15">
      <c r="A47" s="610" t="s">
        <v>737</v>
      </c>
      <c r="B47" s="889"/>
      <c r="C47" s="2652" t="s">
        <v>9</v>
      </c>
      <c r="D47" s="2653"/>
      <c r="E47" s="2654">
        <f>16800*0.98</f>
        <v>16464</v>
      </c>
      <c r="F47" s="2655"/>
      <c r="G47" s="2656">
        <f>16500*0.98</f>
        <v>16170</v>
      </c>
      <c r="H47" s="2657"/>
      <c r="I47" s="2654">
        <f>15500*0.98</f>
        <v>15190</v>
      </c>
      <c r="J47" s="2657"/>
      <c r="K47" s="1608"/>
      <c r="L47" s="2145"/>
      <c r="M47" s="2146"/>
      <c r="N47" s="2135"/>
      <c r="O47" s="2146"/>
      <c r="P47" s="3360" t="str">
        <f>A47</f>
        <v>成交单价（元/平方米）</v>
      </c>
      <c r="Q47" s="3360"/>
      <c r="R47" s="3408">
        <f>E47</f>
        <v>16464</v>
      </c>
      <c r="S47" s="3408"/>
      <c r="T47" s="3408">
        <f>G47</f>
        <v>16170</v>
      </c>
      <c r="U47" s="3408"/>
      <c r="V47" s="3408">
        <f>I47</f>
        <v>15190</v>
      </c>
      <c r="W47" s="3408"/>
      <c r="X47" s="1561"/>
      <c r="Y47" s="1583"/>
      <c r="Z47" s="1561"/>
      <c r="AA47" s="1561"/>
      <c r="AB47" s="1561"/>
      <c r="AC47" s="1561"/>
    </row>
    <row r="48" spans="1:29" ht="15.75" thickBot="1">
      <c r="A48" s="618" t="s">
        <v>2767</v>
      </c>
      <c r="B48" s="890"/>
      <c r="C48" s="2658">
        <f>R49</f>
        <v>16870</v>
      </c>
      <c r="D48" s="2659"/>
      <c r="E48" s="2660">
        <f>R48</f>
        <v>17170</v>
      </c>
      <c r="F48" s="2660"/>
      <c r="G48" s="2658">
        <f>T48</f>
        <v>17032</v>
      </c>
      <c r="H48" s="2659"/>
      <c r="I48" s="2660">
        <f>V48</f>
        <v>16408</v>
      </c>
      <c r="J48" s="2659"/>
      <c r="K48" s="1609"/>
      <c r="L48" s="2145"/>
      <c r="M48" s="2146"/>
      <c r="N48" s="2146"/>
      <c r="O48" s="2146"/>
      <c r="P48" s="3360" t="str">
        <f>A48</f>
        <v>比较价格（元/平方米）</v>
      </c>
      <c r="Q48" s="3360"/>
      <c r="R48" s="3408">
        <f>IF(F1="售价",ROUND(PRODUCT(R47,AA7:AA46),0),ROUND(PRODUCT(R47,AA7:AA46),1))</f>
        <v>17170</v>
      </c>
      <c r="S48" s="3408"/>
      <c r="T48" s="3408">
        <f>IF(F1="售价",ROUND(PRODUCT(T47,AB7:AB46),0),ROUND(PRODUCT(T47,AB7:AB46),1))</f>
        <v>17032</v>
      </c>
      <c r="U48" s="3408"/>
      <c r="V48" s="3408">
        <f>IF(F1="售价",ROUND(PRODUCT(V47,AC7:AC46),0),ROUND(PRODUCT(V47,AC7:AC46),1))</f>
        <v>16408</v>
      </c>
      <c r="W48" s="3408"/>
      <c r="X48" s="1561"/>
      <c r="Y48" s="1561"/>
      <c r="Z48" s="1561"/>
      <c r="AA48" s="1561"/>
      <c r="AB48" s="1561"/>
      <c r="AC48" s="1561"/>
    </row>
    <row r="49" spans="1:29" ht="15.75" hidden="1" thickBot="1">
      <c r="A49" s="624" t="s">
        <v>2940</v>
      </c>
      <c r="B49" s="625"/>
      <c r="C49" s="2661">
        <f>R49</f>
        <v>16870</v>
      </c>
      <c r="D49" s="2661"/>
      <c r="E49" s="2661"/>
      <c r="F49" s="2661"/>
      <c r="G49" s="2661"/>
      <c r="H49" s="2661"/>
      <c r="I49" s="2661"/>
      <c r="J49" s="2661"/>
      <c r="K49" s="1610"/>
      <c r="L49" s="2145"/>
      <c r="M49" s="2146"/>
      <c r="N49" s="2146"/>
      <c r="O49" s="2146"/>
      <c r="P49" s="3357" t="str">
        <f>A49</f>
        <v>估价对象XX用房的比较价格（楼面单价，元/平方米）</v>
      </c>
      <c r="Q49" s="3358"/>
      <c r="R49" s="3409">
        <f>IF(F1="售价",ROUND(AVERAGE(R48:V48),0),ROUND(AVERAGE(R48:V48),1))</f>
        <v>16870</v>
      </c>
      <c r="S49" s="3409"/>
      <c r="T49" s="3409"/>
      <c r="U49" s="3409"/>
      <c r="V49" s="3409"/>
      <c r="W49" s="3409"/>
      <c r="X49" s="1561"/>
      <c r="Y49" s="1561"/>
      <c r="Z49" s="1561"/>
      <c r="AA49" s="1561"/>
      <c r="AB49" s="1561"/>
      <c r="AC49" s="1561"/>
    </row>
    <row r="50" spans="1:29" hidden="1">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idden="1">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f>IF(E47&lt;E48,E48/E47-1,E47/E48-1)</f>
        <v>4.2881438289601448E-2</v>
      </c>
      <c r="F52" s="630" t="str">
        <f>IF(OR(E52&gt;=0.3,E52&lt;=-0.3),"超过30%","")</f>
        <v/>
      </c>
      <c r="G52" s="629">
        <f>IF(G47&lt;G48,G48/G47-1,G47/G48-1)</f>
        <v>5.3308596165739131E-2</v>
      </c>
      <c r="H52" s="630" t="str">
        <f>IF(OR(G52&gt;=0.3,G52&lt;=-0.3),"超过30%","")</f>
        <v/>
      </c>
      <c r="I52" s="629">
        <f>IF(I47&lt;I48,I48/I47-1,I47/I48-1)</f>
        <v>8.0184331797235053E-2</v>
      </c>
      <c r="J52" s="630"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f>IF(E48&lt;G48,G48/E48-1,E48/G48-1)</f>
        <v>8.1023954908407969E-3</v>
      </c>
      <c r="F53" s="630" t="str">
        <f>IF(OR(E53&gt;=0.2,E53&lt;=-0.2),"超过20%","")</f>
        <v/>
      </c>
      <c r="G53" s="629">
        <f>IF(G48&lt;I48,I48/G48-1,G48/I48-1)</f>
        <v>3.803022915650911E-2</v>
      </c>
      <c r="H53" s="630" t="str">
        <f>IF(OR(G53&gt;=0.2,G53&lt;=-0.2),"超过20%","")</f>
        <v/>
      </c>
      <c r="I53" s="629">
        <f>IF(I48&lt;E48,E48/I48-1,I48/E48-1)</f>
        <v>4.6440760604583131E-2</v>
      </c>
      <c r="J53" s="630"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f>IF(E47&lt;G47,G47/E47-1,E47/G47-1)</f>
        <v>1.8181818181818077E-2</v>
      </c>
      <c r="F54" s="630" t="str">
        <f>IF(OR(E54&gt;=0.3,E54&lt;=-0.3),"超过30%","")</f>
        <v/>
      </c>
      <c r="G54" s="629">
        <f>IF(G47&lt;I47,I47/G47-1,G47/I47-1)</f>
        <v>6.4516129032258007E-2</v>
      </c>
      <c r="H54" s="630" t="str">
        <f>IF(OR(G54&gt;=0.3,G54&lt;=-0.3),"超过30%","")</f>
        <v/>
      </c>
      <c r="I54" s="629">
        <f>IF(I47&lt;E47,E47/I47-1,I47/E47-1)</f>
        <v>8.3870967741935587E-2</v>
      </c>
      <c r="J54" s="630"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31"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3"/>
      <c r="N59" s="653"/>
      <c r="O59" s="653"/>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994"/>
    </row>
    <row r="63" spans="1:29">
      <c r="A63" s="667" t="s">
        <v>578</v>
      </c>
      <c r="B63" s="668" t="s">
        <v>535</v>
      </c>
      <c r="C63" s="707" t="str">
        <f>C9</f>
        <v>住宅</v>
      </c>
      <c r="D63" s="601"/>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1611"/>
      <c r="F64" s="1611"/>
      <c r="G64" s="1611"/>
      <c r="H64" s="1611"/>
      <c r="I64" s="1611"/>
      <c r="J64" s="1611"/>
      <c r="K64" s="1611"/>
      <c r="L64" s="1611"/>
      <c r="M64" s="1612"/>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v>1</v>
      </c>
      <c r="D68" s="544">
        <v>2</v>
      </c>
      <c r="E68" s="544">
        <v>3</v>
      </c>
      <c r="F68" s="544">
        <v>4</v>
      </c>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95"/>
      <c r="E73" s="695"/>
      <c r="F73" s="695"/>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97</v>
      </c>
      <c r="E77" s="682">
        <f>D77-$K15</f>
        <v>94</v>
      </c>
      <c r="F77" s="682">
        <f>E77-$K15</f>
        <v>91</v>
      </c>
      <c r="G77" s="682">
        <f>F77-$K15</f>
        <v>88</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98</v>
      </c>
      <c r="E79" s="682">
        <f>D79-$K17</f>
        <v>96</v>
      </c>
      <c r="F79" s="682">
        <f>E79-$K17</f>
        <v>94</v>
      </c>
      <c r="G79" s="682">
        <f>F79-$K17</f>
        <v>92</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2562</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98</v>
      </c>
      <c r="E81" s="682">
        <f>D81-$K19</f>
        <v>96</v>
      </c>
      <c r="F81" s="682">
        <f>E81-$K19</f>
        <v>94</v>
      </c>
      <c r="G81" s="682">
        <f>F81-$K19</f>
        <v>92</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2563</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98</v>
      </c>
      <c r="E83" s="682">
        <f>D83-$K21</f>
        <v>96</v>
      </c>
      <c r="F83" s="682">
        <f>E83-$K21</f>
        <v>94</v>
      </c>
      <c r="G83" s="682">
        <f>F83-$K21</f>
        <v>92</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98</v>
      </c>
      <c r="E85" s="682">
        <f>D85-$K23</f>
        <v>96</v>
      </c>
      <c r="F85" s="682">
        <f>E85-$K23</f>
        <v>94</v>
      </c>
      <c r="G85" s="682">
        <f>F85-$K23</f>
        <v>92</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1897" t="s">
        <v>2261</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
        <v>747</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道路级别</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695"/>
      <c r="D91" s="695"/>
      <c r="E91" s="695"/>
      <c r="F91" s="695"/>
      <c r="G91" s="695"/>
      <c r="H91" s="696"/>
      <c r="I91" s="696"/>
      <c r="J91" s="696"/>
      <c r="K91" s="696"/>
      <c r="L91" s="696"/>
      <c r="M91" s="697"/>
      <c r="N91" s="2168"/>
      <c r="O91" s="2168"/>
      <c r="P91" s="2169"/>
      <c r="Q91" s="2170"/>
      <c r="R91" s="2171"/>
      <c r="S91" s="2171"/>
      <c r="T91" s="2171"/>
      <c r="U91" s="2171"/>
      <c r="V91" s="2171"/>
      <c r="W91" s="2171"/>
      <c r="X91" s="2171"/>
      <c r="Y91" s="2171"/>
      <c r="Z91" s="2171"/>
      <c r="AA91" s="2171"/>
      <c r="AB91" s="2171"/>
      <c r="AC91" s="2171"/>
    </row>
    <row r="92" spans="1:29" ht="15.75" thickTop="1">
      <c r="A92" s="672"/>
      <c r="B92" s="676">
        <f>B28</f>
        <v>111</v>
      </c>
      <c r="C92" s="691"/>
      <c r="D92" s="691"/>
      <c r="E92" s="691"/>
      <c r="F92" s="691"/>
      <c r="G92" s="721"/>
      <c r="H92" s="721"/>
      <c r="I92" s="721"/>
      <c r="J92" s="721"/>
      <c r="K92" s="722"/>
      <c r="L92" s="723"/>
      <c r="M92" s="724"/>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95"/>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95"/>
      <c r="E95" s="695"/>
      <c r="F95" s="695"/>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703"/>
      <c r="D97" s="703"/>
      <c r="E97" s="703"/>
      <c r="F97" s="703"/>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725"/>
      <c r="D98" s="725"/>
      <c r="E98" s="725"/>
      <c r="F98" s="725"/>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29"/>
      <c r="D99" s="729"/>
      <c r="E99" s="729"/>
      <c r="F99" s="729"/>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748</v>
      </c>
      <c r="C100" s="3164" t="s">
        <v>3084</v>
      </c>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3180" t="s">
        <v>3085</v>
      </c>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751</v>
      </c>
      <c r="C107" s="3181" t="s">
        <v>3087</v>
      </c>
      <c r="D107" s="721"/>
      <c r="E107" s="72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752</v>
      </c>
      <c r="C109" s="3180" t="s">
        <v>3072</v>
      </c>
      <c r="D109" s="691"/>
      <c r="E109" s="691"/>
      <c r="F109" s="721"/>
      <c r="G109" s="721"/>
      <c r="H109" s="72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7"/>
      <c r="O110" s="2167"/>
      <c r="P110" s="2166"/>
      <c r="Q110" s="2159"/>
      <c r="R110" s="2146"/>
      <c r="S110" s="2146"/>
      <c r="T110" s="2146"/>
      <c r="U110" s="2146"/>
      <c r="V110" s="2146"/>
      <c r="W110" s="2146"/>
      <c r="X110" s="2146"/>
      <c r="Y110" s="2146"/>
      <c r="Z110" s="2146"/>
      <c r="AA110" s="2146"/>
      <c r="AB110" s="2146"/>
      <c r="AC110" s="2146"/>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8"/>
      <c r="O111" s="2168"/>
      <c r="P111" s="2169"/>
      <c r="Q111" s="2170"/>
      <c r="R111" s="2171"/>
      <c r="S111" s="2171"/>
      <c r="T111" s="2171"/>
      <c r="U111" s="2171"/>
      <c r="V111" s="2171"/>
      <c r="W111" s="2171"/>
      <c r="X111" s="2171"/>
      <c r="Y111" s="2171"/>
      <c r="Z111" s="2171"/>
      <c r="AA111" s="2171"/>
      <c r="AB111" s="2171"/>
      <c r="AC111" s="2171"/>
    </row>
    <row r="112" spans="1:29" s="1341" customFormat="1">
      <c r="A112" s="731"/>
      <c r="B112" s="684"/>
      <c r="C112" s="896">
        <v>0.5</v>
      </c>
      <c r="D112" s="896">
        <v>0.6</v>
      </c>
      <c r="E112" s="896">
        <v>0.7</v>
      </c>
      <c r="F112" s="896">
        <v>0.8</v>
      </c>
      <c r="G112" s="896">
        <v>0.9</v>
      </c>
      <c r="H112" s="896">
        <v>1.0001</v>
      </c>
      <c r="I112" s="896"/>
      <c r="J112" s="897"/>
      <c r="K112" s="897"/>
      <c r="L112" s="898"/>
      <c r="M112" s="899"/>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754</v>
      </c>
      <c r="C114" s="3180" t="s">
        <v>3089</v>
      </c>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1897" t="s">
        <v>2561</v>
      </c>
      <c r="C116" s="3180" t="s">
        <v>3090</v>
      </c>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755</v>
      </c>
      <c r="C118" s="3181" t="s">
        <v>3079</v>
      </c>
      <c r="D118" s="721"/>
      <c r="E118" s="721"/>
      <c r="F118" s="721"/>
      <c r="G118" s="72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7"/>
      <c r="O119" s="2167"/>
      <c r="P119" s="2166"/>
      <c r="Q119" s="2159"/>
      <c r="R119" s="2146"/>
      <c r="S119" s="2146"/>
      <c r="T119" s="2146"/>
      <c r="U119" s="2146"/>
      <c r="V119" s="2146"/>
      <c r="W119" s="2146"/>
      <c r="X119" s="2146"/>
      <c r="Y119" s="2146"/>
      <c r="Z119" s="2146"/>
      <c r="AA119" s="2146"/>
      <c r="AB119" s="2146"/>
      <c r="AC119" s="2146"/>
    </row>
    <row r="120" spans="1:29" s="1341" customFormat="1" ht="28.5" thickTop="1">
      <c r="A120" s="731"/>
      <c r="B120" s="676" t="s">
        <v>734</v>
      </c>
      <c r="C120" s="691"/>
      <c r="D120" s="691"/>
      <c r="E120" s="691"/>
      <c r="F120" s="691"/>
      <c r="G120" s="691"/>
      <c r="H120" s="691"/>
      <c r="I120" s="691"/>
      <c r="J120" s="691"/>
      <c r="K120" s="691"/>
      <c r="L120" s="892"/>
      <c r="M120" s="893"/>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695"/>
      <c r="D121" s="674"/>
      <c r="E121" s="674"/>
      <c r="F121" s="674"/>
      <c r="G121" s="674"/>
      <c r="H121" s="674"/>
      <c r="I121" s="674"/>
      <c r="J121" s="674"/>
      <c r="K121" s="674"/>
      <c r="L121" s="674"/>
      <c r="M121" s="674"/>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3180" t="s">
        <v>3073</v>
      </c>
      <c r="D122" s="3180" t="s">
        <v>3074</v>
      </c>
      <c r="E122" s="3180" t="s">
        <v>3075</v>
      </c>
      <c r="F122" s="3181" t="s">
        <v>3077</v>
      </c>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95"/>
      <c r="E129" s="695"/>
      <c r="F129" s="695"/>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9">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9">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9">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H30" sqref="H3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5" t="s">
        <v>1727</v>
      </c>
      <c r="B1" s="741"/>
      <c r="C1" s="776" t="s">
        <v>2989</v>
      </c>
      <c r="D1" s="3156" t="s">
        <v>3026</v>
      </c>
      <c r="E1" s="2412" t="s">
        <v>871</v>
      </c>
      <c r="F1" s="2413">
        <f ca="1">J53</f>
        <v>17.87</v>
      </c>
      <c r="G1" s="777">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467</v>
      </c>
      <c r="B2" s="778">
        <f ca="1">C40+J29+L46</f>
        <v>10833</v>
      </c>
      <c r="C2" s="2058"/>
      <c r="D2" s="2056"/>
      <c r="E2" s="2057"/>
      <c r="F2" s="2057"/>
      <c r="G2" s="1592"/>
      <c r="H2" s="2058"/>
      <c r="I2" s="2058"/>
      <c r="J2" s="2058"/>
      <c r="K2" s="2059"/>
      <c r="L2" s="2058"/>
      <c r="M2" s="2058"/>
    </row>
    <row r="3" spans="1:33" ht="18" customHeight="1" thickBot="1">
      <c r="A3" s="836" t="s">
        <v>520</v>
      </c>
      <c r="B3" s="837">
        <f ca="1">IF(ISERROR(B2*10000/F43),0,ROUND(B2*10000/F43,0))</f>
        <v>20077</v>
      </c>
      <c r="C3" s="2058"/>
      <c r="D3" s="2056"/>
      <c r="E3" s="2057"/>
      <c r="F3" s="2057"/>
      <c r="G3" s="1592"/>
      <c r="H3" s="779" t="s">
        <v>696</v>
      </c>
      <c r="I3" s="1365"/>
      <c r="J3" s="1365"/>
      <c r="K3" s="1593"/>
      <c r="L3" s="1365"/>
      <c r="M3" s="1365"/>
    </row>
    <row r="4" spans="1:33" ht="18" customHeight="1">
      <c r="A4" s="780" t="s">
        <v>699</v>
      </c>
      <c r="B4" s="781" t="s">
        <v>632</v>
      </c>
      <c r="C4" s="781" t="s">
        <v>1732</v>
      </c>
      <c r="D4" s="781" t="s">
        <v>634</v>
      </c>
      <c r="E4" s="782" t="s">
        <v>1733</v>
      </c>
      <c r="F4" s="783"/>
      <c r="G4" s="1594"/>
      <c r="H4" s="780" t="s">
        <v>699</v>
      </c>
      <c r="I4" s="781" t="s">
        <v>632</v>
      </c>
      <c r="J4" s="781" t="s">
        <v>1732</v>
      </c>
      <c r="K4" s="781" t="s">
        <v>634</v>
      </c>
      <c r="L4" s="782" t="s">
        <v>1733</v>
      </c>
      <c r="M4" s="783"/>
    </row>
    <row r="5" spans="1:33" ht="18" customHeight="1">
      <c r="A5" s="784">
        <v>1</v>
      </c>
      <c r="B5" s="785" t="s">
        <v>2462</v>
      </c>
      <c r="C5" s="55">
        <f ca="1">C6+C10+C12</f>
        <v>886</v>
      </c>
      <c r="D5" s="2521" t="s">
        <v>2465</v>
      </c>
      <c r="E5" s="2515"/>
      <c r="F5" s="2516"/>
      <c r="G5" s="1594"/>
      <c r="H5" s="784">
        <v>1</v>
      </c>
      <c r="I5" s="785" t="s">
        <v>2462</v>
      </c>
      <c r="J5" s="55">
        <f ca="1">J6+J10+J12</f>
        <v>0</v>
      </c>
      <c r="K5" s="2521" t="s">
        <v>2465</v>
      </c>
      <c r="L5" s="2515"/>
      <c r="M5" s="2516"/>
    </row>
    <row r="6" spans="1:33" ht="18" customHeight="1">
      <c r="A6" s="1831" t="s">
        <v>1826</v>
      </c>
      <c r="B6" s="3410" t="s">
        <v>2467</v>
      </c>
      <c r="C6" s="786">
        <f ca="1">ROUND(F6*F8*F7*(1-F9)/10000,0)</f>
        <v>886</v>
      </c>
      <c r="D6" s="2522" t="s">
        <v>2466</v>
      </c>
      <c r="E6" s="787" t="s">
        <v>638</v>
      </c>
      <c r="F6" s="788">
        <f ca="1">INDIRECT("'数据-取费表'!u"&amp;$G$1)</f>
        <v>5</v>
      </c>
      <c r="G6" s="1594"/>
      <c r="H6" s="2529" t="s">
        <v>1826</v>
      </c>
      <c r="I6" s="3410" t="s">
        <v>2467</v>
      </c>
      <c r="J6" s="786">
        <f ca="1">ROUND(M6*M8*M7*(1-M9)/10000,0)</f>
        <v>0</v>
      </c>
      <c r="K6" s="344" t="s">
        <v>637</v>
      </c>
      <c r="L6" s="787" t="s">
        <v>638</v>
      </c>
      <c r="M6" s="788">
        <f ca="1">INDIRECT("'数据-取费表'!z"&amp;$G$1)</f>
        <v>0</v>
      </c>
    </row>
    <row r="7" spans="1:33" ht="18" customHeight="1">
      <c r="A7" s="2525"/>
      <c r="B7" s="3411"/>
      <c r="C7" s="791"/>
      <c r="D7" s="792"/>
      <c r="E7" s="787" t="s">
        <v>639</v>
      </c>
      <c r="F7" s="788">
        <f ca="1">IF(INDIRECT("'数据-取费表'!ah"&amp;$G$1)="",INDIRECT("'数据-取费表'!k"&amp;$G$1),INDIRECT("'数据-取费表'!ah"&amp;$G$1))</f>
        <v>5395.86</v>
      </c>
      <c r="G7" s="1594"/>
      <c r="H7" s="2514"/>
      <c r="I7" s="3411"/>
      <c r="J7" s="791"/>
      <c r="K7" s="792"/>
      <c r="L7" s="787" t="s">
        <v>639</v>
      </c>
      <c r="M7" s="788">
        <f ca="1">F7</f>
        <v>5395.86</v>
      </c>
    </row>
    <row r="8" spans="1:33" ht="18" customHeight="1">
      <c r="A8" s="2518"/>
      <c r="B8" s="3412"/>
      <c r="C8" s="791"/>
      <c r="D8" s="792"/>
      <c r="E8" s="787" t="s">
        <v>1742</v>
      </c>
      <c r="F8" s="788">
        <f ca="1">INDIRECT("'数据-取费表'!ai"&amp;$G$1)</f>
        <v>365</v>
      </c>
      <c r="G8" s="1594"/>
      <c r="H8" s="2514"/>
      <c r="I8" s="3412"/>
      <c r="J8" s="791"/>
      <c r="K8" s="792"/>
      <c r="L8" s="787" t="s">
        <v>1742</v>
      </c>
      <c r="M8" s="788">
        <f ca="1">INDIRECT("'数据-取费表'!ai"&amp;$G$1)</f>
        <v>365</v>
      </c>
    </row>
    <row r="9" spans="1:33" ht="18" customHeight="1">
      <c r="A9" s="789"/>
      <c r="B9" s="3413"/>
      <c r="C9" s="791"/>
      <c r="D9" s="792"/>
      <c r="E9" s="787" t="s">
        <v>641</v>
      </c>
      <c r="F9" s="797">
        <f ca="1">INDIRECT("'数据-取费表'!w"&amp;$G$1)</f>
        <v>0.1</v>
      </c>
      <c r="G9" s="1594"/>
      <c r="H9" s="2530"/>
      <c r="I9" s="3412"/>
      <c r="J9" s="791"/>
      <c r="K9" s="792"/>
      <c r="L9" s="798" t="s">
        <v>641</v>
      </c>
      <c r="M9" s="799">
        <f ca="1">INDIRECT("'数据-取费表'!ab"&amp;$G$1)</f>
        <v>0</v>
      </c>
    </row>
    <row r="10" spans="1:33" ht="18" hidden="1" customHeight="1">
      <c r="A10" s="1831" t="s">
        <v>1827</v>
      </c>
      <c r="B10" s="2519" t="s">
        <v>2463</v>
      </c>
      <c r="C10" s="802">
        <f ca="1">ROUND(IF(F10="押一",F6*F8*F7/12*F11,IF(F10="押二",F6*F8*F7/12*2*F11,IF(F10="押三",F6*F8*F7/12*3*F11,C11*F11)))/10000,0)</f>
        <v>0</v>
      </c>
      <c r="D10" s="2526" t="s">
        <v>2470</v>
      </c>
      <c r="E10" s="2523" t="s">
        <v>2468</v>
      </c>
      <c r="F10" s="2646"/>
      <c r="G10" s="1594"/>
      <c r="H10" s="2586" t="s">
        <v>1827</v>
      </c>
      <c r="I10" s="2591" t="s">
        <v>2463</v>
      </c>
      <c r="J10" s="786">
        <f ca="1">ROUND(IF(M10="押一",M6*M8*M7/12*M11,IF(M10="押二",M6*M8*M7/12*2*M11,IF(M10="押三",M6*M8*M7/12*3*M11,J11*M11)))/10000,0)</f>
        <v>0</v>
      </c>
      <c r="K10" s="2526" t="s">
        <v>2470</v>
      </c>
      <c r="L10" s="2523" t="s">
        <v>2468</v>
      </c>
      <c r="M10" s="2646"/>
    </row>
    <row r="11" spans="1:33" ht="18" hidden="1" customHeight="1">
      <c r="A11" s="793"/>
      <c r="B11" s="2520" t="s">
        <v>2578</v>
      </c>
      <c r="C11" s="2524"/>
      <c r="D11" s="792"/>
      <c r="E11" s="2523" t="s">
        <v>2460</v>
      </c>
      <c r="F11" s="799">
        <f ca="1">'数据-取费表'!B39</f>
        <v>1.4999999999999999E-2</v>
      </c>
      <c r="G11" s="1594"/>
      <c r="H11" s="2587"/>
      <c r="I11" s="2520" t="s">
        <v>2578</v>
      </c>
      <c r="J11" s="2524"/>
      <c r="K11" s="2588"/>
      <c r="L11" s="2523" t="s">
        <v>2460</v>
      </c>
      <c r="M11" s="2517">
        <f ca="1">'数据-取费表'!B39</f>
        <v>1.4999999999999999E-2</v>
      </c>
    </row>
    <row r="12" spans="1:33" ht="18" hidden="1" customHeight="1" thickBot="1">
      <c r="A12" s="2562" t="s">
        <v>2472</v>
      </c>
      <c r="B12" s="2563" t="s">
        <v>2464</v>
      </c>
      <c r="C12" s="2564"/>
      <c r="D12" s="2565"/>
      <c r="E12" s="2566"/>
      <c r="F12" s="2567"/>
      <c r="G12" s="1594"/>
      <c r="H12" s="2576" t="s">
        <v>2472</v>
      </c>
      <c r="I12" s="2589" t="s">
        <v>2464</v>
      </c>
      <c r="J12" s="2590"/>
      <c r="K12" s="2565"/>
      <c r="L12" s="2566"/>
      <c r="M12" s="2579"/>
    </row>
    <row r="13" spans="1:33" ht="18" customHeight="1">
      <c r="A13" s="1830">
        <v>2</v>
      </c>
      <c r="B13" s="1828" t="s">
        <v>1744</v>
      </c>
      <c r="C13" s="795">
        <f ca="1">ROUND(C29*F13,0)</f>
        <v>2038</v>
      </c>
      <c r="D13" s="1835" t="s">
        <v>2301</v>
      </c>
      <c r="E13" s="1835" t="s">
        <v>644</v>
      </c>
      <c r="F13" s="2561">
        <f ca="1">INDIRECT("'数据-取费表'!y"&amp;$G$1)</f>
        <v>1</v>
      </c>
      <c r="G13" s="1594"/>
      <c r="H13" s="1830">
        <v>2</v>
      </c>
      <c r="I13" s="1828" t="s">
        <v>1744</v>
      </c>
      <c r="J13" s="1820">
        <f ca="1">ROUND(J14*J15,0)</f>
        <v>2038</v>
      </c>
      <c r="K13" s="1822" t="s">
        <v>643</v>
      </c>
      <c r="L13" s="2577"/>
      <c r="M13" s="2578"/>
    </row>
    <row r="14" spans="1:33" ht="18" customHeight="1">
      <c r="A14" s="1650" t="s">
        <v>1833</v>
      </c>
      <c r="B14" s="787" t="s">
        <v>646</v>
      </c>
      <c r="C14" s="807">
        <f ca="1">INDIRECT("'数据-取费表'!m"&amp;$G$1)+INDIRECT("'数据-取费表'!t"&amp;$G$1)</f>
        <v>1296</v>
      </c>
      <c r="D14" s="3169" t="s">
        <v>1747</v>
      </c>
      <c r="E14" s="3170"/>
      <c r="F14" s="808"/>
      <c r="G14" s="1594"/>
      <c r="H14" s="1651" t="s">
        <v>1826</v>
      </c>
      <c r="I14" s="2232" t="s">
        <v>2832</v>
      </c>
      <c r="J14" s="53">
        <f ca="1">C29</f>
        <v>2038</v>
      </c>
      <c r="K14" s="26"/>
      <c r="L14" s="804"/>
      <c r="M14" s="805"/>
    </row>
    <row r="15" spans="1:33" s="2065" customFormat="1" ht="18" customHeight="1" thickBot="1">
      <c r="A15" s="1650" t="s">
        <v>1834</v>
      </c>
      <c r="B15" s="787" t="s">
        <v>648</v>
      </c>
      <c r="C15" s="53">
        <f ca="1">ROUND(C14*F15,0)</f>
        <v>39</v>
      </c>
      <c r="D15" s="809" t="s">
        <v>649</v>
      </c>
      <c r="E15" s="809" t="s">
        <v>650</v>
      </c>
      <c r="F15" s="810">
        <f>'数据-取费表'!B33</f>
        <v>0.03</v>
      </c>
      <c r="G15" s="1595"/>
      <c r="H15" s="2576" t="s">
        <v>1891</v>
      </c>
      <c r="I15" s="2571" t="s">
        <v>644</v>
      </c>
      <c r="J15" s="2580">
        <f ca="1">INDIRECT("'数据-取费表'!ad"&amp;$G$1)</f>
        <v>1</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50" t="s">
        <v>1835</v>
      </c>
      <c r="B16" s="787" t="s">
        <v>651</v>
      </c>
      <c r="C16" s="53">
        <f ca="1">ROUND(INDIRECT("'数据-取费表'!m"&amp;$G$1)*F16,0)</f>
        <v>0</v>
      </c>
      <c r="D16" s="787" t="s">
        <v>649</v>
      </c>
      <c r="E16" s="787" t="s">
        <v>650</v>
      </c>
      <c r="F16" s="812">
        <f ca="1">IF(INDIRECT("'数据-取费表'!c"&amp;$G$1)="住宅",'数据-取费表'!B34,0)</f>
        <v>0</v>
      </c>
      <c r="G16" s="1594"/>
      <c r="H16" s="1830" t="s">
        <v>1750</v>
      </c>
      <c r="I16" s="1828" t="s">
        <v>1751</v>
      </c>
      <c r="J16" s="795">
        <f ca="1">ROUND(J17+J22+J23+J24,0)</f>
        <v>52</v>
      </c>
      <c r="K16" s="1822" t="s">
        <v>653</v>
      </c>
      <c r="L16" s="3171"/>
      <c r="M16" s="2516"/>
    </row>
    <row r="17" spans="1:33" s="2065" customFormat="1" ht="18" customHeight="1">
      <c r="A17" s="1650" t="s">
        <v>1889</v>
      </c>
      <c r="B17" s="787" t="s">
        <v>654</v>
      </c>
      <c r="C17" s="53">
        <f ca="1">ROUND(F17*(F43+INDIRECT("'数据-取费表'!S"&amp;$G$1))/10000,0)</f>
        <v>108</v>
      </c>
      <c r="D17" s="787" t="s">
        <v>655</v>
      </c>
      <c r="E17" s="787" t="s">
        <v>656</v>
      </c>
      <c r="F17" s="56">
        <f>'数据-取费表'!B35</f>
        <v>200</v>
      </c>
      <c r="G17" s="1595"/>
      <c r="H17" s="1651" t="s">
        <v>1826</v>
      </c>
      <c r="I17" s="787" t="s">
        <v>657</v>
      </c>
      <c r="J17" s="53">
        <f ca="1">ROUND(IF(项目基本情况!B11="自然人",J5*M17,J18+J19+J20),0)</f>
        <v>17</v>
      </c>
      <c r="K17" s="3169" t="s">
        <v>658</v>
      </c>
      <c r="L17" s="3167" t="s">
        <v>1756</v>
      </c>
      <c r="M17" s="813"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50" t="s">
        <v>1890</v>
      </c>
      <c r="B18" s="787" t="s">
        <v>660</v>
      </c>
      <c r="C18" s="53">
        <f ca="1">ROUND(C14*F18,0)</f>
        <v>19</v>
      </c>
      <c r="D18" s="787" t="s">
        <v>649</v>
      </c>
      <c r="E18" s="787" t="s">
        <v>650</v>
      </c>
      <c r="F18" s="812">
        <f>'数据-取费表'!B36</f>
        <v>1.4999999999999999E-2</v>
      </c>
      <c r="G18" s="1595"/>
      <c r="H18" s="1650" t="s">
        <v>1833</v>
      </c>
      <c r="I18" s="787" t="s">
        <v>1757</v>
      </c>
      <c r="J18" s="53">
        <f ca="1">ROUND(J5*M18/1.05,1)</f>
        <v>0</v>
      </c>
      <c r="K18" s="3167" t="s">
        <v>1758</v>
      </c>
      <c r="L18" s="787" t="s">
        <v>650</v>
      </c>
      <c r="M18" s="812">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1" t="s">
        <v>1826</v>
      </c>
      <c r="B19" s="787" t="s">
        <v>663</v>
      </c>
      <c r="C19" s="53">
        <f ca="1">SUM(C14:C18)</f>
        <v>1462</v>
      </c>
      <c r="D19" s="261" t="s">
        <v>664</v>
      </c>
      <c r="E19" s="3177"/>
      <c r="F19" s="56"/>
      <c r="G19" s="1594"/>
      <c r="H19" s="1650" t="s">
        <v>1834</v>
      </c>
      <c r="I19" s="787" t="s">
        <v>665</v>
      </c>
      <c r="J19" s="53">
        <f ca="1">IF(K19="按租金收入计税",ROUND(J5*M19,1),ROUND(C29*F33*0.7,1))</f>
        <v>17.100000000000001</v>
      </c>
      <c r="K19" s="814" t="s">
        <v>666</v>
      </c>
      <c r="L19" s="787" t="s">
        <v>650</v>
      </c>
      <c r="M19" s="812">
        <f>IF(K19="按租金收入计税",'数据-取费表'!B51,'数据-取费表'!B50)</f>
        <v>1.2E-2</v>
      </c>
    </row>
    <row r="20" spans="1:33" s="2065" customFormat="1" ht="18" customHeight="1">
      <c r="A20" s="1651" t="s">
        <v>1891</v>
      </c>
      <c r="B20" s="787" t="s">
        <v>667</v>
      </c>
      <c r="C20" s="53">
        <f ca="1">ROUND(C19*F20,0)</f>
        <v>29</v>
      </c>
      <c r="D20" s="815" t="s">
        <v>668</v>
      </c>
      <c r="E20" s="787" t="s">
        <v>650</v>
      </c>
      <c r="F20" s="812">
        <f>'数据-取费表'!B37</f>
        <v>0.02</v>
      </c>
      <c r="G20" s="1595"/>
      <c r="H20" s="1653" t="s">
        <v>1835</v>
      </c>
      <c r="I20" s="344" t="s">
        <v>669</v>
      </c>
      <c r="J20" s="54">
        <f ca="1">ROUND(M20*M21/10000,0)</f>
        <v>0</v>
      </c>
      <c r="K20" s="817" t="s">
        <v>670</v>
      </c>
      <c r="L20" s="787" t="s">
        <v>671</v>
      </c>
      <c r="M20" s="643">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1" t="s">
        <v>1892</v>
      </c>
      <c r="B21" s="787" t="s">
        <v>672</v>
      </c>
      <c r="C21" s="53" t="s">
        <v>1766</v>
      </c>
      <c r="D21" s="815" t="s">
        <v>2302</v>
      </c>
      <c r="E21" s="787" t="s">
        <v>674</v>
      </c>
      <c r="F21" s="812">
        <f>'数据-取费表'!B38</f>
        <v>0.02</v>
      </c>
      <c r="G21" s="1595"/>
      <c r="H21" s="2531"/>
      <c r="I21" s="796"/>
      <c r="J21" s="69"/>
      <c r="K21" s="819"/>
      <c r="L21" s="787" t="s">
        <v>675</v>
      </c>
      <c r="M21" s="788">
        <f ca="1">INDIRECT("'数据-取费表'!r"&amp;$G$1)</f>
        <v>1593.45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1" t="s">
        <v>1893</v>
      </c>
      <c r="B22" s="787" t="s">
        <v>676</v>
      </c>
      <c r="C22" s="53"/>
      <c r="D22" s="2597" t="str">
        <f>IF(F23&lt;=1,"单利计息。","复利计息。")&amp;"建造成本、管理费用、销售费用产生的利息。"</f>
        <v>复利计息。建造成本、管理费用、销售费用产生的利息。</v>
      </c>
      <c r="E22" s="3177"/>
      <c r="F22" s="56"/>
      <c r="G22" s="1594"/>
      <c r="H22" s="1651" t="s">
        <v>1891</v>
      </c>
      <c r="I22" s="787" t="s">
        <v>677</v>
      </c>
      <c r="J22" s="53">
        <f ca="1">ROUND(J14*M22,0)</f>
        <v>31</v>
      </c>
      <c r="K22" s="3167" t="s">
        <v>678</v>
      </c>
      <c r="L22" s="787" t="s">
        <v>650</v>
      </c>
      <c r="M22" s="820">
        <f ca="1">INDIRECT("'数据-取费表'!Ak"&amp;$G$1)</f>
        <v>1.4999999999999999E-2</v>
      </c>
    </row>
    <row r="23" spans="1:33" s="2065" customFormat="1" ht="18" customHeight="1">
      <c r="A23" s="1650" t="s">
        <v>1833</v>
      </c>
      <c r="B23" s="787" t="s">
        <v>2442</v>
      </c>
      <c r="C23" s="53">
        <f ca="1">ROUND(IF('数据-取费表'!B22&lt;=1,(C19+C20)*F24*F23/2,(C19+C20)*(POWER((1+F24),F23/2)-1)),0)</f>
        <v>89</v>
      </c>
      <c r="D23" s="2596" t="str">
        <f>IF(F23&lt;=1,"(建造成本+管理费用)×利率×(建设周期÷2)","(建造成本+管理费用)×((1+利率)^(建设周期÷2)-1)")</f>
        <v>(建造成本+管理费用)×((1+利率)^(建设周期÷2)-1)</v>
      </c>
      <c r="E23" s="787" t="s">
        <v>679</v>
      </c>
      <c r="F23" s="643">
        <f>'数据-取费表'!B20</f>
        <v>2.5</v>
      </c>
      <c r="G23" s="1595"/>
      <c r="H23" s="1651" t="s">
        <v>1892</v>
      </c>
      <c r="I23" s="787" t="s">
        <v>680</v>
      </c>
      <c r="J23" s="53">
        <f ca="1">ROUND(J13*M23,0)</f>
        <v>4</v>
      </c>
      <c r="K23" s="3167" t="s">
        <v>681</v>
      </c>
      <c r="L23" s="787" t="s">
        <v>650</v>
      </c>
      <c r="M23" s="821">
        <f ca="1">INDIRECT("'数据-取费表'!Al"&amp;$G$1)</f>
        <v>2E-3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50" t="s">
        <v>1834</v>
      </c>
      <c r="B24" s="787" t="s">
        <v>682</v>
      </c>
      <c r="C24" s="53">
        <f ca="1">ROUND(IF('数据-取费表'!B22&lt;=1,F21*F24*F23/2,F21*(POWER((1+F24),F23/2)-1)),4)</f>
        <v>1.1999999999999999E-3</v>
      </c>
      <c r="D24" s="2596" t="str">
        <f>IF(F23&lt;=1,"销售费用×利率×(建设周期÷2)","销售费用×((1+利率)^(建设周期÷2)-1)")</f>
        <v>销售费用×((1+利率)^(建设周期÷2)-1)</v>
      </c>
      <c r="E24" s="787" t="s">
        <v>683</v>
      </c>
      <c r="F24" s="822">
        <f ca="1">'数据-取费表'!B40</f>
        <v>4.7500000000000001E-2</v>
      </c>
      <c r="G24" s="1595"/>
      <c r="H24" s="2576" t="s">
        <v>1893</v>
      </c>
      <c r="I24" s="2571" t="s">
        <v>667</v>
      </c>
      <c r="J24" s="2569">
        <f ca="1">ROUND(J5*M24,0)</f>
        <v>0</v>
      </c>
      <c r="K24" s="2570" t="s">
        <v>684</v>
      </c>
      <c r="L24" s="2571" t="s">
        <v>650</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2" t="s">
        <v>1842</v>
      </c>
      <c r="B25" s="787" t="s">
        <v>685</v>
      </c>
      <c r="C25" s="53"/>
      <c r="D25" s="261" t="s">
        <v>686</v>
      </c>
      <c r="E25" s="3177"/>
      <c r="F25" s="56"/>
      <c r="G25" s="1594"/>
      <c r="H25" s="1830" t="s">
        <v>1778</v>
      </c>
      <c r="I25" s="3037" t="s">
        <v>2829</v>
      </c>
      <c r="J25" s="795">
        <f ca="1">J5-J16</f>
        <v>-52</v>
      </c>
      <c r="K25" s="2573" t="s">
        <v>701</v>
      </c>
      <c r="L25" s="2574"/>
      <c r="M25" s="2575"/>
    </row>
    <row r="26" spans="1:33" ht="18" customHeight="1">
      <c r="A26" s="1650" t="s">
        <v>1833</v>
      </c>
      <c r="B26" s="787" t="s">
        <v>2443</v>
      </c>
      <c r="C26" s="53">
        <f ca="1">ROUND((C19+C20)*F26,0)</f>
        <v>298</v>
      </c>
      <c r="D26" s="815" t="s">
        <v>702</v>
      </c>
      <c r="E26" s="798" t="s">
        <v>703</v>
      </c>
      <c r="F26" s="797">
        <f ca="1">INDIRECT("'数据-取费表'!q"&amp;$G$1)</f>
        <v>0.2</v>
      </c>
      <c r="G26" s="1594"/>
      <c r="H26" s="2527" t="s">
        <v>1782</v>
      </c>
      <c r="I26" s="2233" t="s">
        <v>2834</v>
      </c>
      <c r="J26" s="786">
        <f ca="1">IF(J5&lt;&gt;0,ROUND(J25*(1-((1+M28)/(1+M26))^M27)/(M26-M28),0),0)</f>
        <v>0</v>
      </c>
      <c r="K26" s="817" t="s">
        <v>705</v>
      </c>
      <c r="L26" s="787" t="s">
        <v>2424</v>
      </c>
      <c r="M26" s="797">
        <f ca="1">INDIRECT("'数据-取费表'!I"&amp;$G$1)</f>
        <v>5.5E-2</v>
      </c>
    </row>
    <row r="27" spans="1:33" ht="18" customHeight="1">
      <c r="A27" s="1650" t="s">
        <v>1834</v>
      </c>
      <c r="B27" s="787" t="s">
        <v>687</v>
      </c>
      <c r="C27" s="53">
        <f ca="1">ROUND(F21*F26,4)</f>
        <v>4.0000000000000001E-3</v>
      </c>
      <c r="D27" s="815" t="s">
        <v>707</v>
      </c>
      <c r="E27" s="809"/>
      <c r="F27" s="810"/>
      <c r="G27" s="1594"/>
      <c r="H27" s="2528"/>
      <c r="I27" s="790"/>
      <c r="J27" s="791"/>
      <c r="K27" s="824" t="s">
        <v>708</v>
      </c>
      <c r="L27" s="787" t="s">
        <v>709</v>
      </c>
      <c r="M27" s="825">
        <f ca="1">INDIRECT("'数据-取费表'!ag"&amp;$G$1)</f>
        <v>0</v>
      </c>
    </row>
    <row r="28" spans="1:33" s="2065" customFormat="1" ht="18" customHeight="1">
      <c r="A28" s="1652" t="s">
        <v>1843</v>
      </c>
      <c r="B28" s="787" t="s">
        <v>688</v>
      </c>
      <c r="C28" s="53">
        <f>ROUND(F28/(1+'数据-取费表'!C42),4)</f>
        <v>5.33E-2</v>
      </c>
      <c r="D28" s="815" t="s">
        <v>2303</v>
      </c>
      <c r="E28" s="787" t="s">
        <v>650</v>
      </c>
      <c r="F28" s="812">
        <f>'数据-取费表'!B41</f>
        <v>5.6000000000000001E-2</v>
      </c>
      <c r="G28" s="1595"/>
      <c r="H28" s="1830"/>
      <c r="I28" s="794"/>
      <c r="J28" s="795"/>
      <c r="K28" s="819"/>
      <c r="L28" s="787" t="s">
        <v>711</v>
      </c>
      <c r="M28" s="797">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2038</v>
      </c>
      <c r="D29" s="2570"/>
      <c r="E29" s="2571"/>
      <c r="F29" s="2572"/>
      <c r="G29" s="1595"/>
      <c r="H29" s="826" t="s">
        <v>1789</v>
      </c>
      <c r="I29" s="827" t="s">
        <v>1790</v>
      </c>
      <c r="J29" s="828">
        <f ca="1">ROUND(J26/(1+F40)^F41,0)</f>
        <v>0</v>
      </c>
      <c r="K29" s="829" t="s">
        <v>689</v>
      </c>
      <c r="L29" s="830"/>
      <c r="M29" s="831">
        <f ca="1">INDIRECT("'数据-取费表'!k"&amp;$G$1)</f>
        <v>5395.86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5">
        <f ca="1">ROUND(C31+C36+C37+C38,0)</f>
        <v>109</v>
      </c>
      <c r="D30" s="1822" t="s">
        <v>653</v>
      </c>
      <c r="E30" s="3171"/>
      <c r="F30" s="2516"/>
      <c r="G30" s="2063"/>
      <c r="H30" s="2066"/>
      <c r="I30" s="2067"/>
      <c r="J30" s="2068"/>
      <c r="K30" s="2069"/>
      <c r="L30" s="2070"/>
      <c r="M30" s="2071"/>
    </row>
    <row r="31" spans="1:33" ht="18" customHeight="1">
      <c r="A31" s="1651" t="s">
        <v>1826</v>
      </c>
      <c r="B31" s="787" t="s">
        <v>657</v>
      </c>
      <c r="C31" s="53">
        <f ca="1">ROUND(IF(项目基本情况!B11="自然人",C5*F31,C32+C33+C34),1)</f>
        <v>64.900000000000006</v>
      </c>
      <c r="D31" s="3169" t="s">
        <v>658</v>
      </c>
      <c r="E31" s="3167" t="s">
        <v>691</v>
      </c>
      <c r="F31" s="813" t="str">
        <f ca="1">IF(项目基本情况!B11="企业","",IF(INDIRECT("'数据-取费表'!c"&amp;$G$1)="住宅",5%,IF(F6*F7*F8/12/(1+'数据-取费表'!C42)&gt;20000,12%,7%)))</f>
        <v/>
      </c>
      <c r="G31" s="2063"/>
      <c r="H31" s="2066"/>
      <c r="I31" s="2067"/>
      <c r="J31" s="2068"/>
      <c r="K31" s="2069"/>
      <c r="L31" s="2070"/>
      <c r="M31" s="2071"/>
    </row>
    <row r="32" spans="1:33" ht="18" customHeight="1">
      <c r="A32" s="1650" t="s">
        <v>1833</v>
      </c>
      <c r="B32" s="787" t="s">
        <v>1757</v>
      </c>
      <c r="C32" s="53">
        <f ca="1">ROUND(C5*F32/1.05,1)</f>
        <v>47.3</v>
      </c>
      <c r="D32" s="3167" t="s">
        <v>1758</v>
      </c>
      <c r="E32" s="787" t="s">
        <v>650</v>
      </c>
      <c r="F32" s="812">
        <f>'数据-取费表'!B41</f>
        <v>5.6000000000000001E-2</v>
      </c>
      <c r="G32" s="2063"/>
      <c r="H32" s="2072"/>
      <c r="I32" s="2073"/>
      <c r="J32" s="2074"/>
      <c r="K32" s="2075"/>
      <c r="L32" s="2076"/>
      <c r="M32" s="2077"/>
    </row>
    <row r="33" spans="1:18" ht="18" customHeight="1">
      <c r="A33" s="1650" t="s">
        <v>1834</v>
      </c>
      <c r="B33" s="787" t="s">
        <v>665</v>
      </c>
      <c r="C33" s="53">
        <f ca="1">IF(D33="按租金收入计税",ROUND(C5*F33,1),IF(D33="按房产原值计税",ROUND(C29*F33*0.7,1),INDIRECT("'数据-取费表'!Aj"&amp;$G$1)))</f>
        <v>17.100000000000001</v>
      </c>
      <c r="D33" s="814" t="s">
        <v>1682</v>
      </c>
      <c r="E33" s="787" t="s">
        <v>650</v>
      </c>
      <c r="F33" s="812">
        <f>IF(D33="按租金收入计税",'数据-取费表'!B51,'数据-取费表'!B50)</f>
        <v>1.2E-2</v>
      </c>
      <c r="G33" s="2063"/>
      <c r="H33" s="2078"/>
      <c r="I33" s="2078"/>
      <c r="J33" s="2078"/>
      <c r="K33" s="2079"/>
      <c r="L33" s="2078"/>
      <c r="M33" s="2078"/>
    </row>
    <row r="34" spans="1:18" ht="18" customHeight="1">
      <c r="A34" s="1653" t="s">
        <v>1835</v>
      </c>
      <c r="B34" s="344" t="s">
        <v>669</v>
      </c>
      <c r="C34" s="54">
        <f ca="1">ROUND(F34*F35/10000,1)</f>
        <v>0.5</v>
      </c>
      <c r="D34" s="817" t="s">
        <v>670</v>
      </c>
      <c r="E34" s="787" t="s">
        <v>671</v>
      </c>
      <c r="F34" s="643">
        <f>'数据-取费表'!B52</f>
        <v>3</v>
      </c>
      <c r="G34" s="2063"/>
      <c r="H34" s="2066"/>
      <c r="I34" s="838" t="s">
        <v>1815</v>
      </c>
      <c r="J34" s="839"/>
      <c r="K34" s="2081"/>
      <c r="L34" s="2080"/>
      <c r="M34" s="2080"/>
    </row>
    <row r="35" spans="1:18" ht="18" customHeight="1">
      <c r="A35" s="818"/>
      <c r="B35" s="796"/>
      <c r="C35" s="69"/>
      <c r="D35" s="819"/>
      <c r="E35" s="787" t="s">
        <v>675</v>
      </c>
      <c r="F35" s="788">
        <f ca="1">INDIRECT("'数据-取费表'!r"&amp;$G$1)</f>
        <v>1593.45</v>
      </c>
      <c r="G35" s="2063"/>
      <c r="H35" s="2066"/>
      <c r="I35" s="840" t="s">
        <v>1816</v>
      </c>
      <c r="J35" s="841">
        <f ca="1">ROUND(C13*J36,0)</f>
        <v>173</v>
      </c>
      <c r="K35" s="2079"/>
      <c r="L35" s="2078"/>
      <c r="M35" s="2078"/>
    </row>
    <row r="36" spans="1:18" ht="18" customHeight="1">
      <c r="A36" s="1651" t="s">
        <v>1891</v>
      </c>
      <c r="B36" s="787" t="s">
        <v>677</v>
      </c>
      <c r="C36" s="53">
        <f ca="1">ROUND(C29*F36,1)</f>
        <v>30.6</v>
      </c>
      <c r="D36" s="3167" t="s">
        <v>692</v>
      </c>
      <c r="E36" s="787" t="s">
        <v>650</v>
      </c>
      <c r="F36" s="820">
        <f ca="1">INDIRECT("'数据-取费表'!Ak"&amp;$G$1)</f>
        <v>1.4999999999999999E-2</v>
      </c>
      <c r="G36" s="2063"/>
      <c r="H36" s="2078"/>
      <c r="I36" s="842" t="s">
        <v>1817</v>
      </c>
      <c r="J36" s="843">
        <f ca="1">INDIRECT("'数据-取费表'!j"&amp;$G$1)</f>
        <v>8.5000000000000006E-2</v>
      </c>
      <c r="K36" s="2083"/>
      <c r="L36" s="2078"/>
      <c r="M36" s="2078"/>
    </row>
    <row r="37" spans="1:18" ht="18" customHeight="1">
      <c r="A37" s="1651" t="s">
        <v>1892</v>
      </c>
      <c r="B37" s="787" t="s">
        <v>680</v>
      </c>
      <c r="C37" s="53">
        <f ca="1">ROUND(C13*F37,1)</f>
        <v>4.0999999999999996</v>
      </c>
      <c r="D37" s="3167" t="s">
        <v>681</v>
      </c>
      <c r="E37" s="787" t="s">
        <v>650</v>
      </c>
      <c r="F37" s="821">
        <f ca="1">INDIRECT("'数据-取费表'!Al"&amp;$G$1)</f>
        <v>2E-3</v>
      </c>
      <c r="G37" s="2063"/>
      <c r="H37" s="2078"/>
      <c r="I37" s="844" t="s">
        <v>1818</v>
      </c>
      <c r="J37" s="845"/>
      <c r="K37" s="2083"/>
      <c r="L37" s="2078"/>
      <c r="M37" s="2078"/>
    </row>
    <row r="38" spans="1:18" ht="18" customHeight="1" thickBot="1">
      <c r="A38" s="2576" t="s">
        <v>1893</v>
      </c>
      <c r="B38" s="2571" t="s">
        <v>667</v>
      </c>
      <c r="C38" s="2569">
        <f ca="1">ROUND(C5*F38,1)</f>
        <v>8.9</v>
      </c>
      <c r="D38" s="2570" t="s">
        <v>684</v>
      </c>
      <c r="E38" s="2571" t="s">
        <v>650</v>
      </c>
      <c r="F38" s="2567">
        <f ca="1">INDIRECT("'数据-取费表'!Am"&amp;$G$1)</f>
        <v>0.01</v>
      </c>
      <c r="G38" s="2063"/>
      <c r="H38" s="2078"/>
      <c r="I38" s="846" t="s">
        <v>1819</v>
      </c>
      <c r="J38" s="847"/>
      <c r="K38" s="2084"/>
      <c r="L38" s="2078"/>
      <c r="M38" s="2078"/>
    </row>
    <row r="39" spans="1:18" ht="24.6" customHeight="1" thickTop="1">
      <c r="A39" s="1830" t="s">
        <v>1778</v>
      </c>
      <c r="B39" s="3037" t="s">
        <v>2829</v>
      </c>
      <c r="C39" s="795">
        <f ca="1">C5-C30</f>
        <v>777</v>
      </c>
      <c r="D39" s="2573" t="s">
        <v>701</v>
      </c>
      <c r="E39" s="2574"/>
      <c r="F39" s="2575"/>
      <c r="G39" s="2063"/>
      <c r="H39" s="2078"/>
      <c r="I39" s="840" t="s">
        <v>1820</v>
      </c>
      <c r="J39" s="848">
        <f ca="1">ROUND(J35/C39,3)</f>
        <v>0.223</v>
      </c>
      <c r="K39" s="2084"/>
      <c r="L39" s="2078"/>
      <c r="M39" s="2078"/>
    </row>
    <row r="40" spans="1:18" ht="18" customHeight="1">
      <c r="A40" s="784" t="s">
        <v>1782</v>
      </c>
      <c r="B40" s="2233" t="s">
        <v>2305</v>
      </c>
      <c r="C40" s="786">
        <f ca="1">ROUND(C39*(1-((1+F42)/(1+F40))^F41)/(F40-F42),0)</f>
        <v>10833</v>
      </c>
      <c r="D40" s="817" t="s">
        <v>705</v>
      </c>
      <c r="E40" s="787" t="s">
        <v>2424</v>
      </c>
      <c r="F40" s="797">
        <f ca="1">INDIRECT("'数据-取费表'!I"&amp;$G$1)</f>
        <v>5.5E-2</v>
      </c>
      <c r="G40" s="2063"/>
      <c r="H40" s="2063"/>
      <c r="I40" s="840" t="s">
        <v>1821</v>
      </c>
      <c r="J40" s="848">
        <f ca="1">1-J39</f>
        <v>0.77700000000000002</v>
      </c>
      <c r="K40" s="2084"/>
      <c r="L40" s="2063"/>
      <c r="M40" s="2063"/>
    </row>
    <row r="41" spans="1:18" ht="18" customHeight="1">
      <c r="A41" s="789"/>
      <c r="B41" s="790"/>
      <c r="C41" s="791"/>
      <c r="D41" s="824" t="s">
        <v>1810</v>
      </c>
      <c r="E41" s="787" t="s">
        <v>709</v>
      </c>
      <c r="F41" s="825">
        <f ca="1">IF(INDIRECT("'数据-取费表'!af"&amp;$G$1)=0,INDIRECT("'数据-取费表'!ae"&amp;$G$1),INDIRECT("'数据-取费表'!af"&amp;$G$1))</f>
        <v>17.87</v>
      </c>
      <c r="G41" s="2063"/>
      <c r="H41" s="1989"/>
      <c r="I41" s="846" t="s">
        <v>1822</v>
      </c>
      <c r="J41" s="849"/>
      <c r="K41" s="2083"/>
      <c r="L41" s="1989"/>
      <c r="M41" s="1989"/>
    </row>
    <row r="42" spans="1:18" ht="18" customHeight="1">
      <c r="A42" s="793"/>
      <c r="B42" s="794"/>
      <c r="C42" s="795"/>
      <c r="D42" s="819"/>
      <c r="E42" s="787" t="s">
        <v>711</v>
      </c>
      <c r="F42" s="797">
        <f ca="1">INDIRECT("'数据-取费表'!v"&amp;$G$1)</f>
        <v>0.03</v>
      </c>
      <c r="G42" s="2063"/>
      <c r="H42" s="1989"/>
      <c r="I42" s="850" t="s">
        <v>1823</v>
      </c>
      <c r="J42" s="848">
        <f ca="1">ROUND(C13/C40,3)</f>
        <v>0.188</v>
      </c>
      <c r="K42" s="2083"/>
      <c r="L42" s="1989"/>
      <c r="M42" s="1989"/>
    </row>
    <row r="43" spans="1:18" ht="18" customHeight="1" thickBot="1">
      <c r="A43" s="826" t="s">
        <v>1789</v>
      </c>
      <c r="B43" s="827" t="s">
        <v>1812</v>
      </c>
      <c r="C43" s="828">
        <f ca="1">ROUND(C40*10000/F43,0)</f>
        <v>20077</v>
      </c>
      <c r="D43" s="829" t="s">
        <v>1813</v>
      </c>
      <c r="E43" s="830" t="s">
        <v>1814</v>
      </c>
      <c r="F43" s="831">
        <f ca="1">INDIRECT("'数据-取费表'!k"&amp;$G$1)</f>
        <v>5395.86</v>
      </c>
      <c r="G43" s="2063"/>
      <c r="H43" s="1989"/>
      <c r="I43" s="850" t="s">
        <v>1824</v>
      </c>
      <c r="J43" s="851">
        <f ca="1">1-J42</f>
        <v>0.81200000000000006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f ca="1">C67-C40</f>
        <v>-11415</v>
      </c>
      <c r="D46" s="2086"/>
      <c r="E46" s="2086"/>
      <c r="F46" s="2086"/>
      <c r="I46" s="2379" t="s">
        <v>2347</v>
      </c>
      <c r="J46" s="2380"/>
      <c r="K46" s="2381"/>
      <c r="L46" s="2382" t="str">
        <f ca="1">IF(M47="住宅",0,IF(L48&gt;J51,L60,J60))</f>
        <v>0</v>
      </c>
      <c r="O46" s="2419" t="s">
        <v>2415</v>
      </c>
      <c r="P46" s="1594"/>
      <c r="Q46" s="1606"/>
      <c r="R46" s="1594"/>
    </row>
    <row r="47" spans="1:18" s="2060" customFormat="1" ht="18" customHeight="1" thickBot="1">
      <c r="A47" s="2373">
        <v>1</v>
      </c>
      <c r="B47" s="2374" t="s">
        <v>636</v>
      </c>
      <c r="C47" s="2599">
        <f ca="1">C48+C52+C54</f>
        <v>0</v>
      </c>
      <c r="D47" s="2086"/>
      <c r="E47" s="2086"/>
      <c r="F47" s="2086"/>
      <c r="I47" s="2383" t="s">
        <v>2348</v>
      </c>
      <c r="J47" s="2388" t="s">
        <v>3024</v>
      </c>
      <c r="K47" s="2389" t="s">
        <v>2354</v>
      </c>
      <c r="L47" s="2390">
        <f ca="1">INDIRECT("'数据-取费表'!d"&amp;$G$1)</f>
        <v>40</v>
      </c>
      <c r="M47" s="1606" t="str">
        <f>IF(ISNUMBER(FIND("住宅",C1)),"住宅","非住宅")</f>
        <v>非住宅</v>
      </c>
      <c r="O47" s="2420" t="s">
        <v>2380</v>
      </c>
      <c r="P47" s="2421" t="s">
        <v>2381</v>
      </c>
      <c r="Q47" s="2422" t="s">
        <v>2382</v>
      </c>
      <c r="R47" s="2421" t="s">
        <v>2383</v>
      </c>
    </row>
    <row r="48" spans="1:18" s="2060" customFormat="1" ht="18" customHeight="1" thickBot="1">
      <c r="A48" s="2668" t="s">
        <v>1872</v>
      </c>
      <c r="B48" s="2669" t="s">
        <v>2543</v>
      </c>
      <c r="C48" s="2375">
        <f ca="1">ROUND(F48*F50*F49*(1-F51)/10000,0)</f>
        <v>0</v>
      </c>
      <c r="D48" s="2376" t="s">
        <v>637</v>
      </c>
      <c r="E48" s="2377" t="s">
        <v>2300</v>
      </c>
      <c r="F48" s="2378"/>
      <c r="G48" s="2091"/>
      <c r="I48" s="2384" t="s">
        <v>2349</v>
      </c>
      <c r="J48" s="2391" t="s">
        <v>2355</v>
      </c>
      <c r="K48" s="2392" t="s">
        <v>2356</v>
      </c>
      <c r="L48" s="2393">
        <f ca="1">INDIRECT("'数据-取费表'!f"&amp;$G$1)</f>
        <v>20.37</v>
      </c>
      <c r="O48" s="2423" t="s">
        <v>2384</v>
      </c>
      <c r="P48" s="2424" t="s">
        <v>2410</v>
      </c>
      <c r="Q48" s="2425">
        <f ca="1">C40+J29</f>
        <v>10833</v>
      </c>
      <c r="R48" s="2424" t="s">
        <v>2385</v>
      </c>
    </row>
    <row r="49" spans="1:18" s="2060" customFormat="1" ht="18" customHeight="1" thickBot="1">
      <c r="A49" s="789"/>
      <c r="B49" s="790"/>
      <c r="C49" s="791"/>
      <c r="D49" s="792"/>
      <c r="E49" s="787" t="s">
        <v>639</v>
      </c>
      <c r="F49" s="788">
        <f ca="1">F7</f>
        <v>5395.86</v>
      </c>
      <c r="G49" s="2091"/>
      <c r="H49" s="2094"/>
      <c r="I49" s="2384" t="s">
        <v>2350</v>
      </c>
      <c r="J49" s="2394">
        <v>2019</v>
      </c>
      <c r="K49" s="2395" t="s">
        <v>2357</v>
      </c>
      <c r="L49" s="2396"/>
      <c r="O49" s="2423" t="s">
        <v>2386</v>
      </c>
      <c r="P49" s="2424" t="s">
        <v>2411</v>
      </c>
      <c r="Q49" s="2425" t="str">
        <f ca="1">J60</f>
        <v>0</v>
      </c>
      <c r="R49" s="2424" t="s">
        <v>2387</v>
      </c>
    </row>
    <row r="50" spans="1:18" s="2060" customFormat="1" ht="18" customHeight="1" thickBot="1">
      <c r="A50" s="789"/>
      <c r="B50" s="790"/>
      <c r="C50" s="791"/>
      <c r="D50" s="792"/>
      <c r="E50" s="787" t="s">
        <v>1742</v>
      </c>
      <c r="F50" s="788">
        <f ca="1">F8</f>
        <v>365</v>
      </c>
      <c r="G50" s="2096"/>
      <c r="H50" s="2094"/>
      <c r="I50" s="2384" t="s">
        <v>2351</v>
      </c>
      <c r="J50" s="2397">
        <f>SUMPRODUCT((I63:I65=J47)*(J62:L62=J48)*(J63:L65))</f>
        <v>60</v>
      </c>
      <c r="K50" s="2395" t="s">
        <v>2358</v>
      </c>
      <c r="L50" s="2396"/>
      <c r="O50" s="2426" t="s">
        <v>2388</v>
      </c>
      <c r="P50" s="2424" t="s">
        <v>2412</v>
      </c>
      <c r="Q50" s="2425">
        <f ca="1">C29</f>
        <v>2038</v>
      </c>
      <c r="R50" s="2424" t="s">
        <v>2385</v>
      </c>
    </row>
    <row r="51" spans="1:18" s="2060" customFormat="1" ht="18" customHeight="1" thickBot="1">
      <c r="A51" s="789"/>
      <c r="B51" s="790"/>
      <c r="C51" s="791"/>
      <c r="D51" s="792"/>
      <c r="E51" s="787" t="s">
        <v>641</v>
      </c>
      <c r="F51" s="2372"/>
      <c r="H51" s="2094"/>
      <c r="I51" s="2385" t="s">
        <v>2352</v>
      </c>
      <c r="J51" s="2398">
        <f>IF(J49="",J50,J49+J50-YEAR('数据-取费表'!B2))</f>
        <v>62</v>
      </c>
      <c r="K51" s="2384" t="s">
        <v>2359</v>
      </c>
      <c r="L51" s="2399">
        <f ca="1">ROUND(-PV(INDIRECT("'数据-取费表'!h"&amp;$G$1),L48,(C39-C13*J36),0),0)</f>
        <v>7944</v>
      </c>
      <c r="O51" s="2426" t="s">
        <v>2389</v>
      </c>
      <c r="P51" s="2424" t="s">
        <v>2390</v>
      </c>
      <c r="Q51" s="2427" t="e">
        <f ca="1">J58</f>
        <v>#VALUE!</v>
      </c>
      <c r="R51" s="2428"/>
    </row>
    <row r="52" spans="1:18" s="2060" customFormat="1" ht="18" customHeight="1" thickBot="1">
      <c r="A52" s="784" t="s">
        <v>2541</v>
      </c>
      <c r="B52" s="2519" t="s">
        <v>2463</v>
      </c>
      <c r="C52" s="802">
        <f ca="1">ROUND(IF(F52="押一",F48*F50*F49/12*F11,IF(F52="押二",F48*F50*F49/12*2*F11,IF(F52="押三",F48*F50*F49/12*3*F11,C53*F11)))/10000,0)</f>
        <v>0</v>
      </c>
      <c r="D52" s="2526" t="s">
        <v>2470</v>
      </c>
      <c r="E52" s="2523" t="s">
        <v>2468</v>
      </c>
      <c r="F52" s="2646"/>
      <c r="I52" s="2386" t="s">
        <v>2426</v>
      </c>
      <c r="J52" s="2400">
        <v>0.09</v>
      </c>
      <c r="K52" s="2386" t="s">
        <v>2425</v>
      </c>
      <c r="L52" s="2400"/>
      <c r="O52" s="2426" t="s">
        <v>2391</v>
      </c>
      <c r="P52" s="2424" t="s">
        <v>2392</v>
      </c>
      <c r="Q52" s="2427">
        <f>J52</f>
        <v>0.09</v>
      </c>
      <c r="R52" s="2428"/>
    </row>
    <row r="53" spans="1:18" s="2060" customFormat="1" ht="39.75" customHeight="1" thickBot="1">
      <c r="A53" s="789"/>
      <c r="B53" s="2520" t="s">
        <v>2578</v>
      </c>
      <c r="C53" s="2524"/>
      <c r="D53" s="2526"/>
      <c r="E53" s="2523"/>
      <c r="F53" s="803"/>
      <c r="I53" s="2387" t="s">
        <v>2353</v>
      </c>
      <c r="J53" s="2401">
        <f ca="1">IF(M47="住宅",J51,IF(D1="——",MIN(J51,L48),IF(D1="土地（套用方法）",MIN(J51,L48-'数据-取费表'!B20))))</f>
        <v>17.87</v>
      </c>
      <c r="K53" s="3414" t="s">
        <v>2974</v>
      </c>
      <c r="L53" s="3415"/>
      <c r="O53" s="2426" t="s">
        <v>2393</v>
      </c>
      <c r="P53" s="2424" t="s">
        <v>2394</v>
      </c>
      <c r="Q53" s="2425">
        <f ca="1">J53</f>
        <v>17.87</v>
      </c>
      <c r="R53" s="2424" t="s">
        <v>2395</v>
      </c>
    </row>
    <row r="54" spans="1:18" s="2060" customFormat="1" ht="18" customHeight="1" thickBot="1">
      <c r="A54" s="2562" t="s">
        <v>2472</v>
      </c>
      <c r="B54" s="2563" t="s">
        <v>2464</v>
      </c>
      <c r="C54" s="2564"/>
      <c r="D54" s="2526"/>
      <c r="E54" s="2523"/>
      <c r="F54" s="803"/>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2396</v>
      </c>
      <c r="P54" s="2424" t="s">
        <v>2413</v>
      </c>
      <c r="Q54" s="2425">
        <f ca="1">Q48+Q49</f>
        <v>10833</v>
      </c>
      <c r="R54" s="2428" t="s">
        <v>2397</v>
      </c>
    </row>
    <row r="55" spans="1:18" s="2060" customFormat="1" ht="18" customHeight="1" thickTop="1" thickBot="1">
      <c r="A55" s="800">
        <v>2</v>
      </c>
      <c r="B55" s="801" t="s">
        <v>645</v>
      </c>
      <c r="C55" s="802">
        <f ca="1">C13</f>
        <v>2038</v>
      </c>
      <c r="D55" s="798"/>
      <c r="E55" s="798"/>
      <c r="F55" s="803"/>
      <c r="I55" s="3127" t="s">
        <v>2360</v>
      </c>
      <c r="J55" s="3126" t="e">
        <f ca="1">ROUND(IF(J47="钢混",J57/J50,1-(1-2%)*(J50-J57)/J50),3)</f>
        <v>#VALUE!</v>
      </c>
      <c r="K55" s="2402" t="s">
        <v>2361</v>
      </c>
      <c r="L55" s="2403"/>
      <c r="O55" s="2429" t="s">
        <v>2416</v>
      </c>
      <c r="P55" s="1594"/>
      <c r="Q55" s="1606"/>
      <c r="R55" s="1594"/>
    </row>
    <row r="56" spans="1:18" s="2060" customFormat="1" ht="42.75" customHeight="1" thickBot="1">
      <c r="A56" s="1652"/>
      <c r="B56" s="2232" t="s">
        <v>2304</v>
      </c>
      <c r="C56" s="53">
        <f ca="1">C29</f>
        <v>2038</v>
      </c>
      <c r="D56" s="3167"/>
      <c r="E56" s="787"/>
      <c r="F56" s="812"/>
      <c r="I56" s="2404" t="s">
        <v>2362</v>
      </c>
      <c r="J56" s="3190" t="s">
        <v>1680</v>
      </c>
      <c r="K56" s="2384" t="s">
        <v>2367</v>
      </c>
      <c r="L56" s="2393" t="str">
        <f ca="1">IF(L48&lt;J51,"——",L48-J51)</f>
        <v>——</v>
      </c>
      <c r="O56" s="2420" t="s">
        <v>2380</v>
      </c>
      <c r="P56" s="2421" t="s">
        <v>2381</v>
      </c>
      <c r="Q56" s="2422" t="s">
        <v>2382</v>
      </c>
      <c r="R56" s="2421" t="s">
        <v>2383</v>
      </c>
    </row>
    <row r="57" spans="1:18" s="2060" customFormat="1" ht="28.5" customHeight="1" thickBot="1">
      <c r="A57" s="800" t="s">
        <v>1750</v>
      </c>
      <c r="B57" s="801" t="s">
        <v>652</v>
      </c>
      <c r="C57" s="802">
        <f ca="1">ROUND(C58+C63+C64+C65,0)</f>
        <v>52</v>
      </c>
      <c r="D57" s="26" t="s">
        <v>653</v>
      </c>
      <c r="E57" s="3177"/>
      <c r="F57" s="56"/>
      <c r="I57" s="2405" t="s">
        <v>2363</v>
      </c>
      <c r="J57" s="2407" t="str">
        <f ca="1">IF(OR(M47="住宅",J51&lt;L48,J56="是"),"——",J51-L48)</f>
        <v>——</v>
      </c>
      <c r="K57" s="2384" t="s">
        <v>2368</v>
      </c>
      <c r="L57" s="2393" t="str">
        <f ca="1">IF(L48&lt;J51,"——",IF(L55="比较法",L49,IF(L55="基准地价",L50,L51)))</f>
        <v>——</v>
      </c>
      <c r="O57" s="2423" t="s">
        <v>2384</v>
      </c>
      <c r="P57" s="2424" t="s">
        <v>2410</v>
      </c>
      <c r="Q57" s="2425">
        <f ca="1">C40+J29</f>
        <v>10833</v>
      </c>
      <c r="R57" s="2424" t="s">
        <v>2385</v>
      </c>
    </row>
    <row r="58" spans="1:18" s="2060" customFormat="1" ht="28.5" customHeight="1" thickBot="1">
      <c r="A58" s="1651" t="s">
        <v>1826</v>
      </c>
      <c r="B58" s="787" t="s">
        <v>657</v>
      </c>
      <c r="C58" s="53">
        <f ca="1">ROUND(IF(项目基本情况!B11="自然人",C47*F58,C59+C60+C61),1)</f>
        <v>17.600000000000001</v>
      </c>
      <c r="D58" s="3169" t="s">
        <v>658</v>
      </c>
      <c r="E58" s="3167" t="s">
        <v>691</v>
      </c>
      <c r="F58" s="813" t="str">
        <f ca="1">IF(项目基本情况!B11="企业","",IF(INDIRECT("'数据-取费表'!c"&amp;$G$1)="住宅",5%,IF(F48*F49*F50/12/(1+'数据-取费表'!C42)&gt;20000,12%,7%)))</f>
        <v/>
      </c>
      <c r="I58" s="2405" t="s">
        <v>2364</v>
      </c>
      <c r="J58" s="3128" t="e">
        <f ca="1">IF(J55&lt;0.4,0.4,J55)</f>
        <v>#VALUE!</v>
      </c>
      <c r="K58" s="2384" t="s">
        <v>2369</v>
      </c>
      <c r="L58" s="2393" t="e">
        <f ca="1">ROUND(POWER(1+L52,L47-L48)*(POWER(1+L52,L48)-1)/(POWER(1+L52,L47)-1),4)</f>
        <v>#DIV/0!</v>
      </c>
      <c r="O58" s="2423" t="s">
        <v>2386</v>
      </c>
      <c r="P58" s="2424" t="s">
        <v>2417</v>
      </c>
      <c r="Q58" s="2425">
        <f ca="1">L60</f>
        <v>0</v>
      </c>
      <c r="R58" s="2428" t="s">
        <v>2419</v>
      </c>
    </row>
    <row r="59" spans="1:18" s="2060" customFormat="1" ht="28.5" customHeight="1" thickBot="1">
      <c r="A59" s="1650" t="s">
        <v>1833</v>
      </c>
      <c r="B59" s="787" t="s">
        <v>661</v>
      </c>
      <c r="C59" s="53">
        <f ca="1">ROUND(C47*F59/1.05,1)</f>
        <v>0</v>
      </c>
      <c r="D59" s="3167" t="s">
        <v>1758</v>
      </c>
      <c r="E59" s="787" t="s">
        <v>650</v>
      </c>
      <c r="F59" s="812">
        <f t="shared" ref="F59:F65" si="0">F32</f>
        <v>5.6000000000000001E-2</v>
      </c>
      <c r="I59" s="2405" t="s">
        <v>2365</v>
      </c>
      <c r="J59" s="2407"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50" t="s">
        <v>1834</v>
      </c>
      <c r="B60" s="787" t="s">
        <v>665</v>
      </c>
      <c r="C60" s="53">
        <f ca="1">IF(D60="按租金收入计税",ROUND(C47*F60,1),IF(D60="按房产原值计税",ROUND(C56*F60*0.7,1),INDIRECT("'数据-取费表'!Aj"&amp;$G$1)))</f>
        <v>17.100000000000001</v>
      </c>
      <c r="D60" s="3167" t="str">
        <f>D33</f>
        <v>按房产原值计税</v>
      </c>
      <c r="E60" s="787" t="s">
        <v>650</v>
      </c>
      <c r="F60" s="812">
        <f t="shared" si="0"/>
        <v>1.2E-2</v>
      </c>
      <c r="I60" s="2406" t="s">
        <v>2366</v>
      </c>
      <c r="J60" s="2408" t="str">
        <f ca="1">IF(OR(M47="住宅",J51&lt;L48,J56="是"),"0",ROUND(J59/(1+J52)^J53,0))</f>
        <v>0</v>
      </c>
      <c r="K60" s="2409" t="s">
        <v>2371</v>
      </c>
      <c r="L60" s="2408">
        <f ca="1">IF(OR(M47="住宅",L48&lt;J51),0,ROUND(L57*(L58/L59-1),0))</f>
        <v>0</v>
      </c>
      <c r="O60" s="2426" t="s">
        <v>2389</v>
      </c>
      <c r="P60" s="2424" t="s">
        <v>2398</v>
      </c>
      <c r="Q60" s="2427">
        <f>L52</f>
        <v>0</v>
      </c>
      <c r="R60" s="2428"/>
    </row>
    <row r="61" spans="1:18" s="2060" customFormat="1" ht="18" customHeight="1" thickBot="1">
      <c r="A61" s="1653" t="s">
        <v>1835</v>
      </c>
      <c r="B61" s="344" t="s">
        <v>669</v>
      </c>
      <c r="C61" s="54">
        <f ca="1">ROUND(F61*F62/10000,1)</f>
        <v>0.5</v>
      </c>
      <c r="D61" s="817" t="s">
        <v>670</v>
      </c>
      <c r="E61" s="787" t="s">
        <v>671</v>
      </c>
      <c r="F61" s="643">
        <f t="shared" si="0"/>
        <v>3</v>
      </c>
      <c r="K61" s="2087"/>
      <c r="O61" s="2426" t="s">
        <v>2391</v>
      </c>
      <c r="P61" s="2424" t="s">
        <v>2399</v>
      </c>
      <c r="Q61" s="2425" t="e">
        <f ca="1">L58</f>
        <v>#DIV/0!</v>
      </c>
      <c r="R61" s="2428" t="s">
        <v>2400</v>
      </c>
    </row>
    <row r="62" spans="1:18" s="2060" customFormat="1" ht="15.75" thickBot="1">
      <c r="A62" s="818"/>
      <c r="B62" s="796"/>
      <c r="C62" s="69"/>
      <c r="D62" s="819"/>
      <c r="E62" s="787" t="s">
        <v>675</v>
      </c>
      <c r="F62" s="788">
        <f t="shared" ca="1" si="0"/>
        <v>1593.45</v>
      </c>
      <c r="I62" s="2410" t="s">
        <v>2372</v>
      </c>
      <c r="J62" s="2411" t="s">
        <v>2373</v>
      </c>
      <c r="K62" s="2411" t="s">
        <v>2374</v>
      </c>
      <c r="L62" s="2411" t="s">
        <v>2355</v>
      </c>
      <c r="M62" s="3129" t="s">
        <v>2949</v>
      </c>
      <c r="O62" s="2426" t="s">
        <v>2393</v>
      </c>
      <c r="P62" s="2424" t="str">
        <f>K59</f>
        <v>建设期及建筑物耐用年限下的土地年期修正系数Kn</v>
      </c>
      <c r="Q62" s="2425" t="e">
        <f ca="1">L59</f>
        <v>#DIV/0!</v>
      </c>
      <c r="R62" s="2428" t="s">
        <v>2402</v>
      </c>
    </row>
    <row r="63" spans="1:18" s="2060" customFormat="1" ht="15.75" thickBot="1">
      <c r="A63" s="1651" t="s">
        <v>1891</v>
      </c>
      <c r="B63" s="787" t="s">
        <v>677</v>
      </c>
      <c r="C63" s="53">
        <f ca="1">ROUND(C56*F63,1)</f>
        <v>30.6</v>
      </c>
      <c r="D63" s="3167" t="s">
        <v>692</v>
      </c>
      <c r="E63" s="787" t="s">
        <v>650</v>
      </c>
      <c r="F63" s="820">
        <f t="shared" ca="1" si="0"/>
        <v>1.4999999999999999E-2</v>
      </c>
      <c r="I63" s="2410" t="s">
        <v>2375</v>
      </c>
      <c r="J63" s="2411">
        <v>70</v>
      </c>
      <c r="K63" s="2411">
        <v>50</v>
      </c>
      <c r="L63" s="2411">
        <v>80</v>
      </c>
      <c r="M63" s="3130">
        <v>0.02</v>
      </c>
      <c r="O63" s="2423" t="s">
        <v>2396</v>
      </c>
      <c r="P63" s="2424" t="s">
        <v>2413</v>
      </c>
      <c r="Q63" s="2425">
        <f ca="1">Q57+Q58</f>
        <v>10833</v>
      </c>
      <c r="R63" s="2428" t="s">
        <v>2397</v>
      </c>
    </row>
    <row r="64" spans="1:18" s="2060" customFormat="1" ht="16.5" thickBot="1">
      <c r="A64" s="1651" t="s">
        <v>1892</v>
      </c>
      <c r="B64" s="787" t="s">
        <v>680</v>
      </c>
      <c r="C64" s="53">
        <f ca="1">ROUND(C55*F64,1)</f>
        <v>4.0999999999999996</v>
      </c>
      <c r="D64" s="3167" t="s">
        <v>681</v>
      </c>
      <c r="E64" s="787" t="s">
        <v>650</v>
      </c>
      <c r="F64" s="821">
        <f t="shared" ca="1" si="0"/>
        <v>2E-3</v>
      </c>
      <c r="I64" s="2410" t="s">
        <v>2376</v>
      </c>
      <c r="J64" s="2411">
        <v>50</v>
      </c>
      <c r="K64" s="2411">
        <v>35</v>
      </c>
      <c r="L64" s="2411">
        <v>60</v>
      </c>
      <c r="M64" s="3131">
        <v>0</v>
      </c>
      <c r="O64" s="2429" t="s">
        <v>2420</v>
      </c>
      <c r="P64" s="1594"/>
      <c r="Q64" s="1606"/>
      <c r="R64" s="1594"/>
    </row>
    <row r="65" spans="1:18" s="2060" customFormat="1" ht="15.75" thickBot="1">
      <c r="A65" s="1651" t="s">
        <v>1893</v>
      </c>
      <c r="B65" s="787" t="s">
        <v>667</v>
      </c>
      <c r="C65" s="53">
        <f ca="1">ROUND(C47*F65,1)</f>
        <v>0</v>
      </c>
      <c r="D65" s="3167" t="s">
        <v>684</v>
      </c>
      <c r="E65" s="787" t="s">
        <v>650</v>
      </c>
      <c r="F65" s="797">
        <f t="shared" ca="1" si="0"/>
        <v>0.01</v>
      </c>
      <c r="I65" s="2410" t="s">
        <v>2377</v>
      </c>
      <c r="J65" s="2411">
        <v>40</v>
      </c>
      <c r="K65" s="2411">
        <v>30</v>
      </c>
      <c r="L65" s="2411">
        <v>50</v>
      </c>
      <c r="M65" s="3130">
        <v>0.02</v>
      </c>
      <c r="O65" s="2420" t="s">
        <v>2380</v>
      </c>
      <c r="P65" s="2421" t="s">
        <v>2381</v>
      </c>
      <c r="Q65" s="2422" t="s">
        <v>2382</v>
      </c>
      <c r="R65" s="2421" t="s">
        <v>2383</v>
      </c>
    </row>
    <row r="66" spans="1:18" s="2060" customFormat="1" ht="24.75" thickBot="1">
      <c r="A66" s="800" t="s">
        <v>1778</v>
      </c>
      <c r="B66" s="3038" t="s">
        <v>2829</v>
      </c>
      <c r="C66" s="802">
        <f ca="1">C47-C57</f>
        <v>-52</v>
      </c>
      <c r="D66" s="3169" t="s">
        <v>701</v>
      </c>
      <c r="E66" s="3172"/>
      <c r="F66" s="823"/>
      <c r="K66" s="2087"/>
      <c r="O66" s="2423" t="s">
        <v>2384</v>
      </c>
      <c r="P66" s="2424" t="s">
        <v>2410</v>
      </c>
      <c r="Q66" s="2425">
        <f ca="1">C40+J29</f>
        <v>10833</v>
      </c>
      <c r="R66" s="2424" t="s">
        <v>2385</v>
      </c>
    </row>
    <row r="67" spans="1:18" s="2060" customFormat="1" ht="20.25" thickBot="1">
      <c r="A67" s="784" t="s">
        <v>1782</v>
      </c>
      <c r="B67" s="2233" t="s">
        <v>2305</v>
      </c>
      <c r="C67" s="786">
        <f ca="1">ROUND(C66*(1-((1+F69)/(1+F67))^F68)/(F67-F69),0)</f>
        <v>-582</v>
      </c>
      <c r="D67" s="817" t="s">
        <v>705</v>
      </c>
      <c r="E67" s="787" t="s">
        <v>706</v>
      </c>
      <c r="F67" s="797">
        <f ca="1">F40</f>
        <v>5.5E-2</v>
      </c>
      <c r="K67" s="2087"/>
      <c r="O67" s="2423" t="s">
        <v>2386</v>
      </c>
      <c r="P67" s="2424" t="s">
        <v>2417</v>
      </c>
      <c r="Q67" s="2425">
        <f ca="1">L60</f>
        <v>0</v>
      </c>
      <c r="R67" s="2428" t="s">
        <v>2419</v>
      </c>
    </row>
    <row r="68" spans="1:18" ht="21.75" thickBot="1">
      <c r="A68" s="789"/>
      <c r="B68" s="790"/>
      <c r="C68" s="791"/>
      <c r="D68" s="824" t="s">
        <v>1810</v>
      </c>
      <c r="E68" s="787" t="s">
        <v>709</v>
      </c>
      <c r="F68" s="825">
        <f ca="1">F41</f>
        <v>17.87</v>
      </c>
      <c r="O68" s="2426" t="s">
        <v>2388</v>
      </c>
      <c r="P68" s="2424" t="s">
        <v>2418</v>
      </c>
      <c r="Q68" s="2430">
        <f ca="1">L51</f>
        <v>7944</v>
      </c>
      <c r="R68" s="2431" t="s">
        <v>2421</v>
      </c>
    </row>
    <row r="69" spans="1:18" ht="20.25" thickBot="1">
      <c r="A69" s="793"/>
      <c r="B69" s="794"/>
      <c r="C69" s="795"/>
      <c r="D69" s="819"/>
      <c r="E69" s="787" t="s">
        <v>711</v>
      </c>
      <c r="F69" s="2372"/>
      <c r="O69" s="2426" t="s">
        <v>2389</v>
      </c>
      <c r="P69" s="2432" t="s">
        <v>2403</v>
      </c>
      <c r="Q69" s="2425">
        <f ca="1">ROUND(Q70-Q71*Q72,0)</f>
        <v>604</v>
      </c>
      <c r="R69" s="2428"/>
    </row>
    <row r="70" spans="1:18" ht="15.75" thickBot="1">
      <c r="A70" s="826" t="s">
        <v>1789</v>
      </c>
      <c r="B70" s="827" t="s">
        <v>1812</v>
      </c>
      <c r="C70" s="828">
        <f ca="1">ROUND(C67*10000/F70,0)</f>
        <v>-1079</v>
      </c>
      <c r="D70" s="829" t="s">
        <v>1813</v>
      </c>
      <c r="E70" s="830" t="s">
        <v>1814</v>
      </c>
      <c r="F70" s="831">
        <f ca="1">F43</f>
        <v>5395.86</v>
      </c>
      <c r="O70" s="2426" t="s">
        <v>2404</v>
      </c>
      <c r="P70" s="2432" t="s">
        <v>2405</v>
      </c>
      <c r="Q70" s="2425">
        <f ca="1">C39</f>
        <v>777</v>
      </c>
      <c r="R70" s="2424" t="s">
        <v>2385</v>
      </c>
    </row>
    <row r="71" spans="1:18" ht="15.75" thickBot="1">
      <c r="O71" s="2426" t="s">
        <v>2406</v>
      </c>
      <c r="P71" s="2432" t="s">
        <v>2407</v>
      </c>
      <c r="Q71" s="2425">
        <f ca="1">C13</f>
        <v>2038</v>
      </c>
      <c r="R71" s="2424" t="s">
        <v>2385</v>
      </c>
    </row>
    <row r="72" spans="1:18" ht="15.75" thickBot="1">
      <c r="O72" s="2426" t="s">
        <v>2408</v>
      </c>
      <c r="P72" s="2432" t="s">
        <v>2409</v>
      </c>
      <c r="Q72" s="2427">
        <f ca="1">J36</f>
        <v>8.5000000000000006E-2</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f ca="1">Q66+Q67</f>
        <v>10833</v>
      </c>
      <c r="R76" s="2428"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H32" sqref="H3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5" t="s">
        <v>1727</v>
      </c>
      <c r="B1" s="741"/>
      <c r="C1" s="776" t="s">
        <v>2994</v>
      </c>
      <c r="D1" s="3156" t="s">
        <v>3026</v>
      </c>
      <c r="E1" s="2412" t="s">
        <v>2379</v>
      </c>
      <c r="F1" s="2413">
        <f ca="1">J53</f>
        <v>27.88</v>
      </c>
      <c r="G1" s="777">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1728</v>
      </c>
      <c r="B2" s="778">
        <f ca="1">C40+J29+L46</f>
        <v>12018</v>
      </c>
      <c r="C2" s="2058"/>
      <c r="D2" s="2056"/>
      <c r="E2" s="2057"/>
      <c r="F2" s="2057"/>
      <c r="G2" s="1592"/>
      <c r="H2" s="2058"/>
      <c r="I2" s="2058"/>
      <c r="J2" s="2058"/>
      <c r="K2" s="2059"/>
      <c r="L2" s="2058"/>
      <c r="M2" s="2058"/>
    </row>
    <row r="3" spans="1:33" ht="18" customHeight="1" thickBot="1">
      <c r="A3" s="836" t="s">
        <v>1729</v>
      </c>
      <c r="B3" s="837">
        <f ca="1">IF(ISERROR(B2*10000/F43),0,ROUND(B2*10000/F43,0))</f>
        <v>1561</v>
      </c>
      <c r="C3" s="2058"/>
      <c r="D3" s="2056"/>
      <c r="E3" s="2057"/>
      <c r="F3" s="2057"/>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2462</v>
      </c>
      <c r="C5" s="55">
        <f ca="1">C6+C10+C12</f>
        <v>1423</v>
      </c>
      <c r="D5" s="2521" t="s">
        <v>2465</v>
      </c>
      <c r="E5" s="2515"/>
      <c r="F5" s="2516"/>
      <c r="G5" s="1594"/>
      <c r="H5" s="784">
        <v>1</v>
      </c>
      <c r="I5" s="785" t="s">
        <v>2462</v>
      </c>
      <c r="J5" s="55">
        <f ca="1">J6+J10+J12</f>
        <v>0</v>
      </c>
      <c r="K5" s="2521" t="s">
        <v>2465</v>
      </c>
      <c r="L5" s="2515"/>
      <c r="M5" s="2516"/>
    </row>
    <row r="6" spans="1:33" ht="18" customHeight="1">
      <c r="A6" s="1831" t="s">
        <v>1826</v>
      </c>
      <c r="B6" s="3410" t="s">
        <v>2467</v>
      </c>
      <c r="C6" s="786">
        <f ca="1">ROUND(F6*F8*F7*(1-F9)/10000,0)</f>
        <v>1423</v>
      </c>
      <c r="D6" s="2522" t="s">
        <v>2466</v>
      </c>
      <c r="E6" s="787" t="s">
        <v>1740</v>
      </c>
      <c r="F6" s="788">
        <f ca="1">INDIRECT("'数据-取费表'!u"&amp;$G$1)</f>
        <v>600</v>
      </c>
      <c r="G6" s="1594"/>
      <c r="H6" s="2529" t="s">
        <v>2473</v>
      </c>
      <c r="I6" s="3410" t="s">
        <v>2467</v>
      </c>
      <c r="J6" s="786">
        <f ca="1">ROUND(M6*M8*M7*(1-M9)/10000,0)</f>
        <v>0</v>
      </c>
      <c r="K6" s="344" t="s">
        <v>1739</v>
      </c>
      <c r="L6" s="787" t="s">
        <v>1740</v>
      </c>
      <c r="M6" s="788">
        <f ca="1">INDIRECT("'数据-取费表'!z"&amp;$G$1)</f>
        <v>0</v>
      </c>
    </row>
    <row r="7" spans="1:33" ht="18" customHeight="1">
      <c r="A7" s="2525"/>
      <c r="B7" s="3411"/>
      <c r="C7" s="791"/>
      <c r="D7" s="792"/>
      <c r="E7" s="787" t="s">
        <v>1741</v>
      </c>
      <c r="F7" s="788">
        <f ca="1">IF(INDIRECT("'数据-取费表'!ah"&amp;$G$1)="",INDIRECT("'数据-取费表'!k"&amp;$G$1),INDIRECT("'数据-取费表'!ah"&amp;$G$1))</f>
        <v>2081</v>
      </c>
      <c r="G7" s="1594"/>
      <c r="H7" s="2514"/>
      <c r="I7" s="3411"/>
      <c r="J7" s="791"/>
      <c r="K7" s="792"/>
      <c r="L7" s="787" t="s">
        <v>1741</v>
      </c>
      <c r="M7" s="788">
        <f ca="1">F7</f>
        <v>2081</v>
      </c>
    </row>
    <row r="8" spans="1:33" ht="18" customHeight="1">
      <c r="A8" s="2518"/>
      <c r="B8" s="3412"/>
      <c r="C8" s="791"/>
      <c r="D8" s="792"/>
      <c r="E8" s="787" t="s">
        <v>1742</v>
      </c>
      <c r="F8" s="788">
        <f ca="1">INDIRECT("'数据-取费表'!ai"&amp;$G$1)</f>
        <v>12</v>
      </c>
      <c r="G8" s="1594"/>
      <c r="H8" s="2514"/>
      <c r="I8" s="3412"/>
      <c r="J8" s="791"/>
      <c r="K8" s="792"/>
      <c r="L8" s="787" t="s">
        <v>1742</v>
      </c>
      <c r="M8" s="788">
        <f ca="1">INDIRECT("'数据-取费表'!ai"&amp;$G$1)</f>
        <v>12</v>
      </c>
    </row>
    <row r="9" spans="1:33" ht="18" customHeight="1">
      <c r="A9" s="789"/>
      <c r="B9" s="3413"/>
      <c r="C9" s="791"/>
      <c r="D9" s="792"/>
      <c r="E9" s="787" t="s">
        <v>1743</v>
      </c>
      <c r="F9" s="797">
        <f ca="1">INDIRECT("'数据-取费表'!w"&amp;$G$1)</f>
        <v>0.05</v>
      </c>
      <c r="G9" s="1594"/>
      <c r="H9" s="2530"/>
      <c r="I9" s="3412"/>
      <c r="J9" s="791"/>
      <c r="K9" s="792"/>
      <c r="L9" s="798" t="s">
        <v>1743</v>
      </c>
      <c r="M9" s="799">
        <f ca="1">INDIRECT("'数据-取费表'!ab"&amp;$G$1)</f>
        <v>0</v>
      </c>
    </row>
    <row r="10" spans="1:33" ht="18" hidden="1" customHeight="1">
      <c r="A10" s="1831" t="s">
        <v>2471</v>
      </c>
      <c r="B10" s="2519" t="s">
        <v>2463</v>
      </c>
      <c r="C10" s="802">
        <f ca="1">ROUND(IF(F10="押一",F6*F8*F7/12*F11,IF(F10="押二",F6*F8*F7/12*2*F11,IF(F10="押三",F6*F8*F7/12*3*F11,C11*F11)))/10000,0)</f>
        <v>0</v>
      </c>
      <c r="D10" s="2526" t="s">
        <v>2470</v>
      </c>
      <c r="E10" s="2523" t="s">
        <v>2468</v>
      </c>
      <c r="F10" s="2646" t="s">
        <v>3100</v>
      </c>
      <c r="G10" s="1594"/>
      <c r="H10" s="2586" t="s">
        <v>2474</v>
      </c>
      <c r="I10" s="2591" t="s">
        <v>2463</v>
      </c>
      <c r="J10" s="786">
        <f ca="1">ROUND(IF(M10="押一",M6*M8*M7/12*M11,IF(M10="押二",M6*M8*M7/12*2*M11,IF(M10="押三",M6*M8*M7/12*3*M11,J11*M11)))/10000,0)</f>
        <v>0</v>
      </c>
      <c r="K10" s="2526" t="s">
        <v>2470</v>
      </c>
      <c r="L10" s="2523" t="s">
        <v>2468</v>
      </c>
      <c r="M10" s="2646"/>
    </row>
    <row r="11" spans="1:33" ht="18" hidden="1" customHeight="1">
      <c r="A11" s="793"/>
      <c r="B11" s="2520" t="s">
        <v>2578</v>
      </c>
      <c r="C11" s="2524"/>
      <c r="D11" s="792"/>
      <c r="E11" s="2523" t="s">
        <v>2469</v>
      </c>
      <c r="F11" s="799">
        <f ca="1">'数据-取费表'!B39</f>
        <v>1.4999999999999999E-2</v>
      </c>
      <c r="G11" s="1594"/>
      <c r="H11" s="2587"/>
      <c r="I11" s="2520" t="s">
        <v>2578</v>
      </c>
      <c r="J11" s="2524"/>
      <c r="K11" s="2588"/>
      <c r="L11" s="2523" t="s">
        <v>2469</v>
      </c>
      <c r="M11" s="2517">
        <f ca="1">'数据-取费表'!B39</f>
        <v>1.4999999999999999E-2</v>
      </c>
    </row>
    <row r="12" spans="1:33" ht="18" hidden="1" customHeight="1" thickBot="1">
      <c r="A12" s="2562" t="s">
        <v>2472</v>
      </c>
      <c r="B12" s="2563" t="s">
        <v>2464</v>
      </c>
      <c r="C12" s="2564"/>
      <c r="D12" s="2565"/>
      <c r="E12" s="2566"/>
      <c r="F12" s="2567"/>
      <c r="G12" s="1594"/>
      <c r="H12" s="2576" t="s">
        <v>2475</v>
      </c>
      <c r="I12" s="2589" t="s">
        <v>2464</v>
      </c>
      <c r="J12" s="2590"/>
      <c r="K12" s="2565"/>
      <c r="L12" s="2566"/>
      <c r="M12" s="2579"/>
    </row>
    <row r="13" spans="1:33" ht="18" customHeight="1">
      <c r="A13" s="1830">
        <v>2</v>
      </c>
      <c r="B13" s="1828" t="s">
        <v>1744</v>
      </c>
      <c r="C13" s="795">
        <f ca="1">ROUND(C29*F13,0)</f>
        <v>25057</v>
      </c>
      <c r="D13" s="1835" t="s">
        <v>2301</v>
      </c>
      <c r="E13" s="1835" t="s">
        <v>1746</v>
      </c>
      <c r="F13" s="2561">
        <f ca="1">INDIRECT("'数据-取费表'!y"&amp;$G$1)</f>
        <v>1</v>
      </c>
      <c r="G13" s="1594"/>
      <c r="H13" s="1830">
        <v>2</v>
      </c>
      <c r="I13" s="1828" t="s">
        <v>1744</v>
      </c>
      <c r="J13" s="1820">
        <f ca="1">ROUND(J14*J15,0)</f>
        <v>25057</v>
      </c>
      <c r="K13" s="1822" t="s">
        <v>1745</v>
      </c>
      <c r="L13" s="2577"/>
      <c r="M13" s="2578"/>
    </row>
    <row r="14" spans="1:33" ht="18" customHeight="1">
      <c r="A14" s="1650" t="s">
        <v>1886</v>
      </c>
      <c r="B14" s="787" t="s">
        <v>646</v>
      </c>
      <c r="C14" s="807">
        <f ca="1">INDIRECT("'数据-取费表'!m"&amp;$G$1)+INDIRECT("'数据-取费表'!t"&amp;$G$1)</f>
        <v>18479</v>
      </c>
      <c r="D14" s="1980" t="s">
        <v>1747</v>
      </c>
      <c r="E14" s="1981"/>
      <c r="F14" s="808"/>
      <c r="G14" s="1594"/>
      <c r="H14" s="1651" t="s">
        <v>1832</v>
      </c>
      <c r="I14" s="2232" t="s">
        <v>2833</v>
      </c>
      <c r="J14" s="53">
        <f ca="1">C29</f>
        <v>25057</v>
      </c>
      <c r="K14" s="26"/>
      <c r="L14" s="804"/>
      <c r="M14" s="805"/>
    </row>
    <row r="15" spans="1:33" s="2065" customFormat="1" ht="18" customHeight="1" thickBot="1">
      <c r="A15" s="1650" t="s">
        <v>1887</v>
      </c>
      <c r="B15" s="787" t="s">
        <v>648</v>
      </c>
      <c r="C15" s="53">
        <f ca="1">ROUND(C14*F15,0)</f>
        <v>554</v>
      </c>
      <c r="D15" s="809" t="s">
        <v>1748</v>
      </c>
      <c r="E15" s="809" t="s">
        <v>1749</v>
      </c>
      <c r="F15" s="810">
        <f>'数据-取费表'!B33</f>
        <v>0.03</v>
      </c>
      <c r="G15" s="1595"/>
      <c r="H15" s="2576" t="s">
        <v>1891</v>
      </c>
      <c r="I15" s="2571" t="s">
        <v>1746</v>
      </c>
      <c r="J15" s="2580">
        <f ca="1">INDIRECT("'数据-取费表'!ad"&amp;$G$1)</f>
        <v>1</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50" t="s">
        <v>1888</v>
      </c>
      <c r="B16" s="787" t="s">
        <v>651</v>
      </c>
      <c r="C16" s="53">
        <f ca="1">ROUND(INDIRECT("'数据-取费表'!m"&amp;$G$1)*F16,0)</f>
        <v>0</v>
      </c>
      <c r="D16" s="787" t="s">
        <v>1748</v>
      </c>
      <c r="E16" s="787" t="s">
        <v>1749</v>
      </c>
      <c r="F16" s="812">
        <f ca="1">IF(INDIRECT("'数据-取费表'!c"&amp;$G$1)="住宅",'数据-取费表'!B34,0)</f>
        <v>0</v>
      </c>
      <c r="G16" s="1594"/>
      <c r="H16" s="1830" t="s">
        <v>1750</v>
      </c>
      <c r="I16" s="1828" t="s">
        <v>1751</v>
      </c>
      <c r="J16" s="795">
        <f ca="1">ROUND(J17+J22+J23+J24,0)</f>
        <v>644</v>
      </c>
      <c r="K16" s="1822" t="s">
        <v>1752</v>
      </c>
      <c r="L16" s="2511"/>
      <c r="M16" s="2516"/>
    </row>
    <row r="17" spans="1:33" s="2065" customFormat="1" ht="18" customHeight="1">
      <c r="A17" s="1650" t="s">
        <v>1889</v>
      </c>
      <c r="B17" s="787" t="s">
        <v>654</v>
      </c>
      <c r="C17" s="53">
        <f ca="1">ROUND(F17*(F43+INDIRECT("'数据-取费表'!S"&amp;$G$1))/10000,0)</f>
        <v>1540</v>
      </c>
      <c r="D17" s="787" t="s">
        <v>1753</v>
      </c>
      <c r="E17" s="787" t="s">
        <v>1754</v>
      </c>
      <c r="F17" s="56">
        <f>'数据-取费表'!B35</f>
        <v>200</v>
      </c>
      <c r="G17" s="1595"/>
      <c r="H17" s="1651" t="s">
        <v>1832</v>
      </c>
      <c r="I17" s="787" t="s">
        <v>657</v>
      </c>
      <c r="J17" s="53">
        <f ca="1">ROUND(IF(项目基本情况!B11="自然人",J5*M17,J18+J19+J20),0)</f>
        <v>218</v>
      </c>
      <c r="K17" s="2510" t="s">
        <v>1755</v>
      </c>
      <c r="L17" s="2509" t="s">
        <v>1756</v>
      </c>
      <c r="M17" s="813"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50" t="s">
        <v>1890</v>
      </c>
      <c r="B18" s="787" t="s">
        <v>660</v>
      </c>
      <c r="C18" s="53">
        <f ca="1">ROUND(C14*F18,0)</f>
        <v>277</v>
      </c>
      <c r="D18" s="787" t="s">
        <v>1748</v>
      </c>
      <c r="E18" s="787" t="s">
        <v>1749</v>
      </c>
      <c r="F18" s="812">
        <f>'数据-取费表'!B36</f>
        <v>1.4999999999999999E-2</v>
      </c>
      <c r="G18" s="1595"/>
      <c r="H18" s="1650" t="s">
        <v>1886</v>
      </c>
      <c r="I18" s="787" t="s">
        <v>1757</v>
      </c>
      <c r="J18" s="53">
        <f ca="1">ROUND(J5*M18/1.05,1)</f>
        <v>0</v>
      </c>
      <c r="K18" s="2509" t="s">
        <v>1758</v>
      </c>
      <c r="L18" s="787" t="s">
        <v>1749</v>
      </c>
      <c r="M18" s="812">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1" t="s">
        <v>1832</v>
      </c>
      <c r="B19" s="787" t="s">
        <v>663</v>
      </c>
      <c r="C19" s="53">
        <f ca="1">SUM(C14:C18)</f>
        <v>20850</v>
      </c>
      <c r="D19" s="261" t="s">
        <v>1759</v>
      </c>
      <c r="E19" s="1983"/>
      <c r="F19" s="56"/>
      <c r="G19" s="1594"/>
      <c r="H19" s="1650" t="s">
        <v>1887</v>
      </c>
      <c r="I19" s="787" t="s">
        <v>1760</v>
      </c>
      <c r="J19" s="53">
        <f ca="1">IF(K19="按租金收入计税",ROUND(J5*M19,1),ROUND(C29*F33*0.7,1))</f>
        <v>210.5</v>
      </c>
      <c r="K19" s="814" t="s">
        <v>666</v>
      </c>
      <c r="L19" s="787" t="s">
        <v>1749</v>
      </c>
      <c r="M19" s="812">
        <f>IF(K19="按租金收入计税",'数据-取费表'!B51,'数据-取费表'!B50)</f>
        <v>1.2E-2</v>
      </c>
    </row>
    <row r="20" spans="1:33" s="2065" customFormat="1" ht="18" customHeight="1">
      <c r="A20" s="1651" t="s">
        <v>1891</v>
      </c>
      <c r="B20" s="787" t="s">
        <v>667</v>
      </c>
      <c r="C20" s="53">
        <f ca="1">ROUND(C19*F20,0)</f>
        <v>417</v>
      </c>
      <c r="D20" s="815" t="s">
        <v>1761</v>
      </c>
      <c r="E20" s="787" t="s">
        <v>1749</v>
      </c>
      <c r="F20" s="812">
        <f>'数据-取费表'!B37</f>
        <v>0.02</v>
      </c>
      <c r="G20" s="1595"/>
      <c r="H20" s="1653" t="s">
        <v>1882</v>
      </c>
      <c r="I20" s="344" t="s">
        <v>1762</v>
      </c>
      <c r="J20" s="54">
        <f ca="1">ROUND(M20*M21/10000,0)</f>
        <v>7</v>
      </c>
      <c r="K20" s="817" t="s">
        <v>1763</v>
      </c>
      <c r="L20" s="787" t="s">
        <v>1764</v>
      </c>
      <c r="M20" s="643">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1" t="s">
        <v>1892</v>
      </c>
      <c r="B21" s="787" t="s">
        <v>1765</v>
      </c>
      <c r="C21" s="53" t="s">
        <v>1766</v>
      </c>
      <c r="D21" s="815" t="s">
        <v>2302</v>
      </c>
      <c r="E21" s="787" t="s">
        <v>1767</v>
      </c>
      <c r="F21" s="812">
        <f>'数据-取费表'!B38</f>
        <v>0.02</v>
      </c>
      <c r="G21" s="1595"/>
      <c r="H21" s="2531"/>
      <c r="I21" s="796"/>
      <c r="J21" s="69"/>
      <c r="K21" s="819"/>
      <c r="L21" s="787" t="s">
        <v>1768</v>
      </c>
      <c r="M21" s="788">
        <f ca="1">INDIRECT("'数据-取费表'!r"&amp;$G$1)</f>
        <v>22728.61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1" t="s">
        <v>1893</v>
      </c>
      <c r="B22" s="787" t="s">
        <v>1769</v>
      </c>
      <c r="C22" s="53"/>
      <c r="D22" s="2597" t="str">
        <f>IF(F23&lt;=1,"单利计息。","复利计息。")&amp;"建造成本、管理费用、销售费用产生的利息。"</f>
        <v>复利计息。建造成本、管理费用、销售费用产生的利息。</v>
      </c>
      <c r="E22" s="1983"/>
      <c r="F22" s="56"/>
      <c r="G22" s="1594"/>
      <c r="H22" s="1651" t="s">
        <v>1891</v>
      </c>
      <c r="I22" s="787" t="s">
        <v>1770</v>
      </c>
      <c r="J22" s="53">
        <f ca="1">ROUND(J14*M22,0)</f>
        <v>376</v>
      </c>
      <c r="K22" s="2509" t="s">
        <v>1771</v>
      </c>
      <c r="L22" s="787" t="s">
        <v>1749</v>
      </c>
      <c r="M22" s="820">
        <f ca="1">INDIRECT("'数据-取费表'!Ak"&amp;$G$1)</f>
        <v>1.4999999999999999E-2</v>
      </c>
    </row>
    <row r="23" spans="1:33" s="2065" customFormat="1" ht="18" customHeight="1">
      <c r="A23" s="1650" t="s">
        <v>1833</v>
      </c>
      <c r="B23" s="787" t="s">
        <v>2540</v>
      </c>
      <c r="C23" s="53">
        <f ca="1">ROUND(IF('数据-取费表'!B22&lt;=1,(C19+C20)*F24*F23/2,(C19+C20)*(POWER((1+F24),F23/2)-1)),0)</f>
        <v>1270</v>
      </c>
      <c r="D23" s="2596" t="str">
        <f>IF(F23&lt;=1,"(建造成本+管理费用)×利率×(建设周期÷2)","(建造成本+管理费用)×((1+利率)^(建设周期÷2)-1)")</f>
        <v>(建造成本+管理费用)×((1+利率)^(建设周期÷2)-1)</v>
      </c>
      <c r="E23" s="787" t="s">
        <v>1772</v>
      </c>
      <c r="F23" s="643">
        <f>'数据-取费表'!B20</f>
        <v>2.5</v>
      </c>
      <c r="G23" s="1595"/>
      <c r="H23" s="1651" t="s">
        <v>1892</v>
      </c>
      <c r="I23" s="787" t="s">
        <v>680</v>
      </c>
      <c r="J23" s="53">
        <f ca="1">ROUND(J13*M23,0)</f>
        <v>50</v>
      </c>
      <c r="K23" s="2509" t="s">
        <v>1773</v>
      </c>
      <c r="L23" s="787" t="s">
        <v>1749</v>
      </c>
      <c r="M23" s="821">
        <f ca="1">INDIRECT("'数据-取费表'!Al"&amp;$G$1)</f>
        <v>2E-3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50" t="s">
        <v>1834</v>
      </c>
      <c r="B24" s="787" t="s">
        <v>1774</v>
      </c>
      <c r="C24" s="53">
        <f ca="1">ROUND(IF('数据-取费表'!B22&lt;=1,F21*F24*F23/2,F21*(POWER((1+F24),F23/2)-1)),4)</f>
        <v>1.1999999999999999E-3</v>
      </c>
      <c r="D24" s="2596" t="str">
        <f>IF(F23&lt;=1,"销售费用×利率×(建设周期÷2)","销售费用×((1+利率)^(建设周期÷2)-1)")</f>
        <v>销售费用×((1+利率)^(建设周期÷2)-1)</v>
      </c>
      <c r="E24" s="787" t="s">
        <v>1775</v>
      </c>
      <c r="F24" s="822">
        <f ca="1">'数据-取费表'!B40</f>
        <v>4.7500000000000001E-2</v>
      </c>
      <c r="G24" s="1595"/>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2" t="s">
        <v>1842</v>
      </c>
      <c r="B25" s="787" t="s">
        <v>685</v>
      </c>
      <c r="C25" s="53"/>
      <c r="D25" s="261" t="s">
        <v>1777</v>
      </c>
      <c r="E25" s="1983"/>
      <c r="F25" s="56"/>
      <c r="G25" s="1594"/>
      <c r="H25" s="1830" t="s">
        <v>1778</v>
      </c>
      <c r="I25" s="3037" t="s">
        <v>2829</v>
      </c>
      <c r="J25" s="795">
        <f ca="1">J5-J16</f>
        <v>-644</v>
      </c>
      <c r="K25" s="2573" t="s">
        <v>1779</v>
      </c>
      <c r="L25" s="2574"/>
      <c r="M25" s="2575"/>
    </row>
    <row r="26" spans="1:33" ht="18" customHeight="1">
      <c r="A26" s="1650" t="s">
        <v>1833</v>
      </c>
      <c r="B26" s="787" t="s">
        <v>2443</v>
      </c>
      <c r="C26" s="53">
        <f ca="1">ROUND((C19+C20)*F26,0)</f>
        <v>638</v>
      </c>
      <c r="D26" s="815" t="s">
        <v>1780</v>
      </c>
      <c r="E26" s="798" t="s">
        <v>1781</v>
      </c>
      <c r="F26" s="797">
        <f ca="1">INDIRECT("'数据-取费表'!q"&amp;$G$1)</f>
        <v>0.03</v>
      </c>
      <c r="G26" s="1594"/>
      <c r="H26" s="2527" t="s">
        <v>1782</v>
      </c>
      <c r="I26" s="2233" t="s">
        <v>2834</v>
      </c>
      <c r="J26" s="786">
        <f ca="1">IF(J5&lt;&gt;0,ROUND(J25*(1-((1+M28)/(1+M26))^M27)/(M26-M28),0),0)</f>
        <v>0</v>
      </c>
      <c r="K26" s="817" t="s">
        <v>1783</v>
      </c>
      <c r="L26" s="787" t="s">
        <v>2424</v>
      </c>
      <c r="M26" s="797">
        <f ca="1">INDIRECT("'数据-取费表'!I"&amp;$G$1)</f>
        <v>5.5E-2</v>
      </c>
    </row>
    <row r="27" spans="1:33" ht="18" customHeight="1">
      <c r="A27" s="1650" t="s">
        <v>1834</v>
      </c>
      <c r="B27" s="787" t="s">
        <v>687</v>
      </c>
      <c r="C27" s="53">
        <f ca="1">ROUND(F21*F26,4)</f>
        <v>5.9999999999999995E-4</v>
      </c>
      <c r="D27" s="815" t="s">
        <v>1784</v>
      </c>
      <c r="E27" s="809"/>
      <c r="F27" s="810"/>
      <c r="G27" s="1594"/>
      <c r="H27" s="2528"/>
      <c r="I27" s="790"/>
      <c r="J27" s="791"/>
      <c r="K27" s="824" t="s">
        <v>1785</v>
      </c>
      <c r="L27" s="787" t="s">
        <v>1786</v>
      </c>
      <c r="M27" s="825">
        <f ca="1">INDIRECT("'数据-取费表'!ag"&amp;$G$1)</f>
        <v>0</v>
      </c>
    </row>
    <row r="28" spans="1:33" s="2065" customFormat="1" ht="18" customHeight="1">
      <c r="A28" s="1652" t="s">
        <v>1843</v>
      </c>
      <c r="B28" s="787" t="s">
        <v>688</v>
      </c>
      <c r="C28" s="53">
        <f>ROUND(F28/(1+'数据-取费表'!C42),4)</f>
        <v>5.33E-2</v>
      </c>
      <c r="D28" s="815" t="s">
        <v>2303</v>
      </c>
      <c r="E28" s="787" t="s">
        <v>1787</v>
      </c>
      <c r="F28" s="812">
        <f>'数据-取费表'!B41</f>
        <v>5.6000000000000001E-2</v>
      </c>
      <c r="G28" s="1595"/>
      <c r="H28" s="1830"/>
      <c r="I28" s="794"/>
      <c r="J28" s="795"/>
      <c r="K28" s="819"/>
      <c r="L28" s="787" t="s">
        <v>1788</v>
      </c>
      <c r="M28" s="797">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25057</v>
      </c>
      <c r="D29" s="2570"/>
      <c r="E29" s="2571"/>
      <c r="F29" s="2572"/>
      <c r="G29" s="1595"/>
      <c r="H29" s="826" t="s">
        <v>1789</v>
      </c>
      <c r="I29" s="827" t="s">
        <v>1790</v>
      </c>
      <c r="J29" s="828">
        <f ca="1">ROUND(J26/(1+F40)^F41,0)</f>
        <v>0</v>
      </c>
      <c r="K29" s="829" t="s">
        <v>1791</v>
      </c>
      <c r="L29" s="830"/>
      <c r="M29" s="831">
        <f ca="1">INDIRECT("'数据-取费表'!k"&amp;$G$1)</f>
        <v>76965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5">
        <f ca="1">ROUND(C31+C36+C37+C38,0)</f>
        <v>733</v>
      </c>
      <c r="D30" s="1822" t="s">
        <v>1793</v>
      </c>
      <c r="E30" s="2511"/>
      <c r="F30" s="2516"/>
      <c r="G30" s="2063"/>
      <c r="H30" s="2066"/>
      <c r="I30" s="2067"/>
      <c r="J30" s="2068"/>
      <c r="K30" s="2069"/>
      <c r="L30" s="2070"/>
      <c r="M30" s="2071"/>
    </row>
    <row r="31" spans="1:33" ht="18" customHeight="1">
      <c r="A31" s="1651" t="s">
        <v>1832</v>
      </c>
      <c r="B31" s="787" t="s">
        <v>657</v>
      </c>
      <c r="C31" s="53">
        <f ca="1">ROUND(IF(项目基本情况!B11="自然人",C5*F31,C32+C33+C34),1)</f>
        <v>293.2</v>
      </c>
      <c r="D31" s="1980" t="s">
        <v>1794</v>
      </c>
      <c r="E31" s="1978" t="s">
        <v>1795</v>
      </c>
      <c r="F31" s="813" t="str">
        <f ca="1">IF(项目基本情况!B11="企业","",IF(INDIRECT("'数据-取费表'!c"&amp;$G$1)="住宅",5%,IF(F6*F7*F8/12/(1+'数据-取费表'!C42)&gt;20000,12%,7%)))</f>
        <v/>
      </c>
      <c r="G31" s="2063"/>
      <c r="H31" s="2066"/>
      <c r="I31" s="2067"/>
      <c r="J31" s="2068"/>
      <c r="K31" s="2069"/>
      <c r="L31" s="2070"/>
      <c r="M31" s="2071"/>
    </row>
    <row r="32" spans="1:33" ht="18" customHeight="1">
      <c r="A32" s="1650" t="s">
        <v>1833</v>
      </c>
      <c r="B32" s="787" t="s">
        <v>1796</v>
      </c>
      <c r="C32" s="53">
        <f ca="1">ROUND(C5*F32/1.05,1)</f>
        <v>75.900000000000006</v>
      </c>
      <c r="D32" s="1978" t="s">
        <v>1797</v>
      </c>
      <c r="E32" s="787" t="s">
        <v>1798</v>
      </c>
      <c r="F32" s="812">
        <f>'数据-取费表'!B41</f>
        <v>5.6000000000000001E-2</v>
      </c>
      <c r="G32" s="2063"/>
      <c r="H32" s="2072"/>
      <c r="I32" s="2073"/>
      <c r="J32" s="2074"/>
      <c r="K32" s="2075"/>
      <c r="L32" s="2076"/>
      <c r="M32" s="2077"/>
    </row>
    <row r="33" spans="1:18" ht="18" customHeight="1">
      <c r="A33" s="1650" t="s">
        <v>1834</v>
      </c>
      <c r="B33" s="787" t="s">
        <v>1799</v>
      </c>
      <c r="C33" s="53">
        <f ca="1">IF(D33="按租金收入计税",ROUND(C5*F33,1),IF(D33="按房产原值计税",ROUND(C29*F33*0.7,1),INDIRECT("'数据-取费表'!Aj"&amp;$G$1)))</f>
        <v>210.5</v>
      </c>
      <c r="D33" s="814" t="s">
        <v>1682</v>
      </c>
      <c r="E33" s="787" t="s">
        <v>1798</v>
      </c>
      <c r="F33" s="812">
        <f>IF(D33="按租金收入计税",'数据-取费表'!B51,'数据-取费表'!B50)</f>
        <v>1.2E-2</v>
      </c>
      <c r="G33" s="2063"/>
      <c r="H33" s="2078"/>
      <c r="I33" s="2078"/>
      <c r="J33" s="2078"/>
      <c r="K33" s="2079"/>
      <c r="L33" s="2078"/>
      <c r="M33" s="2078"/>
    </row>
    <row r="34" spans="1:18" ht="18" customHeight="1">
      <c r="A34" s="1653" t="s">
        <v>1835</v>
      </c>
      <c r="B34" s="344" t="s">
        <v>1800</v>
      </c>
      <c r="C34" s="54">
        <f ca="1">ROUND(F34*F35/10000,1)</f>
        <v>6.8</v>
      </c>
      <c r="D34" s="817" t="s">
        <v>1801</v>
      </c>
      <c r="E34" s="787" t="s">
        <v>1802</v>
      </c>
      <c r="F34" s="643">
        <f>'数据-取费表'!B52</f>
        <v>3</v>
      </c>
      <c r="G34" s="2063"/>
      <c r="H34" s="2066"/>
      <c r="I34" s="838" t="s">
        <v>1815</v>
      </c>
      <c r="J34" s="839"/>
      <c r="K34" s="2081"/>
      <c r="L34" s="2080"/>
      <c r="M34" s="2080"/>
    </row>
    <row r="35" spans="1:18" ht="18" customHeight="1">
      <c r="A35" s="818"/>
      <c r="B35" s="796"/>
      <c r="C35" s="69"/>
      <c r="D35" s="819"/>
      <c r="E35" s="787" t="s">
        <v>1803</v>
      </c>
      <c r="F35" s="788">
        <f ca="1">INDIRECT("'数据-取费表'!r"&amp;$G$1)</f>
        <v>22728.61</v>
      </c>
      <c r="G35" s="2063"/>
      <c r="H35" s="2066"/>
      <c r="I35" s="840" t="s">
        <v>1816</v>
      </c>
      <c r="J35" s="841">
        <f ca="1">ROUND(C13*J36,0)</f>
        <v>2130</v>
      </c>
      <c r="K35" s="2079"/>
      <c r="L35" s="2078"/>
      <c r="M35" s="2078"/>
    </row>
    <row r="36" spans="1:18" ht="18" customHeight="1">
      <c r="A36" s="1651" t="s">
        <v>1891</v>
      </c>
      <c r="B36" s="787" t="s">
        <v>1804</v>
      </c>
      <c r="C36" s="53">
        <f ca="1">ROUND(C29*F36,1)</f>
        <v>375.9</v>
      </c>
      <c r="D36" s="1978" t="s">
        <v>1805</v>
      </c>
      <c r="E36" s="787" t="s">
        <v>1798</v>
      </c>
      <c r="F36" s="820">
        <f ca="1">INDIRECT("'数据-取费表'!Ak"&amp;$G$1)</f>
        <v>1.4999999999999999E-2</v>
      </c>
      <c r="G36" s="2063"/>
      <c r="H36" s="2078"/>
      <c r="I36" s="842" t="s">
        <v>1817</v>
      </c>
      <c r="J36" s="843">
        <f ca="1">INDIRECT("'数据-取费表'!j"&amp;$G$1)</f>
        <v>8.5000000000000006E-2</v>
      </c>
      <c r="K36" s="2083"/>
      <c r="L36" s="2078"/>
      <c r="M36" s="2078"/>
    </row>
    <row r="37" spans="1:18" ht="18" customHeight="1">
      <c r="A37" s="1651" t="s">
        <v>1892</v>
      </c>
      <c r="B37" s="787" t="s">
        <v>680</v>
      </c>
      <c r="C37" s="53">
        <f ca="1">ROUND(C13*F37,1)</f>
        <v>50.1</v>
      </c>
      <c r="D37" s="1978" t="s">
        <v>1806</v>
      </c>
      <c r="E37" s="787" t="s">
        <v>1798</v>
      </c>
      <c r="F37" s="821">
        <f ca="1">INDIRECT("'数据-取费表'!Al"&amp;$G$1)</f>
        <v>2E-3</v>
      </c>
      <c r="G37" s="2063"/>
      <c r="H37" s="2078"/>
      <c r="I37" s="844" t="s">
        <v>1818</v>
      </c>
      <c r="J37" s="845"/>
      <c r="K37" s="2083"/>
      <c r="L37" s="2078"/>
      <c r="M37" s="2078"/>
    </row>
    <row r="38" spans="1:18" ht="18" customHeight="1" thickBot="1">
      <c r="A38" s="2576" t="s">
        <v>1893</v>
      </c>
      <c r="B38" s="2571" t="s">
        <v>667</v>
      </c>
      <c r="C38" s="2569">
        <f ca="1">ROUND(C5*F38,1)</f>
        <v>14.2</v>
      </c>
      <c r="D38" s="2570" t="s">
        <v>1807</v>
      </c>
      <c r="E38" s="2571" t="s">
        <v>1798</v>
      </c>
      <c r="F38" s="2567">
        <f ca="1">INDIRECT("'数据-取费表'!Am"&amp;$G$1)</f>
        <v>0.01</v>
      </c>
      <c r="G38" s="2063"/>
      <c r="H38" s="2078"/>
      <c r="I38" s="846" t="s">
        <v>1819</v>
      </c>
      <c r="J38" s="847"/>
      <c r="K38" s="2084"/>
      <c r="L38" s="2078"/>
      <c r="M38" s="2078"/>
    </row>
    <row r="39" spans="1:18" ht="24.6" customHeight="1" thickTop="1">
      <c r="A39" s="1830" t="s">
        <v>1896</v>
      </c>
      <c r="B39" s="3037" t="s">
        <v>2829</v>
      </c>
      <c r="C39" s="795">
        <f ca="1">C5-C30</f>
        <v>690</v>
      </c>
      <c r="D39" s="2573" t="s">
        <v>1808</v>
      </c>
      <c r="E39" s="2574"/>
      <c r="F39" s="2575"/>
      <c r="G39" s="2063"/>
      <c r="H39" s="2078"/>
      <c r="I39" s="840" t="s">
        <v>1820</v>
      </c>
      <c r="J39" s="848">
        <f ca="1">ROUND(J35/C39,3)</f>
        <v>3.0870000000000002</v>
      </c>
      <c r="K39" s="2084"/>
      <c r="L39" s="2078"/>
      <c r="M39" s="2078"/>
    </row>
    <row r="40" spans="1:18" ht="18" customHeight="1">
      <c r="A40" s="784" t="s">
        <v>1897</v>
      </c>
      <c r="B40" s="2233" t="s">
        <v>2305</v>
      </c>
      <c r="C40" s="786">
        <f ca="1">ROUND(C39*(1-((1+F42)/(1+F40))^F41)/(F40-F42),0)</f>
        <v>12018</v>
      </c>
      <c r="D40" s="817" t="s">
        <v>1809</v>
      </c>
      <c r="E40" s="787" t="s">
        <v>2424</v>
      </c>
      <c r="F40" s="797">
        <f ca="1">INDIRECT("'数据-取费表'!I"&amp;$G$1)</f>
        <v>5.5E-2</v>
      </c>
      <c r="G40" s="2063"/>
      <c r="H40" s="2063"/>
      <c r="I40" s="840" t="s">
        <v>1821</v>
      </c>
      <c r="J40" s="848">
        <f ca="1">1-J39</f>
        <v>-2.0870000000000002</v>
      </c>
      <c r="K40" s="2084"/>
      <c r="L40" s="2063"/>
      <c r="M40" s="2063"/>
    </row>
    <row r="41" spans="1:18" ht="18" customHeight="1">
      <c r="A41" s="789"/>
      <c r="B41" s="790"/>
      <c r="C41" s="791"/>
      <c r="D41" s="824" t="s">
        <v>1810</v>
      </c>
      <c r="E41" s="787" t="s">
        <v>2972</v>
      </c>
      <c r="F41" s="825">
        <f ca="1">IF(INDIRECT("'数据-取费表'!af"&amp;$G$1)=0,INDIRECT("'数据-取费表'!ae"&amp;$G$1),INDIRECT("'数据-取费表'!af"&amp;$G$1))</f>
        <v>27.88</v>
      </c>
      <c r="G41" s="2063"/>
      <c r="H41" s="1989"/>
      <c r="I41" s="846" t="s">
        <v>1822</v>
      </c>
      <c r="J41" s="849"/>
      <c r="K41" s="2083"/>
      <c r="L41" s="1989"/>
      <c r="M41" s="1989"/>
    </row>
    <row r="42" spans="1:18" ht="18" customHeight="1">
      <c r="A42" s="793"/>
      <c r="B42" s="794"/>
      <c r="C42" s="795"/>
      <c r="D42" s="819"/>
      <c r="E42" s="787" t="s">
        <v>1811</v>
      </c>
      <c r="F42" s="797">
        <f ca="1">INDIRECT("'数据-取费表'!v"&amp;$G$1)</f>
        <v>0.02</v>
      </c>
      <c r="G42" s="2063"/>
      <c r="H42" s="1989"/>
      <c r="I42" s="850" t="s">
        <v>1823</v>
      </c>
      <c r="J42" s="848">
        <f ca="1">ROUND(C13/C40,3)</f>
        <v>2.085</v>
      </c>
      <c r="K42" s="2083"/>
      <c r="L42" s="1989"/>
      <c r="M42" s="1989"/>
    </row>
    <row r="43" spans="1:18" ht="18" customHeight="1" thickBot="1">
      <c r="A43" s="826" t="s">
        <v>1789</v>
      </c>
      <c r="B43" s="827" t="s">
        <v>1812</v>
      </c>
      <c r="C43" s="828">
        <f ca="1">ROUND(C40*10000/F43,0)</f>
        <v>1561</v>
      </c>
      <c r="D43" s="829" t="s">
        <v>1813</v>
      </c>
      <c r="E43" s="830" t="s">
        <v>1814</v>
      </c>
      <c r="F43" s="831">
        <f ca="1">INDIRECT("'数据-取费表'!k"&amp;$G$1)</f>
        <v>76965</v>
      </c>
      <c r="G43" s="2063"/>
      <c r="H43" s="1989"/>
      <c r="I43" s="850" t="s">
        <v>1824</v>
      </c>
      <c r="J43" s="851">
        <f ca="1">1-J42</f>
        <v>-1.085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f ca="1">C67-C40</f>
        <v>-21081</v>
      </c>
      <c r="D46" s="2086"/>
      <c r="E46" s="2086"/>
      <c r="F46" s="2086"/>
      <c r="I46" s="2379" t="s">
        <v>2347</v>
      </c>
      <c r="J46" s="2380"/>
      <c r="K46" s="2381"/>
      <c r="L46" s="2382" t="str">
        <f ca="1">IF(M47="住宅",0,IF(L48&gt;J51,L60,J60))</f>
        <v>0</v>
      </c>
      <c r="O46" s="2419" t="s">
        <v>2415</v>
      </c>
      <c r="P46" s="1594"/>
      <c r="Q46" s="1606"/>
      <c r="R46" s="1594"/>
    </row>
    <row r="47" spans="1:18" s="2060" customFormat="1" ht="18" customHeight="1" thickBot="1">
      <c r="A47" s="2373">
        <v>1</v>
      </c>
      <c r="B47" s="2374" t="s">
        <v>636</v>
      </c>
      <c r="C47" s="2599">
        <f ca="1">C48+C52+C54</f>
        <v>0</v>
      </c>
      <c r="D47" s="2086"/>
      <c r="E47" s="2086"/>
      <c r="F47" s="2086"/>
      <c r="I47" s="2383" t="s">
        <v>2348</v>
      </c>
      <c r="J47" s="2388" t="s">
        <v>3024</v>
      </c>
      <c r="K47" s="2389" t="s">
        <v>2354</v>
      </c>
      <c r="L47" s="2390">
        <f ca="1">INDIRECT("'数据-取费表'!d"&amp;$G$1)</f>
        <v>50</v>
      </c>
      <c r="M47" s="1606" t="str">
        <f>IF(ISNUMBER(FIND("住宅",C1)),"住宅","非住宅")</f>
        <v>非住宅</v>
      </c>
      <c r="O47" s="2420" t="s">
        <v>2380</v>
      </c>
      <c r="P47" s="2421" t="s">
        <v>2381</v>
      </c>
      <c r="Q47" s="2422" t="s">
        <v>2382</v>
      </c>
      <c r="R47" s="2421" t="s">
        <v>2383</v>
      </c>
    </row>
    <row r="48" spans="1:18" s="2060" customFormat="1" ht="18" customHeight="1" thickBot="1">
      <c r="A48" s="2668" t="s">
        <v>2542</v>
      </c>
      <c r="B48" s="2669" t="s">
        <v>2543</v>
      </c>
      <c r="C48" s="2375">
        <f ca="1">ROUND(F48*F50*F49*(1-F51)/10000,0)</f>
        <v>0</v>
      </c>
      <c r="D48" s="2376" t="s">
        <v>637</v>
      </c>
      <c r="E48" s="2377" t="s">
        <v>2300</v>
      </c>
      <c r="F48" s="2378"/>
      <c r="G48" s="2091"/>
      <c r="I48" s="2384" t="s">
        <v>2349</v>
      </c>
      <c r="J48" s="2391" t="s">
        <v>2355</v>
      </c>
      <c r="K48" s="2392" t="s">
        <v>2356</v>
      </c>
      <c r="L48" s="2393">
        <f ca="1">INDIRECT("'数据-取费表'!f"&amp;$G$1)</f>
        <v>30.38</v>
      </c>
      <c r="O48" s="2423" t="s">
        <v>2384</v>
      </c>
      <c r="P48" s="2424" t="s">
        <v>2410</v>
      </c>
      <c r="Q48" s="2425">
        <f ca="1">C40+J29</f>
        <v>12018</v>
      </c>
      <c r="R48" s="2424" t="s">
        <v>2385</v>
      </c>
    </row>
    <row r="49" spans="1:18" s="2060" customFormat="1" ht="18" customHeight="1" thickBot="1">
      <c r="A49" s="789"/>
      <c r="B49" s="790"/>
      <c r="C49" s="791"/>
      <c r="D49" s="792"/>
      <c r="E49" s="787" t="s">
        <v>1741</v>
      </c>
      <c r="F49" s="788">
        <f ca="1">F7</f>
        <v>2081</v>
      </c>
      <c r="G49" s="2091"/>
      <c r="H49" s="2094"/>
      <c r="I49" s="2384" t="s">
        <v>2350</v>
      </c>
      <c r="J49" s="2394">
        <v>2019</v>
      </c>
      <c r="K49" s="2395" t="s">
        <v>2357</v>
      </c>
      <c r="L49" s="2396"/>
      <c r="O49" s="2423" t="s">
        <v>2386</v>
      </c>
      <c r="P49" s="2424" t="s">
        <v>2411</v>
      </c>
      <c r="Q49" s="2425" t="str">
        <f ca="1">J60</f>
        <v>0</v>
      </c>
      <c r="R49" s="2424" t="s">
        <v>2387</v>
      </c>
    </row>
    <row r="50" spans="1:18" s="2060" customFormat="1" ht="18" customHeight="1" thickBot="1">
      <c r="A50" s="789"/>
      <c r="B50" s="790"/>
      <c r="C50" s="791"/>
      <c r="D50" s="792"/>
      <c r="E50" s="787" t="s">
        <v>1742</v>
      </c>
      <c r="F50" s="788">
        <f ca="1">F8</f>
        <v>12</v>
      </c>
      <c r="G50" s="2096"/>
      <c r="H50" s="2094"/>
      <c r="I50" s="2384" t="s">
        <v>2351</v>
      </c>
      <c r="J50" s="2397">
        <f>SUMPRODUCT((I63:I65=J47)*(J62:L62=J48)*(J63:L65))</f>
        <v>60</v>
      </c>
      <c r="K50" s="2395" t="s">
        <v>2358</v>
      </c>
      <c r="L50" s="2396"/>
      <c r="O50" s="2426" t="s">
        <v>2388</v>
      </c>
      <c r="P50" s="2424" t="s">
        <v>2412</v>
      </c>
      <c r="Q50" s="2425">
        <f ca="1">C29</f>
        <v>25057</v>
      </c>
      <c r="R50" s="2424" t="s">
        <v>2385</v>
      </c>
    </row>
    <row r="51" spans="1:18" s="2060" customFormat="1" ht="18" customHeight="1" thickBot="1">
      <c r="A51" s="789"/>
      <c r="B51" s="790"/>
      <c r="C51" s="791"/>
      <c r="D51" s="792"/>
      <c r="E51" s="787" t="s">
        <v>641</v>
      </c>
      <c r="F51" s="2372"/>
      <c r="H51" s="2094"/>
      <c r="I51" s="2385" t="s">
        <v>2352</v>
      </c>
      <c r="J51" s="2398">
        <f>IF(J49="",J50,J49+J50-YEAR('数据-取费表'!B2))</f>
        <v>62</v>
      </c>
      <c r="K51" s="2384" t="s">
        <v>2359</v>
      </c>
      <c r="L51" s="2399">
        <f ca="1">ROUND(-PV(INDIRECT("'数据-取费表'!h"&amp;$G$1),L48,(C39-C13*J36),0),0)</f>
        <v>-23595</v>
      </c>
      <c r="O51" s="2426" t="s">
        <v>2389</v>
      </c>
      <c r="P51" s="2424" t="s">
        <v>2390</v>
      </c>
      <c r="Q51" s="2427" t="e">
        <f ca="1">J58</f>
        <v>#VALUE!</v>
      </c>
      <c r="R51" s="2428"/>
    </row>
    <row r="52" spans="1:18" s="2060" customFormat="1" ht="18" customHeight="1" thickBot="1">
      <c r="A52" s="784" t="s">
        <v>2541</v>
      </c>
      <c r="B52" s="2519" t="s">
        <v>2463</v>
      </c>
      <c r="C52" s="802">
        <f ca="1">ROUND(IF(F52="押一",F48*F50*F49/12*F11,IF(F52="押二",F48*F50*F49/12*2*F11,IF(F52="押三",F48*F50*F49/12*3*F11,C53*F11)))/10000,0)</f>
        <v>0</v>
      </c>
      <c r="D52" s="2526" t="s">
        <v>2470</v>
      </c>
      <c r="E52" s="2523" t="s">
        <v>2468</v>
      </c>
      <c r="F52" s="2646"/>
      <c r="I52" s="2386" t="s">
        <v>2426</v>
      </c>
      <c r="J52" s="2400">
        <v>0.09</v>
      </c>
      <c r="K52" s="2386" t="s">
        <v>2425</v>
      </c>
      <c r="L52" s="2400"/>
      <c r="O52" s="2426" t="s">
        <v>2391</v>
      </c>
      <c r="P52" s="2424" t="s">
        <v>2392</v>
      </c>
      <c r="Q52" s="2427">
        <f>J52</f>
        <v>0.09</v>
      </c>
      <c r="R52" s="2428"/>
    </row>
    <row r="53" spans="1:18" s="2060" customFormat="1" ht="39.75" customHeight="1" thickBot="1">
      <c r="A53" s="789"/>
      <c r="B53" s="2520" t="s">
        <v>2578</v>
      </c>
      <c r="C53" s="2524"/>
      <c r="D53" s="2526"/>
      <c r="E53" s="2523"/>
      <c r="F53" s="803"/>
      <c r="I53" s="2387" t="s">
        <v>2353</v>
      </c>
      <c r="J53" s="2401">
        <f ca="1">IF(M47="住宅",J51,IF(D1="——",MIN(J51,L48),IF(D1="土地（套用方法）",MIN(J51,L48-'数据-取费表'!B20))))</f>
        <v>27.88</v>
      </c>
      <c r="K53" s="3414" t="s">
        <v>2974</v>
      </c>
      <c r="L53" s="3415"/>
      <c r="O53" s="2426" t="s">
        <v>2393</v>
      </c>
      <c r="P53" s="2424" t="s">
        <v>2394</v>
      </c>
      <c r="Q53" s="2425">
        <f ca="1">J53</f>
        <v>27.88</v>
      </c>
      <c r="R53" s="2424" t="s">
        <v>2395</v>
      </c>
    </row>
    <row r="54" spans="1:18" s="2060" customFormat="1" ht="18" customHeight="1" thickBot="1">
      <c r="A54" s="2562" t="s">
        <v>2472</v>
      </c>
      <c r="B54" s="2563" t="s">
        <v>2464</v>
      </c>
      <c r="C54" s="2564"/>
      <c r="D54" s="2526"/>
      <c r="E54" s="2523"/>
      <c r="F54" s="803"/>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2396</v>
      </c>
      <c r="P54" s="2424" t="s">
        <v>2413</v>
      </c>
      <c r="Q54" s="2425">
        <f ca="1">Q48+Q49</f>
        <v>12018</v>
      </c>
      <c r="R54" s="2428" t="s">
        <v>2397</v>
      </c>
    </row>
    <row r="55" spans="1:18" s="2060" customFormat="1" ht="18" customHeight="1" thickTop="1" thickBot="1">
      <c r="A55" s="800">
        <v>2</v>
      </c>
      <c r="B55" s="801" t="s">
        <v>645</v>
      </c>
      <c r="C55" s="802">
        <f ca="1">C13</f>
        <v>25057</v>
      </c>
      <c r="D55" s="798"/>
      <c r="E55" s="798"/>
      <c r="F55" s="803"/>
      <c r="I55" s="3127" t="s">
        <v>2360</v>
      </c>
      <c r="J55" s="3126" t="e">
        <f ca="1">ROUND(IF(J47="钢混",J57/J50,1-(1-2%)*(J50-J57)/J50),3)</f>
        <v>#VALUE!</v>
      </c>
      <c r="K55" s="2402" t="s">
        <v>2361</v>
      </c>
      <c r="L55" s="2403"/>
      <c r="O55" s="2429" t="s">
        <v>2416</v>
      </c>
      <c r="P55" s="1594"/>
      <c r="Q55" s="1606"/>
      <c r="R55" s="1594"/>
    </row>
    <row r="56" spans="1:18" s="2060" customFormat="1" ht="42.75" customHeight="1" thickBot="1">
      <c r="A56" s="1652"/>
      <c r="B56" s="2232" t="s">
        <v>2306</v>
      </c>
      <c r="C56" s="53">
        <f ca="1">C29</f>
        <v>25057</v>
      </c>
      <c r="D56" s="2665"/>
      <c r="E56" s="787"/>
      <c r="F56" s="812"/>
      <c r="I56" s="2404" t="s">
        <v>2362</v>
      </c>
      <c r="J56" s="3190" t="s">
        <v>1680</v>
      </c>
      <c r="K56" s="2384" t="s">
        <v>2367</v>
      </c>
      <c r="L56" s="2393" t="str">
        <f ca="1">IF(L48&lt;J51,"——",L48-J51)</f>
        <v>——</v>
      </c>
      <c r="O56" s="2420" t="s">
        <v>2380</v>
      </c>
      <c r="P56" s="2421" t="s">
        <v>2381</v>
      </c>
      <c r="Q56" s="2422" t="s">
        <v>2382</v>
      </c>
      <c r="R56" s="2421" t="s">
        <v>2383</v>
      </c>
    </row>
    <row r="57" spans="1:18" s="2060" customFormat="1" ht="28.5" customHeight="1" thickBot="1">
      <c r="A57" s="800" t="s">
        <v>1750</v>
      </c>
      <c r="B57" s="801" t="s">
        <v>652</v>
      </c>
      <c r="C57" s="802">
        <f ca="1">ROUND(C58+C63+C64+C65,0)</f>
        <v>643</v>
      </c>
      <c r="D57" s="26" t="s">
        <v>1752</v>
      </c>
      <c r="E57" s="2666"/>
      <c r="F57" s="56"/>
      <c r="I57" s="2405" t="s">
        <v>2363</v>
      </c>
      <c r="J57" s="2407" t="str">
        <f ca="1">IF(OR(M47="住宅",J51&lt;L48,J56="是"),"——",J51-L48)</f>
        <v>——</v>
      </c>
      <c r="K57" s="2384" t="s">
        <v>2368</v>
      </c>
      <c r="L57" s="2393" t="str">
        <f ca="1">IF(L48&lt;J51,"——",IF(L55="比较法",L49,IF(L55="基准地价",L50,L51)))</f>
        <v>——</v>
      </c>
      <c r="O57" s="2423" t="s">
        <v>2384</v>
      </c>
      <c r="P57" s="2424" t="s">
        <v>2414</v>
      </c>
      <c r="Q57" s="2425">
        <f ca="1">C40+J29</f>
        <v>12018</v>
      </c>
      <c r="R57" s="2424" t="s">
        <v>2385</v>
      </c>
    </row>
    <row r="58" spans="1:18" s="2060" customFormat="1" ht="28.5" customHeight="1" thickBot="1">
      <c r="A58" s="1651" t="s">
        <v>1826</v>
      </c>
      <c r="B58" s="787" t="s">
        <v>657</v>
      </c>
      <c r="C58" s="53">
        <f ca="1">ROUND(IF(项目基本情况!B11="自然人",C47*F58,C59+C60+C61),1)</f>
        <v>217.3</v>
      </c>
      <c r="D58" s="2664" t="s">
        <v>658</v>
      </c>
      <c r="E58" s="2665" t="s">
        <v>691</v>
      </c>
      <c r="F58" s="813" t="str">
        <f ca="1">IF(项目基本情况!B11="企业","",IF(INDIRECT("'数据-取费表'!c"&amp;$G$1)="住宅",5%,IF(F48*F49*F50/12/(1+'数据-取费表'!C42)&gt;20000,12%,7%)))</f>
        <v/>
      </c>
      <c r="I58" s="2405" t="s">
        <v>2364</v>
      </c>
      <c r="J58" s="3128" t="e">
        <f ca="1">IF(J55&lt;0.4,0.4,J55)</f>
        <v>#VALUE!</v>
      </c>
      <c r="K58" s="2384" t="s">
        <v>2369</v>
      </c>
      <c r="L58" s="2393" t="e">
        <f ca="1">ROUND(POWER(1+L52,L47-L48)*(POWER(1+L52,L48)-1)/(POWER(1+L52,L47)-1),4)</f>
        <v>#DIV/0!</v>
      </c>
      <c r="O58" s="2423" t="s">
        <v>2386</v>
      </c>
      <c r="P58" s="2424" t="s">
        <v>2417</v>
      </c>
      <c r="Q58" s="2425">
        <f ca="1">L60</f>
        <v>0</v>
      </c>
      <c r="R58" s="2428" t="s">
        <v>2419</v>
      </c>
    </row>
    <row r="59" spans="1:18" s="2060" customFormat="1" ht="28.5" customHeight="1" thickBot="1">
      <c r="A59" s="1650" t="s">
        <v>1833</v>
      </c>
      <c r="B59" s="787" t="s">
        <v>661</v>
      </c>
      <c r="C59" s="53">
        <f ca="1">ROUND(C47*F59/1.05,1)</f>
        <v>0</v>
      </c>
      <c r="D59" s="2665" t="s">
        <v>1758</v>
      </c>
      <c r="E59" s="787" t="s">
        <v>1749</v>
      </c>
      <c r="F59" s="812">
        <f t="shared" ref="F59:F65" si="0">F32</f>
        <v>5.6000000000000001E-2</v>
      </c>
      <c r="I59" s="2405" t="s">
        <v>2365</v>
      </c>
      <c r="J59" s="2407"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50" t="s">
        <v>1834</v>
      </c>
      <c r="B60" s="787" t="s">
        <v>1760</v>
      </c>
      <c r="C60" s="53">
        <f ca="1">IF(D60="按租金收入计税",ROUND(C47*F60,1),IF(D60="按房产原值计税",ROUND(C56*F60*0.7,1),INDIRECT("'数据-取费表'!Aj"&amp;$G$1)))</f>
        <v>210.5</v>
      </c>
      <c r="D60" s="2665" t="str">
        <f>D33</f>
        <v>按房产原值计税</v>
      </c>
      <c r="E60" s="787" t="s">
        <v>1749</v>
      </c>
      <c r="F60" s="812">
        <f t="shared" si="0"/>
        <v>1.2E-2</v>
      </c>
      <c r="I60" s="2406" t="s">
        <v>2366</v>
      </c>
      <c r="J60" s="2408" t="str">
        <f ca="1">IF(OR(M47="住宅",J51&lt;L48,J56="是"),"0",ROUND(J59/(1+J52)^J53,0))</f>
        <v>0</v>
      </c>
      <c r="K60" s="2409" t="s">
        <v>2371</v>
      </c>
      <c r="L60" s="2408">
        <f ca="1">IF(OR(M47="住宅",L48&lt;J51),0,ROUND(L57*(L58/L59-1),0))</f>
        <v>0</v>
      </c>
      <c r="O60" s="2426" t="s">
        <v>2389</v>
      </c>
      <c r="P60" s="2424" t="s">
        <v>2398</v>
      </c>
      <c r="Q60" s="2427">
        <f>L52</f>
        <v>0</v>
      </c>
      <c r="R60" s="2428"/>
    </row>
    <row r="61" spans="1:18" s="2060" customFormat="1" ht="18" customHeight="1" thickBot="1">
      <c r="A61" s="1653" t="s">
        <v>1835</v>
      </c>
      <c r="B61" s="344" t="s">
        <v>669</v>
      </c>
      <c r="C61" s="54">
        <f ca="1">ROUND(F61*F62/10000,1)</f>
        <v>6.8</v>
      </c>
      <c r="D61" s="817" t="s">
        <v>670</v>
      </c>
      <c r="E61" s="787" t="s">
        <v>671</v>
      </c>
      <c r="F61" s="643">
        <f t="shared" si="0"/>
        <v>3</v>
      </c>
      <c r="K61" s="2087"/>
      <c r="O61" s="2426" t="s">
        <v>2391</v>
      </c>
      <c r="P61" s="2424" t="s">
        <v>2399</v>
      </c>
      <c r="Q61" s="2425" t="e">
        <f ca="1">L58</f>
        <v>#DIV/0!</v>
      </c>
      <c r="R61" s="2428" t="s">
        <v>2400</v>
      </c>
    </row>
    <row r="62" spans="1:18" s="2060" customFormat="1" ht="15.75" thickBot="1">
      <c r="A62" s="818"/>
      <c r="B62" s="796"/>
      <c r="C62" s="69"/>
      <c r="D62" s="819"/>
      <c r="E62" s="787" t="s">
        <v>675</v>
      </c>
      <c r="F62" s="788">
        <f t="shared" ca="1" si="0"/>
        <v>22728.61</v>
      </c>
      <c r="I62" s="2410" t="s">
        <v>2372</v>
      </c>
      <c r="J62" s="2411" t="s">
        <v>2373</v>
      </c>
      <c r="K62" s="2411" t="s">
        <v>2374</v>
      </c>
      <c r="L62" s="2411" t="s">
        <v>2355</v>
      </c>
      <c r="M62" s="3129" t="s">
        <v>2949</v>
      </c>
      <c r="O62" s="2426" t="s">
        <v>2393</v>
      </c>
      <c r="P62" s="2424" t="str">
        <f>K59</f>
        <v>建设期及建筑物耐用年限下的土地年期修正系数Kn</v>
      </c>
      <c r="Q62" s="2425" t="e">
        <f ca="1">L59</f>
        <v>#DIV/0!</v>
      </c>
      <c r="R62" s="2428" t="s">
        <v>2402</v>
      </c>
    </row>
    <row r="63" spans="1:18" s="2060" customFormat="1" ht="15.75" thickBot="1">
      <c r="A63" s="1651" t="s">
        <v>1891</v>
      </c>
      <c r="B63" s="787" t="s">
        <v>677</v>
      </c>
      <c r="C63" s="53">
        <f ca="1">ROUND(C56*F63,1)</f>
        <v>375.9</v>
      </c>
      <c r="D63" s="2665" t="s">
        <v>1805</v>
      </c>
      <c r="E63" s="787" t="s">
        <v>1749</v>
      </c>
      <c r="F63" s="820">
        <f t="shared" ca="1" si="0"/>
        <v>1.4999999999999999E-2</v>
      </c>
      <c r="I63" s="2410" t="s">
        <v>2375</v>
      </c>
      <c r="J63" s="2411">
        <v>70</v>
      </c>
      <c r="K63" s="2411">
        <v>50</v>
      </c>
      <c r="L63" s="2411">
        <v>80</v>
      </c>
      <c r="M63" s="3130">
        <v>0.02</v>
      </c>
      <c r="O63" s="2423" t="s">
        <v>2396</v>
      </c>
      <c r="P63" s="2424" t="s">
        <v>2413</v>
      </c>
      <c r="Q63" s="2425">
        <f ca="1">Q57+Q58</f>
        <v>12018</v>
      </c>
      <c r="R63" s="2428" t="s">
        <v>2397</v>
      </c>
    </row>
    <row r="64" spans="1:18" s="2060" customFormat="1" ht="16.5" thickBot="1">
      <c r="A64" s="1651" t="s">
        <v>1892</v>
      </c>
      <c r="B64" s="787" t="s">
        <v>680</v>
      </c>
      <c r="C64" s="53">
        <f ca="1">ROUND(C55*F64,1)</f>
        <v>50.1</v>
      </c>
      <c r="D64" s="2665" t="s">
        <v>681</v>
      </c>
      <c r="E64" s="787" t="s">
        <v>1749</v>
      </c>
      <c r="F64" s="821">
        <f t="shared" ca="1" si="0"/>
        <v>2E-3</v>
      </c>
      <c r="I64" s="2410" t="s">
        <v>2376</v>
      </c>
      <c r="J64" s="2411">
        <v>50</v>
      </c>
      <c r="K64" s="2411">
        <v>35</v>
      </c>
      <c r="L64" s="2411">
        <v>60</v>
      </c>
      <c r="M64" s="3131">
        <v>0</v>
      </c>
      <c r="O64" s="2429" t="s">
        <v>2420</v>
      </c>
      <c r="P64" s="1594"/>
      <c r="Q64" s="1606"/>
      <c r="R64" s="1594"/>
    </row>
    <row r="65" spans="1:18" s="2060" customFormat="1" ht="15.75" thickBot="1">
      <c r="A65" s="1651" t="s">
        <v>1893</v>
      </c>
      <c r="B65" s="787" t="s">
        <v>667</v>
      </c>
      <c r="C65" s="53">
        <f ca="1">ROUND(C47*F65,1)</f>
        <v>0</v>
      </c>
      <c r="D65" s="2665" t="s">
        <v>684</v>
      </c>
      <c r="E65" s="787" t="s">
        <v>1749</v>
      </c>
      <c r="F65" s="797">
        <f t="shared" ca="1" si="0"/>
        <v>0.01</v>
      </c>
      <c r="I65" s="2410" t="s">
        <v>2377</v>
      </c>
      <c r="J65" s="2411">
        <v>40</v>
      </c>
      <c r="K65" s="2411">
        <v>30</v>
      </c>
      <c r="L65" s="2411">
        <v>50</v>
      </c>
      <c r="M65" s="3130">
        <v>0.02</v>
      </c>
      <c r="O65" s="2420" t="s">
        <v>2380</v>
      </c>
      <c r="P65" s="2421" t="s">
        <v>2381</v>
      </c>
      <c r="Q65" s="2422" t="s">
        <v>2382</v>
      </c>
      <c r="R65" s="2421" t="s">
        <v>2383</v>
      </c>
    </row>
    <row r="66" spans="1:18" s="2060" customFormat="1" ht="24.75" thickBot="1">
      <c r="A66" s="800" t="s">
        <v>1778</v>
      </c>
      <c r="B66" s="3038" t="s">
        <v>2829</v>
      </c>
      <c r="C66" s="802">
        <f ca="1">C47-C57</f>
        <v>-643</v>
      </c>
      <c r="D66" s="2664" t="s">
        <v>701</v>
      </c>
      <c r="E66" s="2663"/>
      <c r="F66" s="823"/>
      <c r="K66" s="2087"/>
      <c r="O66" s="2423" t="s">
        <v>2384</v>
      </c>
      <c r="P66" s="2424" t="s">
        <v>2414</v>
      </c>
      <c r="Q66" s="2425">
        <f ca="1">C40+J29</f>
        <v>12018</v>
      </c>
      <c r="R66" s="2424" t="s">
        <v>2385</v>
      </c>
    </row>
    <row r="67" spans="1:18" s="2060" customFormat="1" ht="20.25" thickBot="1">
      <c r="A67" s="784" t="s">
        <v>1782</v>
      </c>
      <c r="B67" s="2233" t="s">
        <v>2305</v>
      </c>
      <c r="C67" s="786">
        <f ca="1">ROUND(C66*(1-((1+F69)/(1+F67))^F68)/(F67-F69),0)</f>
        <v>-9063</v>
      </c>
      <c r="D67" s="817" t="s">
        <v>705</v>
      </c>
      <c r="E67" s="787" t="s">
        <v>706</v>
      </c>
      <c r="F67" s="797">
        <f ca="1">F40</f>
        <v>5.5E-2</v>
      </c>
      <c r="K67" s="2087"/>
      <c r="O67" s="2423" t="s">
        <v>2386</v>
      </c>
      <c r="P67" s="2424" t="s">
        <v>2417</v>
      </c>
      <c r="Q67" s="2425">
        <f ca="1">L60</f>
        <v>0</v>
      </c>
      <c r="R67" s="2428" t="s">
        <v>2419</v>
      </c>
    </row>
    <row r="68" spans="1:18" ht="21.75" thickBot="1">
      <c r="A68" s="789"/>
      <c r="B68" s="790"/>
      <c r="C68" s="791"/>
      <c r="D68" s="824" t="s">
        <v>1810</v>
      </c>
      <c r="E68" s="787" t="s">
        <v>1786</v>
      </c>
      <c r="F68" s="825">
        <f ca="1">F41</f>
        <v>27.88</v>
      </c>
      <c r="O68" s="2426" t="s">
        <v>2388</v>
      </c>
      <c r="P68" s="2424" t="s">
        <v>2418</v>
      </c>
      <c r="Q68" s="2430">
        <f ca="1">L51</f>
        <v>-23595</v>
      </c>
      <c r="R68" s="2431" t="s">
        <v>2421</v>
      </c>
    </row>
    <row r="69" spans="1:18" ht="20.25" thickBot="1">
      <c r="A69" s="793"/>
      <c r="B69" s="794"/>
      <c r="C69" s="795"/>
      <c r="D69" s="819"/>
      <c r="E69" s="787" t="s">
        <v>711</v>
      </c>
      <c r="F69" s="2372"/>
      <c r="O69" s="2426" t="s">
        <v>2389</v>
      </c>
      <c r="P69" s="2432" t="s">
        <v>2403</v>
      </c>
      <c r="Q69" s="2425">
        <f ca="1">ROUND(Q70-Q71*Q72,0)</f>
        <v>-1440</v>
      </c>
      <c r="R69" s="2428"/>
    </row>
    <row r="70" spans="1:18" ht="15.75" thickBot="1">
      <c r="A70" s="826" t="s">
        <v>1789</v>
      </c>
      <c r="B70" s="827" t="s">
        <v>1812</v>
      </c>
      <c r="C70" s="828">
        <f ca="1">ROUND(C67*10000/F70,0)</f>
        <v>-1178</v>
      </c>
      <c r="D70" s="829" t="s">
        <v>1813</v>
      </c>
      <c r="E70" s="830" t="s">
        <v>1814</v>
      </c>
      <c r="F70" s="831">
        <f ca="1">F43</f>
        <v>76965</v>
      </c>
      <c r="O70" s="2426" t="s">
        <v>2404</v>
      </c>
      <c r="P70" s="2432" t="s">
        <v>2405</v>
      </c>
      <c r="Q70" s="2425">
        <f ca="1">C39</f>
        <v>690</v>
      </c>
      <c r="R70" s="2424" t="s">
        <v>2385</v>
      </c>
    </row>
    <row r="71" spans="1:18" ht="15.75" thickBot="1">
      <c r="O71" s="2426" t="s">
        <v>2406</v>
      </c>
      <c r="P71" s="2432" t="s">
        <v>2407</v>
      </c>
      <c r="Q71" s="2425">
        <f ca="1">C13</f>
        <v>25057</v>
      </c>
      <c r="R71" s="2424" t="s">
        <v>2385</v>
      </c>
    </row>
    <row r="72" spans="1:18" ht="15.75" thickBot="1">
      <c r="O72" s="2426" t="s">
        <v>2408</v>
      </c>
      <c r="P72" s="2432" t="s">
        <v>2409</v>
      </c>
      <c r="Q72" s="2427">
        <f ca="1">J36</f>
        <v>8.5000000000000006E-2</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f ca="1">Q66+Q67</f>
        <v>12018</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4" t="s">
        <v>466</v>
      </c>
      <c r="B1" s="2836"/>
      <c r="C1" s="2105"/>
      <c r="D1" s="2105"/>
      <c r="E1" s="2105"/>
      <c r="F1" s="2105"/>
      <c r="G1" s="2105"/>
      <c r="H1" s="2105"/>
      <c r="I1" s="2105"/>
      <c r="J1" s="2105"/>
      <c r="K1" s="425">
        <f>MATCH(B1,'数据-取费表'!A6:A16,0)+5</f>
        <v>10</v>
      </c>
    </row>
    <row r="2" spans="1:41" s="2042" customFormat="1" ht="18" customHeight="1">
      <c r="A2" s="426" t="s">
        <v>467</v>
      </c>
      <c r="B2" s="427">
        <f ca="1">C32</f>
        <v>0</v>
      </c>
      <c r="C2" s="2105"/>
      <c r="D2" s="2105"/>
      <c r="E2" s="2105"/>
      <c r="F2" s="2105"/>
      <c r="G2" s="2105"/>
      <c r="H2" s="2105"/>
      <c r="I2" s="2105"/>
      <c r="J2" s="2105"/>
      <c r="K2" s="2105"/>
    </row>
    <row r="3" spans="1:41" s="2042" customFormat="1" ht="18" customHeight="1">
      <c r="A3" s="1381" t="s">
        <v>1686</v>
      </c>
      <c r="B3" s="428">
        <f ca="1">ROUND(B2*10000/IF(B1="",'数据-汇总表'!E3,INDIRECT("'数据-取费表'!K"&amp;$K$1)),0)</f>
        <v>0</v>
      </c>
      <c r="C3" s="2105"/>
      <c r="D3" s="2105"/>
      <c r="E3" s="2105"/>
      <c r="F3" s="2105"/>
      <c r="G3" s="2105"/>
      <c r="H3" s="2105"/>
      <c r="I3" s="2105"/>
      <c r="J3" s="2105"/>
      <c r="K3" s="2105"/>
    </row>
    <row r="4" spans="1:41" s="2042" customFormat="1" ht="18" customHeight="1">
      <c r="A4" s="429" t="s">
        <v>468</v>
      </c>
      <c r="B4" s="430">
        <f ca="1">ROUND(B2*10000/IF(B1="",'数据-汇总表'!D3,INDIRECT("'数据-取费表'!R"&amp;$K$1)),0)</f>
        <v>0</v>
      </c>
      <c r="C4" s="2062"/>
      <c r="D4" s="2105"/>
      <c r="E4" s="2105"/>
      <c r="F4" s="2105"/>
      <c r="G4" s="2105"/>
      <c r="H4" s="2105"/>
      <c r="I4" s="2105"/>
      <c r="J4" s="2105"/>
      <c r="K4" s="2105"/>
    </row>
    <row r="5" spans="1:41" s="2042" customFormat="1" ht="18" customHeight="1" thickBot="1">
      <c r="A5" s="432"/>
      <c r="B5" s="433">
        <f ca="1">ROUND(B2/(IF(B1="",'数据-汇总表'!D3,INDIRECT("'数据-取费表'!R"&amp;$K$1))/666.67),0)</f>
        <v>0</v>
      </c>
      <c r="C5" s="434" t="s">
        <v>469</v>
      </c>
      <c r="D5" s="2105"/>
      <c r="E5" s="2105"/>
      <c r="F5" s="2105"/>
      <c r="G5" s="2105"/>
      <c r="H5" s="2105"/>
      <c r="I5" s="2105"/>
      <c r="J5" s="2105"/>
      <c r="K5" s="2105"/>
    </row>
    <row r="6" spans="1:41" s="2112" customFormat="1" ht="16.5" customHeight="1">
      <c r="A6" s="435" t="s">
        <v>2659</v>
      </c>
      <c r="B6" s="436"/>
      <c r="C6" s="1625">
        <f>SUM(C10:K10)</f>
        <v>0</v>
      </c>
      <c r="D6" s="2110"/>
      <c r="E6" s="2110"/>
      <c r="F6" s="2110"/>
      <c r="G6" s="2110"/>
      <c r="H6" s="2110"/>
      <c r="I6" s="2110"/>
      <c r="J6" s="2110"/>
      <c r="K6" s="2111"/>
    </row>
    <row r="7" spans="1:41" s="2114" customFormat="1" ht="15">
      <c r="A7" s="437" t="s">
        <v>470</v>
      </c>
      <c r="B7" s="438" t="s">
        <v>471</v>
      </c>
      <c r="C7" s="439"/>
      <c r="D7" s="439"/>
      <c r="E7" s="439"/>
      <c r="F7" s="439"/>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3" t="s">
        <v>1847</v>
      </c>
      <c r="B8" s="441" t="s">
        <v>472</v>
      </c>
      <c r="C8" s="442"/>
      <c r="D8" s="442"/>
      <c r="E8" s="442"/>
      <c r="F8" s="442"/>
      <c r="G8" s="442"/>
      <c r="H8" s="442"/>
      <c r="I8" s="442"/>
      <c r="J8" s="442"/>
      <c r="K8" s="443"/>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4" t="s">
        <v>1849</v>
      </c>
      <c r="B10" s="1626" t="s">
        <v>474</v>
      </c>
      <c r="C10" s="1627"/>
      <c r="D10" s="1627"/>
      <c r="E10" s="1627"/>
      <c r="F10" s="1628"/>
      <c r="G10" s="1628"/>
      <c r="H10" s="1628"/>
      <c r="I10" s="1628"/>
      <c r="J10" s="1628"/>
      <c r="K10" s="1629"/>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2" t="s">
        <v>1866</v>
      </c>
      <c r="B11" s="1623"/>
      <c r="C11" s="1623"/>
      <c r="D11" s="1623"/>
      <c r="E11" s="1623"/>
      <c r="F11" s="1623"/>
      <c r="G11" s="1623"/>
      <c r="H11" s="1623"/>
      <c r="I11" s="1623"/>
      <c r="J11" s="1623"/>
      <c r="K11" s="1624"/>
    </row>
    <row r="12" spans="1:41" s="2086" customFormat="1" ht="13.5" customHeight="1">
      <c r="A12" s="437" t="s">
        <v>470</v>
      </c>
      <c r="B12" s="447" t="s">
        <v>471</v>
      </c>
      <c r="C12" s="448" t="s">
        <v>475</v>
      </c>
      <c r="D12" s="449" t="s">
        <v>476</v>
      </c>
      <c r="E12" s="449" t="s">
        <v>477</v>
      </c>
      <c r="F12" s="449" t="s">
        <v>478</v>
      </c>
      <c r="G12" s="447"/>
      <c r="H12" s="450"/>
      <c r="I12" s="450"/>
      <c r="J12" s="450"/>
      <c r="K12" s="451"/>
    </row>
    <row r="13" spans="1:41" s="2117" customFormat="1" ht="13.5" customHeight="1">
      <c r="A13" s="1635" t="s">
        <v>1850</v>
      </c>
      <c r="B13" s="452" t="s">
        <v>479</v>
      </c>
      <c r="C13" s="453">
        <f ca="1">IF(B1="",'数据-取费表'!M16,INDIRECT("'数据-取费表'!M"&amp;$K$1)+INDIRECT("'数据-取费表'!t"&amp;$K$1))</f>
        <v>73938</v>
      </c>
      <c r="D13" s="454"/>
      <c r="E13" s="368"/>
      <c r="F13" s="455"/>
      <c r="G13" s="447"/>
      <c r="H13" s="450"/>
      <c r="I13" s="450"/>
      <c r="J13" s="450"/>
      <c r="K13" s="451"/>
    </row>
    <row r="14" spans="1:41" s="2117" customFormat="1" ht="13.5" customHeight="1">
      <c r="A14" s="1635" t="s">
        <v>1851</v>
      </c>
      <c r="B14" s="452" t="s">
        <v>480</v>
      </c>
      <c r="C14" s="53">
        <f ca="1">ROUND(C13*F14,0)</f>
        <v>2218</v>
      </c>
      <c r="D14" s="454"/>
      <c r="E14" s="368"/>
      <c r="F14" s="456">
        <f>'数据-取费表'!B33</f>
        <v>0.03</v>
      </c>
      <c r="G14" s="447" t="s">
        <v>503</v>
      </c>
      <c r="H14" s="450"/>
      <c r="I14" s="450"/>
      <c r="J14" s="450"/>
      <c r="K14" s="451"/>
    </row>
    <row r="15" spans="1:41" s="2117" customFormat="1" ht="13.5" customHeight="1">
      <c r="A15" s="1635" t="s">
        <v>1852</v>
      </c>
      <c r="B15" s="452" t="s">
        <v>482</v>
      </c>
      <c r="C15" s="53">
        <f ca="1">ROUND(IF(B1="",SUMIF('数据-取费表'!C:C,"住宅",'数据-取费表'!M:M)*F15,IF(INDIRECT("'数据-取费表'!c"&amp;$K$1)="住宅",INDIRECT("'数据-取费表'!M"&amp;$K$1)*F15,0)),0)</f>
        <v>2400</v>
      </c>
      <c r="D15" s="454"/>
      <c r="E15" s="368"/>
      <c r="F15" s="456">
        <f>'数据-取费表'!B34</f>
        <v>0.05</v>
      </c>
      <c r="G15" s="447" t="s">
        <v>503</v>
      </c>
      <c r="H15" s="450"/>
      <c r="I15" s="450"/>
      <c r="J15" s="450"/>
      <c r="K15" s="451"/>
    </row>
    <row r="16" spans="1:41" s="2118" customFormat="1" ht="13.5" customHeight="1">
      <c r="A16" s="1635" t="s">
        <v>1853</v>
      </c>
      <c r="B16" s="452" t="s">
        <v>484</v>
      </c>
      <c r="C16" s="53">
        <f ca="1">ROUND(D16*E16/10000,0)</f>
        <v>6623</v>
      </c>
      <c r="D16" s="454">
        <f ca="1">IF(B1="",'数据-汇总表'!E3,INDIRECT("'数据-取费表'!K"&amp;$K$1)+INDIRECT("'数据-取费表'!S"&amp;$K$1))</f>
        <v>331165.86</v>
      </c>
      <c r="E16" s="53">
        <f>'数据-取费表'!B35</f>
        <v>200</v>
      </c>
      <c r="F16" s="456"/>
      <c r="G16" s="447"/>
      <c r="H16" s="450"/>
      <c r="I16" s="450"/>
      <c r="J16" s="450"/>
      <c r="K16" s="451"/>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5" t="s">
        <v>1854</v>
      </c>
      <c r="B17" s="452" t="s">
        <v>485</v>
      </c>
      <c r="C17" s="457">
        <f ca="1">ROUND(C13*F17,0)</f>
        <v>1109</v>
      </c>
      <c r="D17" s="458"/>
      <c r="E17" s="457"/>
      <c r="F17" s="459">
        <f>'数据-取费表'!B36</f>
        <v>1.4999999999999999E-2</v>
      </c>
      <c r="G17" s="447" t="s">
        <v>503</v>
      </c>
      <c r="H17" s="460"/>
      <c r="I17" s="460"/>
      <c r="J17" s="460"/>
      <c r="K17" s="461"/>
    </row>
    <row r="18" spans="1:14" s="2120" customFormat="1" ht="13.5" customHeight="1">
      <c r="A18" s="1636" t="s">
        <v>1855</v>
      </c>
      <c r="B18" s="462" t="s">
        <v>487</v>
      </c>
      <c r="C18" s="463">
        <f ca="1">SUM(C13:C17)</f>
        <v>86288</v>
      </c>
      <c r="D18" s="464"/>
      <c r="E18" s="465"/>
      <c r="F18" s="465"/>
      <c r="G18" s="1329" t="s">
        <v>2437</v>
      </c>
      <c r="H18" s="450"/>
      <c r="I18" s="450"/>
      <c r="J18" s="450"/>
      <c r="K18" s="451"/>
    </row>
    <row r="19" spans="1:14" s="2120" customFormat="1" ht="13.5" customHeight="1">
      <c r="A19" s="1636" t="s">
        <v>1856</v>
      </c>
      <c r="B19" s="462" t="s">
        <v>493</v>
      </c>
      <c r="C19" s="463">
        <f ca="1">ROUND(C18*F19,0)</f>
        <v>1726</v>
      </c>
      <c r="D19" s="465"/>
      <c r="E19" s="465"/>
      <c r="F19" s="469">
        <f>'数据-取费表'!B37</f>
        <v>0.02</v>
      </c>
      <c r="G19" s="447" t="s">
        <v>504</v>
      </c>
      <c r="H19" s="450"/>
      <c r="I19" s="450"/>
      <c r="J19" s="450"/>
      <c r="K19" s="451"/>
      <c r="L19" s="2122"/>
      <c r="M19" s="2122"/>
      <c r="N19" s="2122"/>
    </row>
    <row r="20" spans="1:14" s="2120" customFormat="1" ht="13.5" customHeight="1">
      <c r="A20" s="1636" t="s">
        <v>1857</v>
      </c>
      <c r="B20" s="462" t="s">
        <v>505</v>
      </c>
      <c r="C20" s="3054">
        <f>F20</f>
        <v>0.02</v>
      </c>
      <c r="D20" s="472" t="s">
        <v>506</v>
      </c>
      <c r="E20" s="472"/>
      <c r="F20" s="489">
        <f>'数据-取费表'!B38</f>
        <v>0.02</v>
      </c>
      <c r="G20" s="1329" t="s">
        <v>507</v>
      </c>
      <c r="H20" s="450"/>
      <c r="I20" s="450"/>
      <c r="J20" s="450"/>
      <c r="K20" s="451"/>
      <c r="L20" s="2122"/>
      <c r="M20" s="2122"/>
      <c r="N20" s="2122"/>
    </row>
    <row r="21" spans="1:14" s="2122" customFormat="1" ht="13.5" customHeight="1">
      <c r="A21" s="1636" t="s">
        <v>1860</v>
      </c>
      <c r="B21" s="464" t="s">
        <v>494</v>
      </c>
      <c r="C21" s="473">
        <f ca="1">C22</f>
        <v>5256</v>
      </c>
      <c r="D21" s="470">
        <f ca="1">C23</f>
        <v>1.1999999999999999E-3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19" t="s">
        <v>2458</v>
      </c>
    </row>
    <row r="22" spans="1:14" s="2121" customFormat="1" ht="13.5" customHeight="1">
      <c r="A22" s="1635" t="s">
        <v>1850</v>
      </c>
      <c r="B22" s="1330" t="s">
        <v>2440</v>
      </c>
      <c r="C22" s="490">
        <f ca="1">ROUND(IF('数据-取费表'!B22&lt;=1,(C18+C19)*F21*'数据-取费表'!B20/2,(C18+C19)*(POWER((1+F21),'数据-取费表'!B20/2)-1)),0)</f>
        <v>5256</v>
      </c>
      <c r="D22" s="475"/>
      <c r="E22" s="476"/>
      <c r="F22" s="477"/>
      <c r="G22" s="2592" t="str">
        <f>IF('数据-取费表'!B22&lt;=1,"((1)+(2))×年利率×建设期÷2","((1)+(2))×((1+年利率)^(建设期÷2)-1)")</f>
        <v>((1)+(2))×((1+年利率)^(建设期÷2)-1)</v>
      </c>
      <c r="H22" s="460"/>
      <c r="I22" s="460"/>
      <c r="J22" s="460"/>
      <c r="K22" s="461"/>
    </row>
    <row r="23" spans="1:14" s="2121" customFormat="1" ht="13.5" customHeight="1">
      <c r="A23" s="1635" t="s">
        <v>1851</v>
      </c>
      <c r="B23" s="1330" t="s">
        <v>509</v>
      </c>
      <c r="C23" s="491">
        <f ca="1">ROUND(IF('数据-取费表'!B22&lt;=1,F20*F21*'数据-取费表'!B20/2,F20*(POWER((1+F21),'数据-取费表'!B20/2)-1)),4)</f>
        <v>1.1999999999999999E-3</v>
      </c>
      <c r="D23" s="475"/>
      <c r="E23" s="476"/>
      <c r="F23" s="477"/>
      <c r="G23" s="2592" t="str">
        <f>IF('数据-取费表'!B22&lt;=1,"销售费用率×年利率×建设期÷2","销售费用率×((1+年利率)^(建设期÷2)-1)")</f>
        <v>销售费用率×((1+年利率)^(建设期÷2)-1)</v>
      </c>
      <c r="H23" s="460"/>
      <c r="I23" s="460"/>
      <c r="J23" s="460"/>
      <c r="K23" s="461"/>
    </row>
    <row r="24" spans="1:14" s="2121" customFormat="1" ht="13.5" customHeight="1">
      <c r="A24" s="1636" t="s">
        <v>1861</v>
      </c>
      <c r="B24" s="3056" t="s">
        <v>2839</v>
      </c>
      <c r="C24" s="481">
        <f ca="1">C25</f>
        <v>7921</v>
      </c>
      <c r="D24" s="492">
        <f ca="1">C26</f>
        <v>1.8E-3</v>
      </c>
      <c r="E24" s="472" t="s">
        <v>508</v>
      </c>
      <c r="F24" s="482">
        <f ca="1">IF(B1="",'数据-取费表'!Q16,INDIRECT("'数据-取费表'!q"&amp;$K$1))</f>
        <v>0.09</v>
      </c>
      <c r="G24" s="447"/>
      <c r="H24" s="450"/>
      <c r="I24" s="450"/>
      <c r="J24" s="450"/>
      <c r="K24" s="451"/>
    </row>
    <row r="25" spans="1:14" s="2121" customFormat="1" ht="13.5" customHeight="1">
      <c r="A25" s="1635" t="s">
        <v>1850</v>
      </c>
      <c r="B25" s="1330" t="s">
        <v>2441</v>
      </c>
      <c r="C25" s="493">
        <f ca="1">ROUND((C18+C19)*F24,0)</f>
        <v>7921</v>
      </c>
      <c r="D25" s="475"/>
      <c r="E25" s="476"/>
      <c r="F25" s="483"/>
      <c r="G25" s="1328" t="s">
        <v>2438</v>
      </c>
      <c r="H25" s="460"/>
      <c r="I25" s="460"/>
      <c r="J25" s="460"/>
      <c r="K25" s="461"/>
    </row>
    <row r="26" spans="1:14" s="2121" customFormat="1" ht="13.5" customHeight="1">
      <c r="A26" s="1635" t="s">
        <v>1851</v>
      </c>
      <c r="B26" s="1330" t="s">
        <v>510</v>
      </c>
      <c r="C26" s="494">
        <f ca="1">ROUND(F20*F24,4)</f>
        <v>1.8E-3</v>
      </c>
      <c r="D26" s="475"/>
      <c r="E26" s="484"/>
      <c r="F26" s="483"/>
      <c r="G26" s="1328" t="s">
        <v>511</v>
      </c>
      <c r="H26" s="460"/>
      <c r="I26" s="460"/>
      <c r="J26" s="460"/>
      <c r="K26" s="461"/>
    </row>
    <row r="27" spans="1:14" s="2121" customFormat="1" ht="13.5" customHeight="1">
      <c r="A27" s="1639" t="s">
        <v>1869</v>
      </c>
      <c r="B27" s="462" t="s">
        <v>512</v>
      </c>
      <c r="C27" s="3055">
        <f>ROUND(F27/(1+'数据-取费表'!C42),4)</f>
        <v>5.33E-2</v>
      </c>
      <c r="D27" s="465" t="s">
        <v>2837</v>
      </c>
      <c r="E27" s="465"/>
      <c r="F27" s="469">
        <f>'数据-取费表'!B41</f>
        <v>5.6000000000000001E-2</v>
      </c>
      <c r="G27" s="1961" t="s">
        <v>2295</v>
      </c>
      <c r="H27" s="450"/>
      <c r="I27" s="450"/>
      <c r="J27" s="450"/>
      <c r="K27" s="451"/>
    </row>
    <row r="28" spans="1:14" s="2122" customFormat="1" ht="13.5" customHeight="1">
      <c r="A28" s="1639" t="s">
        <v>1870</v>
      </c>
      <c r="B28" s="479" t="s">
        <v>513</v>
      </c>
      <c r="C28" s="473">
        <f ca="1">ROUND((C18+C19+C21+C24)/(1-C20-D21-D24-C27),0)</f>
        <v>109550</v>
      </c>
      <c r="D28" s="480"/>
      <c r="E28" s="472"/>
      <c r="F28" s="474"/>
      <c r="G28" s="1329" t="s">
        <v>2439</v>
      </c>
      <c r="H28" s="450"/>
      <c r="I28" s="450"/>
      <c r="J28" s="450"/>
      <c r="K28" s="451"/>
    </row>
    <row r="29" spans="1:14" s="2122"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2" customFormat="1" ht="13.5" customHeight="1">
      <c r="A30" s="446">
        <v>2</v>
      </c>
      <c r="B30" s="479" t="s">
        <v>515</v>
      </c>
      <c r="C30" s="500">
        <f ca="1">ROUND(C28*C29,0)</f>
        <v>0</v>
      </c>
      <c r="D30" s="496"/>
      <c r="E30" s="501"/>
      <c r="F30" s="502"/>
      <c r="G30" s="1331" t="s">
        <v>516</v>
      </c>
      <c r="H30" s="499"/>
      <c r="I30" s="499"/>
      <c r="J30" s="450"/>
      <c r="K30" s="451"/>
    </row>
    <row r="31" spans="1:14" s="2127" customFormat="1" ht="13.5" customHeight="1">
      <c r="A31" s="2507" t="s">
        <v>1867</v>
      </c>
      <c r="B31" s="1332"/>
      <c r="C31" s="503">
        <f>ROUND(C6*F31/(1+'数据-取费表'!C42),0)</f>
        <v>0</v>
      </c>
      <c r="D31" s="1333"/>
      <c r="E31" s="1333"/>
      <c r="F31" s="504">
        <f>'数据-取费表'!B41</f>
        <v>5.6000000000000001E-2</v>
      </c>
      <c r="G31" s="1334"/>
      <c r="H31" s="1334"/>
      <c r="I31" s="1334"/>
      <c r="J31" s="1335"/>
      <c r="K31" s="1336"/>
    </row>
    <row r="32" spans="1:14" s="2086"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8"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29"/>
      <c r="D2" s="2129"/>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2"/>
      <c r="D3" s="2062"/>
      <c r="E3" s="2062"/>
      <c r="F3" s="2062"/>
      <c r="G3" s="2129"/>
      <c r="H3" s="2129"/>
      <c r="I3" s="2129"/>
      <c r="J3" s="2129"/>
      <c r="K3" s="2131"/>
      <c r="L3" s="2132"/>
      <c r="M3" s="2133"/>
      <c r="N3" s="2133"/>
      <c r="O3" s="2133"/>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2"/>
      <c r="D4" s="2062"/>
      <c r="E4" s="2062"/>
      <c r="F4" s="2062"/>
      <c r="G4" s="2129"/>
      <c r="H4" s="2129"/>
      <c r="I4" s="2129"/>
      <c r="J4" s="2129"/>
      <c r="K4" s="2131"/>
      <c r="L4" s="2132"/>
      <c r="M4" s="2133"/>
      <c r="N4" s="2133"/>
      <c r="O4" s="2133"/>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2"/>
      <c r="E5" s="2062"/>
      <c r="F5" s="2062"/>
      <c r="G5" s="2129"/>
      <c r="H5" s="2129"/>
      <c r="I5" s="2129"/>
      <c r="J5" s="2129"/>
      <c r="K5" s="2131"/>
      <c r="L5" s="2132"/>
      <c r="M5" s="2133"/>
      <c r="N5" s="2133"/>
      <c r="O5" s="2133"/>
      <c r="P5" s="1566"/>
      <c r="Q5" s="1566"/>
      <c r="R5" s="1566"/>
      <c r="S5" s="1566"/>
      <c r="T5" s="1566"/>
      <c r="U5" s="1566"/>
      <c r="V5" s="1566"/>
      <c r="W5" s="1566"/>
      <c r="X5" s="1566"/>
      <c r="Y5" s="1566"/>
      <c r="Z5" s="1566"/>
      <c r="AA5" s="1566"/>
      <c r="AB5" s="1568"/>
      <c r="AC5" s="431"/>
    </row>
    <row r="6" spans="1:29" ht="15">
      <c r="A6" s="515" t="s">
        <v>522</v>
      </c>
      <c r="B6" s="516"/>
      <c r="C6" s="3366" t="s">
        <v>523</v>
      </c>
      <c r="D6" s="3367"/>
      <c r="E6" s="3400" t="s">
        <v>524</v>
      </c>
      <c r="F6" s="3401"/>
      <c r="G6" s="3366" t="s">
        <v>525</v>
      </c>
      <c r="H6" s="3367"/>
      <c r="I6" s="3366" t="s">
        <v>526</v>
      </c>
      <c r="J6" s="3367"/>
      <c r="K6" s="517" t="s">
        <v>527</v>
      </c>
      <c r="L6" s="2134"/>
      <c r="M6" s="2135"/>
      <c r="N6" s="2135"/>
      <c r="O6" s="2135"/>
      <c r="P6" s="3368" t="s">
        <v>528</v>
      </c>
      <c r="Q6" s="3369"/>
      <c r="R6" s="3374" t="s">
        <v>524</v>
      </c>
      <c r="S6" s="3375"/>
      <c r="T6" s="3374" t="s">
        <v>525</v>
      </c>
      <c r="U6" s="3375"/>
      <c r="V6" s="3361" t="s">
        <v>526</v>
      </c>
      <c r="W6" s="3361"/>
      <c r="X6" s="1569"/>
      <c r="Y6" s="3374" t="s">
        <v>528</v>
      </c>
      <c r="Z6" s="3375"/>
      <c r="AA6" s="3363" t="s">
        <v>524</v>
      </c>
      <c r="AB6" s="3364" t="s">
        <v>525</v>
      </c>
      <c r="AC6" s="3363" t="s">
        <v>526</v>
      </c>
    </row>
    <row r="7" spans="1:29" ht="15">
      <c r="A7" s="518"/>
      <c r="B7" s="519"/>
      <c r="C7" s="3384" t="s">
        <v>2934</v>
      </c>
      <c r="D7" s="3383"/>
      <c r="E7" s="3417" t="s">
        <v>2935</v>
      </c>
      <c r="F7" s="3403"/>
      <c r="G7" s="3384" t="s">
        <v>2936</v>
      </c>
      <c r="H7" s="3383"/>
      <c r="I7" s="3384" t="s">
        <v>2937</v>
      </c>
      <c r="J7" s="3383"/>
      <c r="K7" s="517"/>
      <c r="L7" s="2134"/>
      <c r="M7" s="2135"/>
      <c r="N7" s="2135"/>
      <c r="O7" s="2135"/>
      <c r="P7" s="3370"/>
      <c r="Q7" s="3371"/>
      <c r="R7" s="3376"/>
      <c r="S7" s="3377"/>
      <c r="T7" s="3376"/>
      <c r="U7" s="3377"/>
      <c r="V7" s="3361"/>
      <c r="W7" s="3361"/>
      <c r="X7" s="1569"/>
      <c r="Y7" s="3376"/>
      <c r="Z7" s="3377"/>
      <c r="AA7" s="3364"/>
      <c r="AB7" s="3364"/>
      <c r="AC7" s="3364"/>
    </row>
    <row r="8" spans="1:29" ht="15.75" thickBot="1">
      <c r="A8" s="520"/>
      <c r="B8" s="521"/>
      <c r="C8" s="3404" t="s">
        <v>2938</v>
      </c>
      <c r="D8" s="3381"/>
      <c r="E8" s="3416" t="s">
        <v>2938</v>
      </c>
      <c r="F8" s="3406"/>
      <c r="G8" s="3404" t="s">
        <v>2938</v>
      </c>
      <c r="H8" s="3381"/>
      <c r="I8" s="3404" t="s">
        <v>2938</v>
      </c>
      <c r="J8" s="3381"/>
      <c r="K8" s="517" t="s">
        <v>529</v>
      </c>
      <c r="L8" s="2134"/>
      <c r="M8" s="2135"/>
      <c r="N8" s="2135"/>
      <c r="O8" s="2135"/>
      <c r="P8" s="3372"/>
      <c r="Q8" s="3373"/>
      <c r="R8" s="3376"/>
      <c r="S8" s="3377"/>
      <c r="T8" s="3378"/>
      <c r="U8" s="3379"/>
      <c r="V8" s="3361"/>
      <c r="W8" s="3361"/>
      <c r="X8" s="1569"/>
      <c r="Y8" s="3378"/>
      <c r="Z8" s="3379"/>
      <c r="AA8" s="3365"/>
      <c r="AB8" s="3365"/>
      <c r="AC8" s="3365"/>
    </row>
    <row r="9" spans="1:29" s="1222" customFormat="1" ht="15.75" thickBot="1">
      <c r="A9" s="2939"/>
      <c r="B9" s="2946" t="s">
        <v>530</v>
      </c>
      <c r="C9" s="522">
        <f>'数据-取费表'!B2</f>
        <v>43025</v>
      </c>
      <c r="D9" s="523">
        <v>100</v>
      </c>
      <c r="E9" s="524"/>
      <c r="F9" s="525">
        <f>SUMIF(67:67,YEAR(E9)&amp;"-"&amp;INT((MONTH(E9)+2)/3),68:68)</f>
        <v>0</v>
      </c>
      <c r="G9" s="526"/>
      <c r="H9" s="523">
        <f>SUMIF(67:67,YEAR(G9)&amp;"-"&amp;INT((MONTH(G9)+2)/3),68:68)</f>
        <v>0</v>
      </c>
      <c r="I9" s="526"/>
      <c r="J9" s="523">
        <f>SUMIF(67:67,YEAR(I9)&amp;"-"&amp;INT((MONTH(I9)+2)/3),68:68)</f>
        <v>0</v>
      </c>
      <c r="K9" s="527"/>
      <c r="L9" s="2136"/>
      <c r="M9" s="2137"/>
      <c r="N9" s="2137"/>
      <c r="O9" s="2137"/>
      <c r="P9" s="3393" t="s">
        <v>531</v>
      </c>
      <c r="Q9" s="3395"/>
      <c r="R9" s="1570" t="s">
        <v>8</v>
      </c>
      <c r="S9" s="1571">
        <f t="shared" ref="S9:S17" si="0">F9</f>
        <v>0</v>
      </c>
      <c r="T9" s="1570" t="s">
        <v>8</v>
      </c>
      <c r="U9" s="1571">
        <f t="shared" ref="U9:U17" si="1">H9</f>
        <v>0</v>
      </c>
      <c r="V9" s="1570" t="s">
        <v>8</v>
      </c>
      <c r="W9" s="1571">
        <f t="shared" ref="W9:W17" si="2">J9</f>
        <v>0</v>
      </c>
      <c r="X9" s="1572"/>
      <c r="Y9" s="3393" t="s">
        <v>531</v>
      </c>
      <c r="Z9" s="3394"/>
      <c r="AA9" s="1573" t="e">
        <f>D9/F9</f>
        <v>#DIV/0!</v>
      </c>
      <c r="AB9" s="1573" t="e">
        <f>D9/H9</f>
        <v>#DIV/0!</v>
      </c>
      <c r="AC9" s="1573" t="e">
        <f>D9/J9</f>
        <v>#DIV/0!</v>
      </c>
    </row>
    <row r="10" spans="1:29" s="1222" customFormat="1" ht="15.75" thickBot="1">
      <c r="A10" s="2940"/>
      <c r="B10" s="2947"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6"/>
      <c r="M10" s="2137"/>
      <c r="N10" s="2137"/>
      <c r="O10" s="2137"/>
      <c r="P10" s="3393" t="s">
        <v>534</v>
      </c>
      <c r="Q10" s="3394"/>
      <c r="R10" s="1570" t="s">
        <v>8</v>
      </c>
      <c r="S10" s="1571">
        <f t="shared" si="0"/>
        <v>0</v>
      </c>
      <c r="T10" s="1570" t="s">
        <v>8</v>
      </c>
      <c r="U10" s="1571">
        <f t="shared" si="1"/>
        <v>0</v>
      </c>
      <c r="V10" s="1570" t="s">
        <v>8</v>
      </c>
      <c r="W10" s="1571">
        <f t="shared" si="2"/>
        <v>0</v>
      </c>
      <c r="X10" s="1572"/>
      <c r="Y10" s="3393" t="s">
        <v>534</v>
      </c>
      <c r="Z10" s="3394"/>
      <c r="AA10" s="1573" t="e">
        <f t="shared" ref="AA10:AA42" si="3">D10/F10</f>
        <v>#DIV/0!</v>
      </c>
      <c r="AB10" s="1573" t="e">
        <f t="shared" ref="AB10:AB42" si="4">D10/H10</f>
        <v>#DIV/0!</v>
      </c>
      <c r="AC10" s="1573" t="e">
        <f t="shared" ref="AC10:AC42" si="5">D10/J10</f>
        <v>#DIV/0!</v>
      </c>
    </row>
    <row r="11" spans="1:29" s="1222" customFormat="1" ht="15">
      <c r="A11" s="2941"/>
      <c r="B11" s="2948" t="s">
        <v>2763</v>
      </c>
      <c r="C11" s="529"/>
      <c r="D11" s="254">
        <v>100</v>
      </c>
      <c r="E11" s="529"/>
      <c r="F11" s="254">
        <f>SUMIF(72:72,E11,73:73)-SUMIF(72:72,C11,73:73)+100</f>
        <v>100</v>
      </c>
      <c r="G11" s="529"/>
      <c r="H11" s="254">
        <f>SUMIF(72:72,G11,73:73)-SUMIF(72:72,C11,73:73)+100</f>
        <v>100</v>
      </c>
      <c r="I11" s="529"/>
      <c r="J11" s="254">
        <f>SUMIF(72:72,I11,73:73)-SUMIF(72:72,C11,73:73)+100</f>
        <v>100</v>
      </c>
      <c r="K11" s="527"/>
      <c r="L11" s="2136"/>
      <c r="M11" s="2137"/>
      <c r="N11" s="2137"/>
      <c r="O11" s="2138"/>
      <c r="P11" s="3360" t="s">
        <v>536</v>
      </c>
      <c r="Q11" s="1153" t="str">
        <f t="shared" ref="Q11:Q17" si="6">B11</f>
        <v>用途</v>
      </c>
      <c r="R11" s="1570" t="s">
        <v>8</v>
      </c>
      <c r="S11" s="1571">
        <f t="shared" si="0"/>
        <v>100</v>
      </c>
      <c r="T11" s="1570" t="s">
        <v>8</v>
      </c>
      <c r="U11" s="1571">
        <f t="shared" si="1"/>
        <v>100</v>
      </c>
      <c r="V11" s="1570" t="s">
        <v>8</v>
      </c>
      <c r="W11" s="1571">
        <f t="shared" si="2"/>
        <v>100</v>
      </c>
      <c r="X11" s="1572"/>
      <c r="Y11" s="3306" t="s">
        <v>537</v>
      </c>
      <c r="Z11" s="1152" t="str">
        <f t="shared" ref="Z11:Z17" si="7">Q11</f>
        <v>用途</v>
      </c>
      <c r="AA11" s="1573">
        <f t="shared" si="3"/>
        <v>1</v>
      </c>
      <c r="AB11" s="1573">
        <f t="shared" si="4"/>
        <v>1</v>
      </c>
      <c r="AC11" s="1573">
        <f t="shared" si="5"/>
        <v>1</v>
      </c>
    </row>
    <row r="12" spans="1:29" s="1340" customFormat="1" ht="27">
      <c r="A12" s="2942"/>
      <c r="B12" s="2947" t="s">
        <v>2764</v>
      </c>
      <c r="C12" s="531"/>
      <c r="D12" s="255">
        <v>100</v>
      </c>
      <c r="E12" s="531"/>
      <c r="F12" s="255">
        <f>ROUND(100/'数据-取费表'!G16,0)</f>
        <v>112</v>
      </c>
      <c r="G12" s="531"/>
      <c r="H12" s="255">
        <f>ROUND(100/'数据-取费表'!G16,0)</f>
        <v>112</v>
      </c>
      <c r="I12" s="531"/>
      <c r="J12" s="255">
        <f>ROUND(100/'数据-取费表'!G16,0)</f>
        <v>112</v>
      </c>
      <c r="K12" s="534"/>
      <c r="L12" s="2139"/>
      <c r="M12" s="2179"/>
      <c r="N12" s="2179"/>
      <c r="O12" s="2140"/>
      <c r="P12" s="3360"/>
      <c r="Q12" s="1153" t="str">
        <f t="shared" si="6"/>
        <v>土地使用年限（年）</v>
      </c>
      <c r="R12" s="1570" t="s">
        <v>8</v>
      </c>
      <c r="S12" s="1571">
        <f t="shared" si="0"/>
        <v>112</v>
      </c>
      <c r="T12" s="1570" t="s">
        <v>8</v>
      </c>
      <c r="U12" s="1571">
        <f t="shared" si="1"/>
        <v>112</v>
      </c>
      <c r="V12" s="1570" t="s">
        <v>8</v>
      </c>
      <c r="W12" s="1571">
        <f t="shared" si="2"/>
        <v>112</v>
      </c>
      <c r="X12" s="1572"/>
      <c r="Y12" s="3306"/>
      <c r="Z12" s="1152" t="str">
        <f t="shared" si="7"/>
        <v>土地使用年限（年）</v>
      </c>
      <c r="AA12" s="1573">
        <f t="shared" si="3"/>
        <v>0.8928571428571429</v>
      </c>
      <c r="AB12" s="1573">
        <f t="shared" si="4"/>
        <v>0.8928571428571429</v>
      </c>
      <c r="AC12" s="1573">
        <f t="shared" si="5"/>
        <v>0.8928571428571429</v>
      </c>
    </row>
    <row r="13" spans="1:29" ht="15">
      <c r="A13" s="2943"/>
      <c r="B13" s="2947"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1"/>
      <c r="M13" s="2135"/>
      <c r="N13" s="2135"/>
      <c r="O13" s="2142"/>
      <c r="P13" s="3360"/>
      <c r="Q13" s="1153" t="str">
        <f t="shared" si="6"/>
        <v>容积率</v>
      </c>
      <c r="R13" s="1570" t="s">
        <v>8</v>
      </c>
      <c r="S13" s="1571" t="e">
        <f t="shared" si="0"/>
        <v>#N/A</v>
      </c>
      <c r="T13" s="1570" t="s">
        <v>8</v>
      </c>
      <c r="U13" s="1571" t="e">
        <f t="shared" si="1"/>
        <v>#N/A</v>
      </c>
      <c r="V13" s="1570" t="s">
        <v>8</v>
      </c>
      <c r="W13" s="1571" t="e">
        <f t="shared" si="2"/>
        <v>#N/A</v>
      </c>
      <c r="X13" s="1572"/>
      <c r="Y13" s="3306"/>
      <c r="Z13" s="1152" t="str">
        <f t="shared" si="7"/>
        <v>容积率</v>
      </c>
      <c r="AA13" s="1573" t="e">
        <f t="shared" si="3"/>
        <v>#N/A</v>
      </c>
      <c r="AB13" s="1573" t="e">
        <f t="shared" si="4"/>
        <v>#N/A</v>
      </c>
      <c r="AC13" s="1573" t="e">
        <f t="shared" si="5"/>
        <v>#N/A</v>
      </c>
    </row>
    <row r="14" spans="1:29" s="1222" customFormat="1" ht="15">
      <c r="A14" s="2944"/>
      <c r="B14" s="2950">
        <v>111</v>
      </c>
      <c r="C14" s="531"/>
      <c r="D14" s="541">
        <v>100</v>
      </c>
      <c r="E14" s="544"/>
      <c r="F14" s="255">
        <f>SUMIF(79:79,E14,80:80)-SUMIF(79:79,C14,80:80)+100</f>
        <v>100</v>
      </c>
      <c r="G14" s="545"/>
      <c r="H14" s="255">
        <f>SUMIF(79:79,G14,80:80)-SUMIF(79:79,C14,80:80)+100</f>
        <v>100</v>
      </c>
      <c r="I14" s="544"/>
      <c r="J14" s="255">
        <f>SUMIF(79:79,I14,80:80)-SUMIF(79:79,C14,80:80)+100</f>
        <v>100</v>
      </c>
      <c r="K14" s="534"/>
      <c r="L14" s="2136"/>
      <c r="M14" s="2137"/>
      <c r="N14" s="2137"/>
      <c r="O14" s="2138"/>
      <c r="P14" s="3360"/>
      <c r="Q14" s="1153">
        <f t="shared" si="6"/>
        <v>111</v>
      </c>
      <c r="R14" s="1570" t="s">
        <v>8</v>
      </c>
      <c r="S14" s="1571">
        <f t="shared" si="0"/>
        <v>100</v>
      </c>
      <c r="T14" s="1570" t="s">
        <v>8</v>
      </c>
      <c r="U14" s="1571">
        <f t="shared" si="1"/>
        <v>100</v>
      </c>
      <c r="V14" s="1570" t="s">
        <v>8</v>
      </c>
      <c r="W14" s="1571">
        <f t="shared" si="2"/>
        <v>100</v>
      </c>
      <c r="X14" s="1572"/>
      <c r="Y14" s="3306"/>
      <c r="Z14" s="1152">
        <f t="shared" si="7"/>
        <v>111</v>
      </c>
      <c r="AA14" s="1573">
        <f>D14/F14</f>
        <v>1</v>
      </c>
      <c r="AB14" s="1573">
        <f>D14/H14</f>
        <v>1</v>
      </c>
      <c r="AC14" s="1573">
        <f>D14/J14</f>
        <v>1</v>
      </c>
    </row>
    <row r="15" spans="1:29" ht="15">
      <c r="A15" s="2944"/>
      <c r="B15" s="2950">
        <v>111</v>
      </c>
      <c r="C15" s="542"/>
      <c r="D15" s="543">
        <v>100</v>
      </c>
      <c r="E15" s="544"/>
      <c r="F15" s="255">
        <f>SUMIF(81:81,E15,82:82)-SUMIF(81:81,C15,82:82)+100</f>
        <v>100</v>
      </c>
      <c r="G15" s="545"/>
      <c r="H15" s="543">
        <f>SUMIF(81:81,G15,82:82)-SUMIF(81:81,C15,82:82)+100</f>
        <v>100</v>
      </c>
      <c r="I15" s="544"/>
      <c r="J15" s="543">
        <f>SUMIF(81:81,I15,82:82)-SUMIF(81:81,C15,82:82)+100</f>
        <v>100</v>
      </c>
      <c r="K15" s="534"/>
      <c r="L15" s="2143"/>
      <c r="M15" s="2135"/>
      <c r="N15" s="2135"/>
      <c r="O15" s="2142"/>
      <c r="P15" s="3360"/>
      <c r="Q15" s="1153">
        <f t="shared" si="6"/>
        <v>111</v>
      </c>
      <c r="R15" s="1570" t="s">
        <v>8</v>
      </c>
      <c r="S15" s="1571">
        <f t="shared" si="0"/>
        <v>100</v>
      </c>
      <c r="T15" s="1570" t="s">
        <v>8</v>
      </c>
      <c r="U15" s="1571">
        <f t="shared" si="1"/>
        <v>100</v>
      </c>
      <c r="V15" s="1570" t="s">
        <v>8</v>
      </c>
      <c r="W15" s="1571">
        <f t="shared" si="2"/>
        <v>100</v>
      </c>
      <c r="X15" s="1572"/>
      <c r="Y15" s="3306"/>
      <c r="Z15" s="1152">
        <f t="shared" si="7"/>
        <v>111</v>
      </c>
      <c r="AA15" s="1573">
        <f t="shared" si="3"/>
        <v>1</v>
      </c>
      <c r="AB15" s="1573">
        <f t="shared" si="4"/>
        <v>1</v>
      </c>
      <c r="AC15" s="1573">
        <f t="shared" si="5"/>
        <v>1</v>
      </c>
    </row>
    <row r="16" spans="1:29" ht="15.75" thickBot="1">
      <c r="A16" s="2945"/>
      <c r="B16" s="2951">
        <v>111</v>
      </c>
      <c r="C16" s="548"/>
      <c r="D16" s="549">
        <v>100</v>
      </c>
      <c r="E16" s="544"/>
      <c r="F16" s="549">
        <f>SUMIF(83:83,E16,84:84)-SUMIF(83:83,C16,84:84)+100</f>
        <v>100</v>
      </c>
      <c r="G16" s="545"/>
      <c r="H16" s="549">
        <f>SUMIF(83:83,G16,84:84)-SUMIF(83:83,C16,84:84)+100</f>
        <v>100</v>
      </c>
      <c r="I16" s="544"/>
      <c r="J16" s="549">
        <f>SUMIF(83:83,I16,84:84)-SUMIF(83:83,C16,84:84)+100</f>
        <v>100</v>
      </c>
      <c r="K16" s="534"/>
      <c r="L16" s="2143"/>
      <c r="M16" s="2135"/>
      <c r="N16" s="2135"/>
      <c r="O16" s="2142"/>
      <c r="P16" s="3360"/>
      <c r="Q16" s="1153">
        <f t="shared" si="6"/>
        <v>111</v>
      </c>
      <c r="R16" s="1570" t="s">
        <v>8</v>
      </c>
      <c r="S16" s="1571">
        <f t="shared" si="0"/>
        <v>100</v>
      </c>
      <c r="T16" s="1570" t="s">
        <v>8</v>
      </c>
      <c r="U16" s="1571">
        <f t="shared" si="1"/>
        <v>100</v>
      </c>
      <c r="V16" s="1570" t="s">
        <v>8</v>
      </c>
      <c r="W16" s="1571">
        <f t="shared" si="2"/>
        <v>100</v>
      </c>
      <c r="X16" s="1572"/>
      <c r="Y16" s="3306"/>
      <c r="Z16" s="1152">
        <f t="shared" si="7"/>
        <v>111</v>
      </c>
      <c r="AA16" s="1573">
        <f t="shared" si="3"/>
        <v>1</v>
      </c>
      <c r="AB16" s="1573">
        <f t="shared" si="4"/>
        <v>1</v>
      </c>
      <c r="AC16" s="1573">
        <f t="shared" si="5"/>
        <v>1</v>
      </c>
    </row>
    <row r="17" spans="1:29" ht="57">
      <c r="A17" s="2937" t="s">
        <v>2761</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3"/>
      <c r="M17" s="2135"/>
      <c r="N17" s="2135"/>
      <c r="O17" s="2142"/>
      <c r="P17" s="3396" t="s">
        <v>541</v>
      </c>
      <c r="Q17" s="1574" t="str">
        <f t="shared" si="6"/>
        <v>产业集聚程度</v>
      </c>
      <c r="R17" s="1575" t="s">
        <v>8</v>
      </c>
      <c r="S17" s="1576">
        <f t="shared" si="0"/>
        <v>100</v>
      </c>
      <c r="T17" s="1575" t="s">
        <v>8</v>
      </c>
      <c r="U17" s="1576">
        <f t="shared" si="1"/>
        <v>100</v>
      </c>
      <c r="V17" s="1575" t="s">
        <v>8</v>
      </c>
      <c r="W17" s="1576">
        <f t="shared" si="2"/>
        <v>100</v>
      </c>
      <c r="X17" s="1569"/>
      <c r="Y17" s="3396"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3"/>
      <c r="M18" s="2135"/>
      <c r="N18" s="2135"/>
      <c r="O18" s="2142"/>
      <c r="P18" s="3397"/>
      <c r="Q18" s="1574"/>
      <c r="R18" s="1575"/>
      <c r="S18" s="1576"/>
      <c r="T18" s="1575"/>
      <c r="U18" s="1576"/>
      <c r="V18" s="1575"/>
      <c r="W18" s="1576"/>
      <c r="X18" s="1569"/>
      <c r="Y18" s="3397"/>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3"/>
      <c r="M19" s="2135"/>
      <c r="N19" s="2135"/>
      <c r="O19" s="2142"/>
      <c r="P19" s="3397"/>
      <c r="Q19" s="1574" t="str">
        <f>B19</f>
        <v>交通便捷度</v>
      </c>
      <c r="R19" s="1575" t="s">
        <v>8</v>
      </c>
      <c r="S19" s="1576">
        <f>F19</f>
        <v>100</v>
      </c>
      <c r="T19" s="1575" t="s">
        <v>8</v>
      </c>
      <c r="U19" s="1576">
        <f>H19</f>
        <v>100</v>
      </c>
      <c r="V19" s="1575" t="s">
        <v>8</v>
      </c>
      <c r="W19" s="1576">
        <f>J19</f>
        <v>100</v>
      </c>
      <c r="X19" s="1569"/>
      <c r="Y19" s="3397"/>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3"/>
      <c r="M20" s="2135"/>
      <c r="N20" s="2135"/>
      <c r="O20" s="2142"/>
      <c r="P20" s="3397"/>
      <c r="Q20" s="1574"/>
      <c r="R20" s="1575"/>
      <c r="S20" s="1576"/>
      <c r="T20" s="1575"/>
      <c r="U20" s="1576"/>
      <c r="V20" s="1575"/>
      <c r="W20" s="1576"/>
      <c r="X20" s="1569"/>
      <c r="Y20" s="3397"/>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3"/>
      <c r="M21" s="2135"/>
      <c r="N21" s="2135"/>
      <c r="O21" s="2142"/>
      <c r="P21" s="3397"/>
      <c r="Q21" s="1574" t="str">
        <f t="shared" ref="Q21:Q35" si="8">B21</f>
        <v>区域土地利用方向</v>
      </c>
      <c r="R21" s="1575" t="s">
        <v>8</v>
      </c>
      <c r="S21" s="1576">
        <f>F21</f>
        <v>100</v>
      </c>
      <c r="T21" s="1575" t="s">
        <v>8</v>
      </c>
      <c r="U21" s="1576">
        <f>H21</f>
        <v>100</v>
      </c>
      <c r="V21" s="1575" t="s">
        <v>8</v>
      </c>
      <c r="W21" s="1576">
        <f>J21</f>
        <v>100</v>
      </c>
      <c r="X21" s="1569"/>
      <c r="Y21" s="3397"/>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3"/>
      <c r="M22" s="2135"/>
      <c r="N22" s="2135"/>
      <c r="O22" s="2142"/>
      <c r="P22" s="3397"/>
      <c r="Q22" s="1574"/>
      <c r="R22" s="1575"/>
      <c r="S22" s="1576"/>
      <c r="T22" s="1575"/>
      <c r="U22" s="1576"/>
      <c r="V22" s="1575"/>
      <c r="W22" s="1576"/>
      <c r="X22" s="1569"/>
      <c r="Y22" s="3397"/>
      <c r="Z22" s="1577"/>
      <c r="AA22" s="1578"/>
      <c r="AB22" s="1578"/>
      <c r="AC22" s="1578"/>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3"/>
      <c r="M23" s="2135"/>
      <c r="N23" s="2135"/>
      <c r="O23" s="2142"/>
      <c r="P23" s="3397"/>
      <c r="Q23" s="1574" t="str">
        <f t="shared" si="8"/>
        <v>环境状况</v>
      </c>
      <c r="R23" s="1575" t="s">
        <v>8</v>
      </c>
      <c r="S23" s="1576">
        <f>F23</f>
        <v>100</v>
      </c>
      <c r="T23" s="1575" t="s">
        <v>8</v>
      </c>
      <c r="U23" s="1576">
        <f>H23</f>
        <v>100</v>
      </c>
      <c r="V23" s="1575" t="s">
        <v>8</v>
      </c>
      <c r="W23" s="1576">
        <f>J23</f>
        <v>100</v>
      </c>
      <c r="X23" s="1569"/>
      <c r="Y23" s="3397"/>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3"/>
      <c r="M24" s="2135"/>
      <c r="N24" s="2135"/>
      <c r="O24" s="2142"/>
      <c r="P24" s="3397"/>
      <c r="Q24" s="1574"/>
      <c r="R24" s="1575"/>
      <c r="S24" s="1576"/>
      <c r="T24" s="1575"/>
      <c r="U24" s="1576"/>
      <c r="V24" s="1575"/>
      <c r="W24" s="1576"/>
      <c r="X24" s="1569"/>
      <c r="Y24" s="3397"/>
      <c r="Z24" s="1577"/>
      <c r="AA24" s="1578">
        <v>1</v>
      </c>
      <c r="AB24" s="1578">
        <v>1</v>
      </c>
      <c r="AC24" s="1578">
        <v>1</v>
      </c>
    </row>
    <row r="25" spans="1:29" s="1222" customFormat="1" ht="42.75">
      <c r="A25" s="580"/>
      <c r="B25" s="2618"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6"/>
      <c r="M25" s="2137"/>
      <c r="N25" s="2137"/>
      <c r="O25" s="2138"/>
      <c r="P25" s="3397"/>
      <c r="Q25" s="1153" t="str">
        <f t="shared" si="8"/>
        <v>公共配套设施</v>
      </c>
      <c r="R25" s="1570" t="s">
        <v>8</v>
      </c>
      <c r="S25" s="1571">
        <f>F25</f>
        <v>100</v>
      </c>
      <c r="T25" s="1570" t="s">
        <v>8</v>
      </c>
      <c r="U25" s="1571">
        <f>H25</f>
        <v>100</v>
      </c>
      <c r="V25" s="1570" t="s">
        <v>8</v>
      </c>
      <c r="W25" s="1571">
        <f>J25</f>
        <v>100</v>
      </c>
      <c r="X25" s="1572"/>
      <c r="Y25" s="3397"/>
      <c r="Z25" s="1152" t="str">
        <f>Q25</f>
        <v>公共配套设施</v>
      </c>
      <c r="AA25" s="1578">
        <f>D25/F25</f>
        <v>1</v>
      </c>
      <c r="AB25" s="1578">
        <f>D25/H25</f>
        <v>1</v>
      </c>
      <c r="AC25" s="1578">
        <f>D25/J25</f>
        <v>1</v>
      </c>
    </row>
    <row r="26" spans="1:29" s="1222" customFormat="1" ht="15">
      <c r="A26" s="580"/>
      <c r="B26" s="598"/>
      <c r="C26" s="2617"/>
      <c r="D26" s="558"/>
      <c r="E26" s="557"/>
      <c r="F26" s="558"/>
      <c r="G26" s="557"/>
      <c r="H26" s="558"/>
      <c r="I26" s="579"/>
      <c r="J26" s="558"/>
      <c r="K26" s="534"/>
      <c r="L26" s="2136"/>
      <c r="M26" s="2137"/>
      <c r="N26" s="2137"/>
      <c r="O26" s="2138"/>
      <c r="P26" s="3397"/>
      <c r="Q26" s="1153"/>
      <c r="R26" s="1570"/>
      <c r="S26" s="1571"/>
      <c r="T26" s="1570"/>
      <c r="U26" s="1571"/>
      <c r="V26" s="1570"/>
      <c r="W26" s="1571"/>
      <c r="X26" s="1572"/>
      <c r="Y26" s="3397"/>
      <c r="Z26" s="1152"/>
      <c r="AA26" s="1573">
        <v>1</v>
      </c>
      <c r="AB26" s="1573">
        <v>1</v>
      </c>
      <c r="AC26" s="1573">
        <v>1</v>
      </c>
    </row>
    <row r="27" spans="1:29" s="1222" customFormat="1" ht="28.5">
      <c r="A27" s="580"/>
      <c r="B27" s="2618"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6"/>
      <c r="M27" s="2137"/>
      <c r="N27" s="2137"/>
      <c r="O27" s="2138"/>
      <c r="P27" s="3397"/>
      <c r="Q27" s="2603" t="str">
        <f t="shared" ref="Q27" si="9">B27</f>
        <v>基础设施水平</v>
      </c>
      <c r="R27" s="1570" t="s">
        <v>8</v>
      </c>
      <c r="S27" s="1571">
        <f>F27</f>
        <v>100</v>
      </c>
      <c r="T27" s="1570" t="s">
        <v>8</v>
      </c>
      <c r="U27" s="1571">
        <f>H27</f>
        <v>100</v>
      </c>
      <c r="V27" s="1570" t="s">
        <v>8</v>
      </c>
      <c r="W27" s="1571">
        <f>J27</f>
        <v>100</v>
      </c>
      <c r="X27" s="1572"/>
      <c r="Y27" s="3397"/>
      <c r="Z27" s="2600" t="str">
        <f>Q27</f>
        <v>基础设施水平</v>
      </c>
      <c r="AA27" s="1578">
        <f>D27/F27</f>
        <v>1</v>
      </c>
      <c r="AB27" s="1578">
        <f>D27/H27</f>
        <v>1</v>
      </c>
      <c r="AC27" s="1578">
        <f>D27/J27</f>
        <v>1</v>
      </c>
    </row>
    <row r="28" spans="1:29" s="1222" customFormat="1" ht="15">
      <c r="A28" s="580"/>
      <c r="B28" s="598"/>
      <c r="C28" s="2617"/>
      <c r="D28" s="558"/>
      <c r="E28" s="582"/>
      <c r="F28" s="558"/>
      <c r="G28" s="582"/>
      <c r="H28" s="558"/>
      <c r="I28" s="582"/>
      <c r="J28" s="558"/>
      <c r="K28" s="534"/>
      <c r="L28" s="2136"/>
      <c r="M28" s="2137"/>
      <c r="N28" s="2137"/>
      <c r="O28" s="2138"/>
      <c r="P28" s="3397"/>
      <c r="Q28" s="2603"/>
      <c r="R28" s="1570"/>
      <c r="S28" s="1571"/>
      <c r="T28" s="1570"/>
      <c r="U28" s="1571"/>
      <c r="V28" s="1570"/>
      <c r="W28" s="1571"/>
      <c r="X28" s="1572"/>
      <c r="Y28" s="3397"/>
      <c r="Z28" s="2600"/>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3"/>
      <c r="M29" s="2135"/>
      <c r="N29" s="2135"/>
      <c r="O29" s="2142"/>
      <c r="P29" s="3397"/>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97"/>
      <c r="Z29" s="1577" t="str">
        <f t="shared" ref="Z29:Z42" si="13">Q29</f>
        <v>临街状况</v>
      </c>
      <c r="AA29" s="1578">
        <f t="shared" si="3"/>
        <v>1</v>
      </c>
      <c r="AB29" s="1578">
        <f t="shared" si="4"/>
        <v>1</v>
      </c>
      <c r="AC29" s="1578">
        <f t="shared" si="5"/>
        <v>1</v>
      </c>
    </row>
    <row r="30" spans="1:29" ht="27">
      <c r="A30" s="535"/>
      <c r="B30" s="924" t="s">
        <v>549</v>
      </c>
      <c r="C30" s="262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3"/>
      <c r="M30" s="2135"/>
      <c r="N30" s="2135"/>
      <c r="O30" s="2142"/>
      <c r="P30" s="3397"/>
      <c r="Q30" s="1574" t="str">
        <f t="shared" si="8"/>
        <v>毗邻道路的类型与等级</v>
      </c>
      <c r="R30" s="1575" t="s">
        <v>8</v>
      </c>
      <c r="S30" s="1576">
        <f t="shared" si="10"/>
        <v>100</v>
      </c>
      <c r="T30" s="1575" t="s">
        <v>8</v>
      </c>
      <c r="U30" s="1576">
        <f t="shared" si="11"/>
        <v>100</v>
      </c>
      <c r="V30" s="1575" t="s">
        <v>8</v>
      </c>
      <c r="W30" s="1576">
        <f t="shared" si="12"/>
        <v>100</v>
      </c>
      <c r="X30" s="1569"/>
      <c r="Y30" s="3397"/>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3"/>
      <c r="M31" s="2135"/>
      <c r="N31" s="2135"/>
      <c r="O31" s="2142"/>
      <c r="P31" s="3397"/>
      <c r="Q31" s="1574"/>
      <c r="R31" s="1575"/>
      <c r="S31" s="1576"/>
      <c r="T31" s="1575"/>
      <c r="U31" s="1576"/>
      <c r="V31" s="1575"/>
      <c r="W31" s="1576"/>
      <c r="X31" s="1569"/>
      <c r="Y31" s="3397"/>
      <c r="Z31" s="1577"/>
      <c r="AA31" s="1578">
        <v>1</v>
      </c>
      <c r="AB31" s="1578">
        <v>1</v>
      </c>
      <c r="AC31" s="1578">
        <v>1</v>
      </c>
    </row>
    <row r="32" spans="1:29" ht="15">
      <c r="A32" s="535"/>
      <c r="B32" s="530" t="s">
        <v>550</v>
      </c>
      <c r="C32" s="262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3"/>
      <c r="M32" s="2135"/>
      <c r="N32" s="2135"/>
      <c r="O32" s="2142"/>
      <c r="P32" s="3397"/>
      <c r="Q32" s="1574" t="str">
        <f t="shared" si="8"/>
        <v>土地级别</v>
      </c>
      <c r="R32" s="1575" t="s">
        <v>8</v>
      </c>
      <c r="S32" s="1576">
        <f t="shared" si="10"/>
        <v>100</v>
      </c>
      <c r="T32" s="1575" t="s">
        <v>8</v>
      </c>
      <c r="U32" s="1576">
        <f t="shared" si="11"/>
        <v>100</v>
      </c>
      <c r="V32" s="1575" t="s">
        <v>8</v>
      </c>
      <c r="W32" s="1576">
        <f t="shared" si="12"/>
        <v>100</v>
      </c>
      <c r="X32" s="1569"/>
      <c r="Y32" s="3397"/>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3"/>
      <c r="M33" s="2135"/>
      <c r="N33" s="2135"/>
      <c r="O33" s="2142"/>
      <c r="P33" s="3397"/>
      <c r="Q33" s="1574">
        <f t="shared" si="8"/>
        <v>111</v>
      </c>
      <c r="R33" s="1575" t="s">
        <v>8</v>
      </c>
      <c r="S33" s="1576">
        <f t="shared" si="10"/>
        <v>100</v>
      </c>
      <c r="T33" s="1575" t="s">
        <v>8</v>
      </c>
      <c r="U33" s="1576">
        <f t="shared" si="11"/>
        <v>100</v>
      </c>
      <c r="V33" s="1575" t="s">
        <v>8</v>
      </c>
      <c r="W33" s="1576">
        <f t="shared" si="12"/>
        <v>100</v>
      </c>
      <c r="X33" s="1569"/>
      <c r="Y33" s="3397"/>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3"/>
      <c r="M34" s="2135"/>
      <c r="N34" s="2135"/>
      <c r="O34" s="2142"/>
      <c r="P34" s="3398" t="s">
        <v>551</v>
      </c>
      <c r="Q34" s="1574">
        <f t="shared" si="8"/>
        <v>111</v>
      </c>
      <c r="R34" s="1575" t="s">
        <v>8</v>
      </c>
      <c r="S34" s="1576">
        <f t="shared" si="10"/>
        <v>100</v>
      </c>
      <c r="T34" s="1575" t="s">
        <v>8</v>
      </c>
      <c r="U34" s="1576">
        <f t="shared" si="11"/>
        <v>100</v>
      </c>
      <c r="V34" s="1575" t="s">
        <v>8</v>
      </c>
      <c r="W34" s="1576">
        <f t="shared" si="12"/>
        <v>100</v>
      </c>
      <c r="X34" s="1569"/>
      <c r="Y34" s="3399" t="s">
        <v>551</v>
      </c>
      <c r="Z34" s="1577">
        <f t="shared" si="13"/>
        <v>111</v>
      </c>
      <c r="AA34" s="1578">
        <f t="shared" si="3"/>
        <v>1</v>
      </c>
      <c r="AB34" s="1578">
        <f t="shared" si="4"/>
        <v>1</v>
      </c>
      <c r="AC34" s="1578">
        <f t="shared" si="5"/>
        <v>1</v>
      </c>
    </row>
    <row r="35" spans="1:29" s="1341" customFormat="1" ht="15.75" thickBot="1">
      <c r="A35" s="592"/>
      <c r="B35" s="261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1"/>
      <c r="M35" s="2172"/>
      <c r="N35" s="2172"/>
      <c r="O35" s="2144"/>
      <c r="P35" s="3399"/>
      <c r="Q35" s="1574">
        <f t="shared" si="8"/>
        <v>111</v>
      </c>
      <c r="R35" s="1579" t="s">
        <v>8</v>
      </c>
      <c r="S35" s="1580">
        <f t="shared" si="10"/>
        <v>100</v>
      </c>
      <c r="T35" s="1579" t="s">
        <v>8</v>
      </c>
      <c r="U35" s="1580">
        <f t="shared" si="11"/>
        <v>100</v>
      </c>
      <c r="V35" s="1579" t="s">
        <v>8</v>
      </c>
      <c r="W35" s="1580">
        <f t="shared" si="12"/>
        <v>100</v>
      </c>
      <c r="X35" s="1581"/>
      <c r="Y35" s="3399"/>
      <c r="Z35" s="1582">
        <f t="shared" si="13"/>
        <v>111</v>
      </c>
      <c r="AA35" s="1578">
        <f t="shared" si="3"/>
        <v>1</v>
      </c>
      <c r="AB35" s="1578">
        <f t="shared" si="4"/>
        <v>1</v>
      </c>
      <c r="AC35" s="1578">
        <f t="shared" si="5"/>
        <v>1</v>
      </c>
    </row>
    <row r="36" spans="1:29" ht="15">
      <c r="A36" s="2934"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3"/>
      <c r="M36" s="2135"/>
      <c r="N36" s="2135"/>
      <c r="O36" s="2142"/>
      <c r="P36" s="3399"/>
      <c r="Q36" s="1574" t="str">
        <f>B36</f>
        <v>宗地面积</v>
      </c>
      <c r="R36" s="1575" t="s">
        <v>8</v>
      </c>
      <c r="S36" s="1576" t="e">
        <f t="shared" si="10"/>
        <v>#N/A</v>
      </c>
      <c r="T36" s="1575" t="s">
        <v>8</v>
      </c>
      <c r="U36" s="1576" t="e">
        <f t="shared" si="11"/>
        <v>#N/A</v>
      </c>
      <c r="V36" s="1575" t="s">
        <v>8</v>
      </c>
      <c r="W36" s="1576" t="e">
        <f t="shared" si="12"/>
        <v>#N/A</v>
      </c>
      <c r="X36" s="1569"/>
      <c r="Y36" s="3399"/>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3"/>
      <c r="M37" s="2135"/>
      <c r="N37" s="2135"/>
      <c r="O37" s="2142"/>
      <c r="P37" s="3399"/>
      <c r="Q37" s="1574" t="str">
        <f t="shared" ref="Q37:Q42" si="14">B37</f>
        <v>宗地形状</v>
      </c>
      <c r="R37" s="1575" t="s">
        <v>8</v>
      </c>
      <c r="S37" s="1576">
        <f t="shared" si="10"/>
        <v>100</v>
      </c>
      <c r="T37" s="1575" t="s">
        <v>8</v>
      </c>
      <c r="U37" s="1576">
        <f t="shared" si="11"/>
        <v>100</v>
      </c>
      <c r="V37" s="1575" t="s">
        <v>8</v>
      </c>
      <c r="W37" s="1576">
        <f t="shared" si="12"/>
        <v>100</v>
      </c>
      <c r="X37" s="1569"/>
      <c r="Y37" s="3399"/>
      <c r="Z37" s="1577" t="str">
        <f t="shared" si="13"/>
        <v>宗地形状</v>
      </c>
      <c r="AA37" s="1578">
        <f t="shared" si="3"/>
        <v>1</v>
      </c>
      <c r="AB37" s="1578">
        <f t="shared" si="4"/>
        <v>1</v>
      </c>
      <c r="AC37" s="1578">
        <f t="shared" si="5"/>
        <v>1</v>
      </c>
    </row>
    <row r="38" spans="1:29" s="1222" customFormat="1" ht="15">
      <c r="A38" s="603"/>
      <c r="B38" s="1896"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6"/>
      <c r="M38" s="2137"/>
      <c r="N38" s="2137"/>
      <c r="O38" s="2138"/>
      <c r="P38" s="3399"/>
      <c r="Q38" s="1574" t="str">
        <f t="shared" si="14"/>
        <v>宗地开发程度</v>
      </c>
      <c r="R38" s="1570" t="s">
        <v>8</v>
      </c>
      <c r="S38" s="1571">
        <f t="shared" si="10"/>
        <v>100</v>
      </c>
      <c r="T38" s="1570" t="s">
        <v>8</v>
      </c>
      <c r="U38" s="1571">
        <f t="shared" si="11"/>
        <v>100</v>
      </c>
      <c r="V38" s="1570" t="s">
        <v>8</v>
      </c>
      <c r="W38" s="1571">
        <f t="shared" si="12"/>
        <v>100</v>
      </c>
      <c r="X38" s="1572"/>
      <c r="Y38" s="3399"/>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3"/>
      <c r="M39" s="2135"/>
      <c r="N39" s="2135"/>
      <c r="O39" s="2142"/>
      <c r="P39" s="3399" t="s">
        <v>602</v>
      </c>
      <c r="Q39" s="1574" t="str">
        <f t="shared" si="14"/>
        <v>工程地质条件</v>
      </c>
      <c r="R39" s="1575" t="s">
        <v>8</v>
      </c>
      <c r="S39" s="1576">
        <f t="shared" si="10"/>
        <v>100</v>
      </c>
      <c r="T39" s="1575" t="s">
        <v>8</v>
      </c>
      <c r="U39" s="1576">
        <f t="shared" si="11"/>
        <v>100</v>
      </c>
      <c r="V39" s="1575" t="s">
        <v>8</v>
      </c>
      <c r="W39" s="1576">
        <f t="shared" si="12"/>
        <v>100</v>
      </c>
      <c r="X39" s="1569"/>
      <c r="Y39" s="3399"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3"/>
      <c r="M40" s="2135"/>
      <c r="N40" s="2135"/>
      <c r="O40" s="2142"/>
      <c r="P40" s="3399"/>
      <c r="Q40" s="1574">
        <f t="shared" si="14"/>
        <v>111</v>
      </c>
      <c r="R40" s="1575" t="s">
        <v>8</v>
      </c>
      <c r="S40" s="1576">
        <f t="shared" si="10"/>
        <v>100</v>
      </c>
      <c r="T40" s="1575" t="s">
        <v>8</v>
      </c>
      <c r="U40" s="1576">
        <f t="shared" si="11"/>
        <v>100</v>
      </c>
      <c r="V40" s="1575" t="s">
        <v>8</v>
      </c>
      <c r="W40" s="1576">
        <f t="shared" si="12"/>
        <v>100</v>
      </c>
      <c r="X40" s="1569"/>
      <c r="Y40" s="3399"/>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3"/>
      <c r="M41" s="2135"/>
      <c r="N41" s="2135"/>
      <c r="O41" s="2142"/>
      <c r="P41" s="3399"/>
      <c r="Q41" s="1574">
        <f t="shared" si="14"/>
        <v>111</v>
      </c>
      <c r="R41" s="1575" t="s">
        <v>8</v>
      </c>
      <c r="S41" s="1576">
        <f t="shared" si="10"/>
        <v>100</v>
      </c>
      <c r="T41" s="1575" t="s">
        <v>8</v>
      </c>
      <c r="U41" s="1576">
        <f t="shared" si="11"/>
        <v>100</v>
      </c>
      <c r="V41" s="1575" t="s">
        <v>8</v>
      </c>
      <c r="W41" s="1576">
        <f t="shared" si="12"/>
        <v>100</v>
      </c>
      <c r="X41" s="1569"/>
      <c r="Y41" s="3399"/>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1"/>
      <c r="M42" s="2172"/>
      <c r="N42" s="2172"/>
      <c r="O42" s="2144"/>
      <c r="P42" s="3399"/>
      <c r="Q42" s="1574">
        <f t="shared" si="14"/>
        <v>111</v>
      </c>
      <c r="R42" s="1579" t="s">
        <v>8</v>
      </c>
      <c r="S42" s="1580">
        <f t="shared" si="10"/>
        <v>100</v>
      </c>
      <c r="T42" s="1579" t="s">
        <v>8</v>
      </c>
      <c r="U42" s="1580">
        <f t="shared" si="11"/>
        <v>100</v>
      </c>
      <c r="V42" s="1579" t="s">
        <v>8</v>
      </c>
      <c r="W42" s="1580">
        <f t="shared" si="12"/>
        <v>100</v>
      </c>
      <c r="X42" s="1581"/>
      <c r="Y42" s="3399"/>
      <c r="Z42" s="1582">
        <f t="shared" si="13"/>
        <v>111</v>
      </c>
      <c r="AA42" s="1578">
        <f t="shared" si="3"/>
        <v>1</v>
      </c>
      <c r="AB42" s="1578">
        <f t="shared" si="4"/>
        <v>1</v>
      </c>
      <c r="AC42" s="1578">
        <f t="shared" si="5"/>
        <v>1</v>
      </c>
    </row>
    <row r="43" spans="1:29" ht="15">
      <c r="A43" s="610" t="s">
        <v>557</v>
      </c>
      <c r="B43" s="611" t="s">
        <v>2939</v>
      </c>
      <c r="C43" s="612" t="s">
        <v>1</v>
      </c>
      <c r="D43" s="613"/>
      <c r="E43" s="614"/>
      <c r="F43" s="615"/>
      <c r="G43" s="616"/>
      <c r="H43" s="617"/>
      <c r="I43" s="614"/>
      <c r="J43" s="617"/>
      <c r="K43" s="1342"/>
      <c r="L43" s="2145"/>
      <c r="M43" s="2135"/>
      <c r="N43" s="2135"/>
      <c r="O43" s="2146"/>
      <c r="P43" s="3360" t="str">
        <f>A43</f>
        <v>成交单价</v>
      </c>
      <c r="Q43" s="3360"/>
      <c r="R43" s="3361">
        <f>E43</f>
        <v>0</v>
      </c>
      <c r="S43" s="3361"/>
      <c r="T43" s="3361">
        <f>G43</f>
        <v>0</v>
      </c>
      <c r="U43" s="3361"/>
      <c r="V43" s="3361">
        <f>I43</f>
        <v>0</v>
      </c>
      <c r="W43" s="3361"/>
      <c r="X43" s="1561"/>
      <c r="Y43" s="1583"/>
      <c r="Z43" s="1561"/>
      <c r="AA43" s="1561"/>
      <c r="AB43" s="1561"/>
      <c r="AC43" s="1561"/>
    </row>
    <row r="44" spans="1:29" ht="15.75" thickBot="1">
      <c r="A44" s="618" t="s">
        <v>2700</v>
      </c>
      <c r="B44" s="619"/>
      <c r="C44" s="620" t="e">
        <f>R45</f>
        <v>#DIV/0!</v>
      </c>
      <c r="D44" s="621"/>
      <c r="E44" s="620" t="e">
        <f>R44</f>
        <v>#DIV/0!</v>
      </c>
      <c r="F44" s="622"/>
      <c r="G44" s="623" t="e">
        <f>T44</f>
        <v>#DIV/0!</v>
      </c>
      <c r="H44" s="621"/>
      <c r="I44" s="620" t="e">
        <f>V44</f>
        <v>#DIV/0!</v>
      </c>
      <c r="J44" s="621"/>
      <c r="K44" s="1343"/>
      <c r="L44" s="2145"/>
      <c r="M44" s="2135"/>
      <c r="N44" s="2135"/>
      <c r="O44" s="2146"/>
      <c r="P44" s="3360" t="str">
        <f>A44</f>
        <v>比较价格（元/平方米）</v>
      </c>
      <c r="Q44" s="3360"/>
      <c r="R44" s="3362" t="e">
        <f>ROUND(PRODUCT(R43,AA9:AA42),0)</f>
        <v>#DIV/0!</v>
      </c>
      <c r="S44" s="3362"/>
      <c r="T44" s="3362" t="e">
        <f>ROUND(PRODUCT(T43,AB9:AB42),0)</f>
        <v>#DIV/0!</v>
      </c>
      <c r="U44" s="3362"/>
      <c r="V44" s="3362" t="e">
        <f>ROUND(PRODUCT(V43,AC9:AC42),0)</f>
        <v>#DIV/0!</v>
      </c>
      <c r="W44" s="3362"/>
      <c r="X44" s="1561"/>
      <c r="Y44" s="1561"/>
      <c r="Z44" s="1561"/>
      <c r="AA44" s="1561"/>
      <c r="AB44" s="1561"/>
      <c r="AC44" s="1561"/>
    </row>
    <row r="45" spans="1:29" ht="15.75" thickBot="1">
      <c r="A45" s="624" t="s">
        <v>2940</v>
      </c>
      <c r="B45" s="625"/>
      <c r="C45" s="626" t="e">
        <f>R45</f>
        <v>#DIV/0!</v>
      </c>
      <c r="D45" s="626"/>
      <c r="E45" s="626"/>
      <c r="F45" s="626"/>
      <c r="G45" s="626"/>
      <c r="H45" s="626"/>
      <c r="I45" s="626"/>
      <c r="J45" s="626"/>
      <c r="K45" s="1344"/>
      <c r="L45" s="2145"/>
      <c r="M45" s="2135"/>
      <c r="N45" s="2135"/>
      <c r="O45" s="2146"/>
      <c r="P45" s="3357" t="str">
        <f>A45</f>
        <v>估价对象XX用房的比较价格（楼面单价，元/平方米）</v>
      </c>
      <c r="Q45" s="3358"/>
      <c r="R45" s="3359" t="e">
        <f>ROUND(AVERAGE(R44:V44),0)</f>
        <v>#DIV/0!</v>
      </c>
      <c r="S45" s="3359"/>
      <c r="T45" s="3359"/>
      <c r="U45" s="3359"/>
      <c r="V45" s="3359"/>
      <c r="W45" s="3359"/>
      <c r="X45" s="1561"/>
      <c r="Y45" s="1561"/>
      <c r="Z45" s="1561"/>
      <c r="AA45" s="1561"/>
      <c r="AB45" s="1561"/>
      <c r="AC45" s="1561"/>
    </row>
    <row r="46" spans="1:29">
      <c r="A46" s="2146"/>
      <c r="B46" s="2146"/>
      <c r="C46" s="2146"/>
      <c r="D46" s="2146"/>
      <c r="E46" s="2146"/>
      <c r="F46" s="2146"/>
      <c r="G46" s="2149"/>
      <c r="H46" s="2146"/>
      <c r="I46" s="2146"/>
      <c r="J46" s="2146"/>
      <c r="K46" s="2150"/>
      <c r="L46" s="2151"/>
      <c r="M46" s="2135"/>
      <c r="N46" s="2135"/>
      <c r="O46" s="2146"/>
      <c r="P46" s="1561"/>
      <c r="Q46" s="1561"/>
      <c r="R46" s="1561"/>
      <c r="S46" s="1561"/>
      <c r="T46" s="1561"/>
      <c r="U46" s="1561"/>
      <c r="V46" s="1561"/>
      <c r="W46" s="1561"/>
      <c r="X46" s="1561"/>
      <c r="Y46" s="1561"/>
      <c r="Z46" s="1561"/>
      <c r="AA46" s="1561"/>
      <c r="AB46" s="1561"/>
      <c r="AC46" s="1561"/>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7" customFormat="1" ht="13.5" customHeight="1">
      <c r="A50" s="2147"/>
      <c r="B50" s="214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7"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2" t="s">
        <v>561</v>
      </c>
      <c r="B52" s="633" t="s">
        <v>562</v>
      </c>
      <c r="C52" s="1562" t="s">
        <v>1726</v>
      </c>
      <c r="D52" s="2228" t="s">
        <v>2297</v>
      </c>
      <c r="E52" s="634" t="s">
        <v>563</v>
      </c>
      <c r="F52" s="1952" t="s">
        <v>564</v>
      </c>
      <c r="G52" s="3418" t="s">
        <v>2288</v>
      </c>
      <c r="H52" s="3419"/>
      <c r="I52" s="1953" t="s">
        <v>1949</v>
      </c>
      <c r="J52" s="1557" t="str">
        <f>项目基本情况!F41</f>
        <v>河南省郑州市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8" customFormat="1" ht="12.75">
      <c r="A53" s="636" t="s">
        <v>565</v>
      </c>
      <c r="B53" s="637" t="e">
        <f>C45</f>
        <v>#DIV/0!</v>
      </c>
      <c r="C53" s="638">
        <v>1</v>
      </c>
      <c r="D53" s="2229">
        <v>1</v>
      </c>
      <c r="E53" s="638">
        <f>'数据-汇总表'!E8+'数据-汇总表'!E9</f>
        <v>249160.86</v>
      </c>
      <c r="F53" s="1951" t="e">
        <f t="shared" ref="F53:F62" si="15">ROUND(B53*E53/10000,0)</f>
        <v>#DIV/0!</v>
      </c>
      <c r="G53" s="3420"/>
      <c r="H53" s="3421"/>
      <c r="I53" s="1954">
        <v>1</v>
      </c>
      <c r="J53" s="1558">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8" customFormat="1" ht="12.75">
      <c r="A54" s="640" t="s">
        <v>566</v>
      </c>
      <c r="B54" s="641" t="e">
        <f>ROUND($C$45*C54*D54,0)</f>
        <v>#DIV/0!</v>
      </c>
      <c r="C54" s="381">
        <f t="shared" ref="C54:C62" si="16">IF($C$52="北京市系数",I54,J54)</f>
        <v>0</v>
      </c>
      <c r="D54" s="2230">
        <v>0.25</v>
      </c>
      <c r="E54" s="642"/>
      <c r="F54" s="1951" t="e">
        <f t="shared" si="15"/>
        <v>#DIV/0!</v>
      </c>
      <c r="G54" s="3422" t="s">
        <v>2289</v>
      </c>
      <c r="H54" s="1955">
        <f>项目基本情况!B43</f>
        <v>0</v>
      </c>
      <c r="I54" s="1954">
        <f>SUMIF(修正!$A$45:$A$56,H54,修正!B45:B56)</f>
        <v>0</v>
      </c>
      <c r="J54" s="1560"/>
      <c r="K54" s="2156"/>
      <c r="L54" s="2156"/>
      <c r="M54" s="2156"/>
      <c r="N54" s="2156"/>
      <c r="O54" s="2156"/>
      <c r="P54" s="2156"/>
      <c r="Q54" s="2156"/>
      <c r="R54" s="2156"/>
      <c r="S54" s="2156"/>
      <c r="T54" s="2156"/>
      <c r="U54" s="2156"/>
      <c r="V54" s="2156"/>
      <c r="W54" s="2156"/>
      <c r="X54" s="2156"/>
      <c r="Y54" s="2156"/>
      <c r="Z54" s="2156"/>
      <c r="AA54" s="2156"/>
      <c r="AB54" s="2156"/>
      <c r="AC54" s="2156"/>
    </row>
    <row r="55" spans="1:29" s="1348" customFormat="1" ht="12.75">
      <c r="A55" s="640" t="s">
        <v>567</v>
      </c>
      <c r="B55" s="641" t="e">
        <f t="shared" ref="B55:B62" si="17">ROUND($C$45*C55*D55,0)</f>
        <v>#DIV/0!</v>
      </c>
      <c r="C55" s="381">
        <f t="shared" si="16"/>
        <v>0</v>
      </c>
      <c r="D55" s="2230">
        <v>0.25</v>
      </c>
      <c r="E55" s="642"/>
      <c r="F55" s="1951" t="e">
        <f t="shared" si="15"/>
        <v>#DIV/0!</v>
      </c>
      <c r="G55" s="3422"/>
      <c r="H55" s="1956">
        <f>项目基本情况!B43</f>
        <v>0</v>
      </c>
      <c r="I55" s="1954">
        <f>SUMIF(修正!$A$45:$A$56,H55,修正!C45:C56)</f>
        <v>0</v>
      </c>
      <c r="J55" s="1560"/>
      <c r="K55" s="2156"/>
      <c r="L55" s="2156"/>
      <c r="M55" s="2156"/>
      <c r="N55" s="2156"/>
      <c r="O55" s="2156"/>
      <c r="P55" s="2156"/>
      <c r="Q55" s="2156"/>
      <c r="R55" s="2156"/>
      <c r="S55" s="2156"/>
      <c r="T55" s="2156"/>
      <c r="U55" s="2156"/>
      <c r="V55" s="2156"/>
      <c r="W55" s="2156"/>
      <c r="X55" s="2156"/>
      <c r="Y55" s="2156"/>
      <c r="Z55" s="2156"/>
      <c r="AA55" s="2156"/>
      <c r="AB55" s="2156"/>
      <c r="AC55" s="2156"/>
    </row>
    <row r="56" spans="1:29" s="1348" customFormat="1" ht="12.75">
      <c r="A56" s="640" t="s">
        <v>568</v>
      </c>
      <c r="B56" s="641" t="e">
        <f t="shared" si="17"/>
        <v>#DIV/0!</v>
      </c>
      <c r="C56" s="381">
        <f t="shared" si="16"/>
        <v>0</v>
      </c>
      <c r="D56" s="2230">
        <v>0.25</v>
      </c>
      <c r="E56" s="642"/>
      <c r="F56" s="1951" t="e">
        <f t="shared" si="15"/>
        <v>#DIV/0!</v>
      </c>
      <c r="G56" s="3422"/>
      <c r="H56" s="1956">
        <f>项目基本情况!B43</f>
        <v>0</v>
      </c>
      <c r="I56" s="1954">
        <f>SUMIF(修正!$A$45:$A$56,H56,修正!D45:D56)</f>
        <v>0</v>
      </c>
      <c r="J56" s="1560"/>
      <c r="K56" s="2156"/>
      <c r="L56" s="2156"/>
      <c r="M56" s="2156"/>
      <c r="N56" s="2156"/>
      <c r="O56" s="2156"/>
      <c r="P56" s="2156"/>
      <c r="Q56" s="2156"/>
      <c r="R56" s="2156"/>
      <c r="S56" s="2156"/>
      <c r="T56" s="2156"/>
      <c r="U56" s="2156"/>
      <c r="V56" s="2156"/>
      <c r="W56" s="2156"/>
      <c r="X56" s="2156"/>
      <c r="Y56" s="2156"/>
      <c r="Z56" s="2156"/>
      <c r="AA56" s="2156"/>
      <c r="AB56" s="2156"/>
      <c r="AC56" s="2156"/>
    </row>
    <row r="57" spans="1:29" s="1348" customFormat="1" ht="12.75">
      <c r="A57" s="640" t="s">
        <v>569</v>
      </c>
      <c r="B57" s="641" t="e">
        <f t="shared" si="17"/>
        <v>#DIV/0!</v>
      </c>
      <c r="C57" s="381">
        <f t="shared" si="16"/>
        <v>0</v>
      </c>
      <c r="D57" s="2230">
        <v>0.25</v>
      </c>
      <c r="E57" s="642"/>
      <c r="F57" s="1951" t="e">
        <f t="shared" si="15"/>
        <v>#DIV/0!</v>
      </c>
      <c r="G57" s="3422"/>
      <c r="H57" s="1956">
        <f>项目基本情况!B43</f>
        <v>0</v>
      </c>
      <c r="I57" s="1954">
        <f>SUMIF(修正!$A$45:$A$56,H57,修正!E45:E56)</f>
        <v>0</v>
      </c>
      <c r="J57" s="1560"/>
      <c r="K57" s="2156"/>
      <c r="L57" s="2156"/>
      <c r="M57" s="2156"/>
      <c r="N57" s="2156"/>
      <c r="O57" s="2156"/>
      <c r="P57" s="2156"/>
      <c r="Q57" s="2156"/>
      <c r="R57" s="2156"/>
      <c r="S57" s="2156"/>
      <c r="T57" s="2156"/>
      <c r="U57" s="2156"/>
      <c r="V57" s="2156"/>
      <c r="W57" s="2156"/>
      <c r="X57" s="2156"/>
      <c r="Y57" s="2156"/>
      <c r="Z57" s="2156"/>
      <c r="AA57" s="2156"/>
      <c r="AB57" s="2156"/>
      <c r="AC57" s="2156"/>
    </row>
    <row r="58" spans="1:29" s="1348" customFormat="1" ht="12.75">
      <c r="A58" s="2332" t="s">
        <v>2332</v>
      </c>
      <c r="B58" s="641" t="e">
        <f t="shared" si="17"/>
        <v>#DIV/0!</v>
      </c>
      <c r="C58" s="381">
        <f t="shared" si="16"/>
        <v>0</v>
      </c>
      <c r="D58" s="2230">
        <v>0.25</v>
      </c>
      <c r="E58" s="644">
        <f>'数据-汇总表'!E11</f>
        <v>0</v>
      </c>
      <c r="F58" s="1951" t="e">
        <f t="shared" si="15"/>
        <v>#DIV/0!</v>
      </c>
      <c r="G58" s="1957" t="s">
        <v>2290</v>
      </c>
      <c r="H58" s="1956">
        <f>项目基本情况!C43</f>
        <v>0</v>
      </c>
      <c r="I58" s="1954">
        <f>SUMIF(修正!$A$45:$A$56,H58,修正!F45:F56)</f>
        <v>0</v>
      </c>
      <c r="J58" s="1560"/>
      <c r="K58" s="2156"/>
      <c r="L58" s="2156"/>
      <c r="M58" s="2156"/>
      <c r="N58" s="2156"/>
      <c r="O58" s="2156"/>
      <c r="P58" s="2156"/>
      <c r="Q58" s="2156"/>
      <c r="R58" s="2156"/>
      <c r="S58" s="2156"/>
      <c r="T58" s="2156"/>
      <c r="U58" s="2156"/>
      <c r="V58" s="2156"/>
      <c r="W58" s="2156"/>
      <c r="X58" s="2156"/>
      <c r="Y58" s="2156"/>
      <c r="Z58" s="2156"/>
      <c r="AA58" s="2156"/>
      <c r="AB58" s="2156"/>
      <c r="AC58" s="2156"/>
    </row>
    <row r="59" spans="1:29" s="1348" customFormat="1" ht="12.75">
      <c r="A59" s="640" t="s">
        <v>570</v>
      </c>
      <c r="B59" s="641" t="e">
        <f t="shared" si="17"/>
        <v>#DIV/0!</v>
      </c>
      <c r="C59" s="381">
        <f t="shared" si="16"/>
        <v>0</v>
      </c>
      <c r="D59" s="2230">
        <v>0.25</v>
      </c>
      <c r="E59" s="644">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60"/>
      <c r="K59" s="2156"/>
      <c r="L59" s="2156"/>
      <c r="M59" s="2156"/>
      <c r="N59" s="2156"/>
      <c r="O59" s="2156"/>
      <c r="P59" s="2156"/>
      <c r="Q59" s="2156"/>
      <c r="R59" s="2156"/>
      <c r="S59" s="2156"/>
      <c r="T59" s="2156"/>
      <c r="U59" s="2156"/>
      <c r="V59" s="2156"/>
      <c r="W59" s="2156"/>
      <c r="X59" s="2156"/>
      <c r="Y59" s="2156"/>
      <c r="Z59" s="2156"/>
      <c r="AA59" s="2156"/>
      <c r="AB59" s="2156"/>
      <c r="AC59" s="2156"/>
    </row>
    <row r="60" spans="1:29" s="1348" customFormat="1" ht="12.75">
      <c r="A60" s="640" t="s">
        <v>571</v>
      </c>
      <c r="B60" s="641" t="e">
        <f t="shared" si="17"/>
        <v>#DIV/0!</v>
      </c>
      <c r="C60" s="381">
        <f t="shared" si="16"/>
        <v>0</v>
      </c>
      <c r="D60" s="2230">
        <v>0.25</v>
      </c>
      <c r="E60" s="644">
        <f>'数据-汇总表'!E13</f>
        <v>76965</v>
      </c>
      <c r="F60" s="1951" t="e">
        <f t="shared" si="15"/>
        <v>#DIV/0!</v>
      </c>
      <c r="G60" s="1947" t="s">
        <v>924</v>
      </c>
      <c r="H60" s="1955">
        <f>IF(G60="商业",项目基本情况!B43,IF(G60="办公",项目基本情况!C43,IF(G60="住宅",项目基本情况!D43,项目基本情况!E43)))</f>
        <v>0</v>
      </c>
      <c r="I60" s="1954">
        <f>SUMIF(修正!$A$45:$A$56,H60,修正!H45:H56)</f>
        <v>0</v>
      </c>
      <c r="J60" s="1560"/>
      <c r="K60" s="2156"/>
      <c r="L60" s="2156"/>
      <c r="M60" s="2156"/>
      <c r="N60" s="2156"/>
      <c r="O60" s="2156"/>
      <c r="P60" s="2156"/>
      <c r="Q60" s="2156"/>
      <c r="R60" s="2156"/>
      <c r="S60" s="2156"/>
      <c r="T60" s="2156"/>
      <c r="U60" s="2156"/>
      <c r="V60" s="2156"/>
      <c r="W60" s="2156"/>
      <c r="X60" s="2156"/>
      <c r="Y60" s="2156"/>
      <c r="Z60" s="2156"/>
      <c r="AA60" s="2156"/>
      <c r="AB60" s="2156"/>
      <c r="AC60" s="2156"/>
    </row>
    <row r="61" spans="1:29" s="1348" customFormat="1" ht="12.75">
      <c r="A61" s="640" t="s">
        <v>572</v>
      </c>
      <c r="B61" s="641" t="e">
        <f t="shared" si="17"/>
        <v>#DIV/0!</v>
      </c>
      <c r="C61" s="381">
        <f t="shared" si="16"/>
        <v>0</v>
      </c>
      <c r="D61" s="2230">
        <v>0.25</v>
      </c>
      <c r="E61" s="644">
        <f>'数据-汇总表'!E14</f>
        <v>0</v>
      </c>
      <c r="F61" s="1951" t="e">
        <f t="shared" si="15"/>
        <v>#DIV/0!</v>
      </c>
      <c r="G61" s="1957" t="s">
        <v>2289</v>
      </c>
      <c r="H61" s="1956">
        <f>项目基本情况!B43</f>
        <v>0</v>
      </c>
      <c r="I61" s="1954">
        <f>SUMIF(修正!$A$45:$A$56,H61,修正!H45:H56)</f>
        <v>0</v>
      </c>
      <c r="J61" s="1560"/>
      <c r="K61" s="2156"/>
      <c r="L61" s="2156"/>
      <c r="M61" s="2156"/>
      <c r="N61" s="2156"/>
      <c r="O61" s="2156"/>
      <c r="P61" s="2156"/>
      <c r="Q61" s="2156"/>
      <c r="R61" s="2156"/>
      <c r="S61" s="2156"/>
      <c r="T61" s="2156"/>
      <c r="U61" s="2156"/>
      <c r="V61" s="2156"/>
      <c r="W61" s="2156"/>
      <c r="X61" s="2156"/>
      <c r="Y61" s="2156"/>
      <c r="Z61" s="2156"/>
      <c r="AA61" s="2156"/>
      <c r="AB61" s="2156"/>
      <c r="AC61" s="2156"/>
    </row>
    <row r="62" spans="1:29" s="1348" customFormat="1" ht="13.5" thickBot="1">
      <c r="A62" s="640" t="s">
        <v>573</v>
      </c>
      <c r="B62" s="641" t="e">
        <f t="shared" si="17"/>
        <v>#DIV/0!</v>
      </c>
      <c r="C62" s="381">
        <f t="shared" si="16"/>
        <v>0</v>
      </c>
      <c r="D62" s="2230">
        <v>0.25</v>
      </c>
      <c r="E62" s="644">
        <f>'数据-汇总表'!E15</f>
        <v>0</v>
      </c>
      <c r="F62" s="1951" t="e">
        <f t="shared" si="15"/>
        <v>#DIV/0!</v>
      </c>
      <c r="G62" s="1958" t="s">
        <v>2290</v>
      </c>
      <c r="H62" s="1959">
        <f>项目基本情况!C43</f>
        <v>0</v>
      </c>
      <c r="I62" s="1954">
        <f>SUMIF(修正!$A$45:$A$56,H62,修正!H45:H56)</f>
        <v>0</v>
      </c>
      <c r="J62" s="1560"/>
      <c r="K62" s="2156"/>
      <c r="L62" s="2156"/>
      <c r="M62" s="2156"/>
      <c r="N62" s="2156"/>
      <c r="O62" s="2156"/>
      <c r="P62" s="2156"/>
      <c r="Q62" s="2156"/>
      <c r="R62" s="2156"/>
      <c r="S62" s="2156"/>
      <c r="T62" s="2156"/>
      <c r="U62" s="2156"/>
      <c r="V62" s="2156"/>
      <c r="W62" s="2156"/>
      <c r="X62" s="2156"/>
      <c r="Y62" s="2156"/>
      <c r="Z62" s="2156"/>
      <c r="AA62" s="2156"/>
      <c r="AB62" s="2156"/>
      <c r="AC62" s="2156"/>
    </row>
    <row r="63" spans="1:29" s="1348" customFormat="1" ht="13.5" thickBot="1">
      <c r="A63" s="645" t="s">
        <v>574</v>
      </c>
      <c r="B63" s="646" t="s">
        <v>17</v>
      </c>
      <c r="C63" s="646" t="s">
        <v>18</v>
      </c>
      <c r="D63" s="646" t="s">
        <v>2298</v>
      </c>
      <c r="E63" s="646">
        <f>IF(B43="楼面地价",SUM(E53:E62),'数据-汇总表'!D3)</f>
        <v>97754.96</v>
      </c>
      <c r="F63" s="647"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2017-10-1</v>
      </c>
      <c r="D65" s="2826">
        <f>EDATE(C65,-3)</f>
        <v>42917</v>
      </c>
      <c r="E65" s="2826">
        <f t="shared" ref="E65:N65" si="18">EDATE(D65,-3)</f>
        <v>42826</v>
      </c>
      <c r="F65" s="2826">
        <f t="shared" si="18"/>
        <v>42736</v>
      </c>
      <c r="G65" s="2826">
        <f t="shared" si="18"/>
        <v>42644</v>
      </c>
      <c r="H65" s="2826">
        <f t="shared" si="18"/>
        <v>42552</v>
      </c>
      <c r="I65" s="2826">
        <f t="shared" si="18"/>
        <v>42461</v>
      </c>
      <c r="J65" s="2826">
        <f t="shared" si="18"/>
        <v>42370</v>
      </c>
      <c r="K65" s="2826">
        <f t="shared" si="18"/>
        <v>42278</v>
      </c>
      <c r="L65" s="2826">
        <f t="shared" si="18"/>
        <v>42186</v>
      </c>
      <c r="M65" s="2826">
        <f t="shared" si="18"/>
        <v>42095</v>
      </c>
      <c r="N65" s="2826">
        <f t="shared" si="18"/>
        <v>42005</v>
      </c>
      <c r="O65" s="2146"/>
      <c r="P65" s="2146"/>
      <c r="Q65" s="2146"/>
      <c r="R65" s="2146"/>
      <c r="S65" s="2146"/>
      <c r="T65" s="2146"/>
      <c r="U65" s="2146"/>
      <c r="V65" s="2146"/>
      <c r="W65" s="2146"/>
      <c r="X65" s="2146"/>
      <c r="Y65" s="2146"/>
      <c r="Z65" s="2146"/>
      <c r="AA65" s="2146"/>
      <c r="AB65" s="2146"/>
      <c r="AC65" s="2146"/>
    </row>
    <row r="66" spans="1:29" ht="21.75" thickBot="1">
      <c r="A66" s="1586" t="s">
        <v>575</v>
      </c>
      <c r="B66" s="1561"/>
      <c r="C66" s="1585"/>
      <c r="D66" s="1585"/>
      <c r="E66" s="1585"/>
      <c r="F66" s="1587"/>
      <c r="G66" s="1587"/>
      <c r="H66" s="1585"/>
      <c r="I66" s="1585"/>
      <c r="J66" s="1585"/>
      <c r="K66" s="1588"/>
      <c r="L66" s="1584"/>
      <c r="M66" s="1585"/>
      <c r="N66" s="1585"/>
      <c r="O66" s="2158"/>
      <c r="P66" s="2158"/>
      <c r="Q66" s="2159"/>
      <c r="R66" s="2146"/>
      <c r="S66" s="2146"/>
      <c r="T66" s="2146"/>
      <c r="U66" s="2146"/>
      <c r="V66" s="2146"/>
      <c r="W66" s="2146"/>
      <c r="X66" s="2146"/>
      <c r="Y66" s="2146"/>
      <c r="Z66" s="2146"/>
      <c r="AA66" s="2146"/>
      <c r="AB66" s="2146"/>
      <c r="AC66" s="2146"/>
    </row>
    <row r="67" spans="1:29" s="1349" customFormat="1" ht="15">
      <c r="A67" s="2593" t="s">
        <v>2538</v>
      </c>
      <c r="B67" s="649"/>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2" customFormat="1" ht="27.75" customHeight="1">
      <c r="A68" s="2825" t="s">
        <v>2656</v>
      </c>
      <c r="B68" s="482" t="str">
        <f>"北京市平均增长率"&amp;TEXT(基准地价!P24,"0.00%")</f>
        <v>北京市平均增长率1.39%</v>
      </c>
      <c r="C68" s="896">
        <v>100</v>
      </c>
      <c r="D68" s="733"/>
      <c r="E68" s="733"/>
      <c r="F68" s="733"/>
      <c r="G68" s="733"/>
      <c r="H68" s="733"/>
      <c r="I68" s="733"/>
      <c r="J68" s="733"/>
      <c r="K68" s="733"/>
      <c r="L68" s="733"/>
      <c r="M68" s="2819"/>
      <c r="N68" s="2820"/>
      <c r="O68" s="2163"/>
      <c r="P68" s="2159"/>
      <c r="Q68" s="1994"/>
      <c r="R68" s="1994"/>
      <c r="S68" s="1994"/>
      <c r="T68" s="1994"/>
      <c r="U68" s="1994"/>
      <c r="V68" s="1994"/>
      <c r="W68" s="1994"/>
      <c r="X68" s="1994"/>
      <c r="Y68" s="1994"/>
      <c r="Z68" s="1994"/>
      <c r="AA68" s="1994"/>
      <c r="AB68" s="1994"/>
      <c r="AC68" s="1994"/>
    </row>
    <row r="69" spans="1:29" s="1222" customFormat="1" ht="15.75" thickBot="1">
      <c r="A69" s="656" t="s">
        <v>576</v>
      </c>
      <c r="B69" s="657"/>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2" customFormat="1" ht="15">
      <c r="A70" s="662" t="s">
        <v>532</v>
      </c>
      <c r="B70" s="651"/>
      <c r="C70" s="663" t="s">
        <v>577</v>
      </c>
      <c r="D70" s="664"/>
      <c r="E70" s="664"/>
      <c r="F70" s="664"/>
      <c r="G70" s="664"/>
      <c r="H70" s="664"/>
      <c r="I70" s="664"/>
      <c r="J70" s="664"/>
      <c r="K70" s="664"/>
      <c r="L70" s="665"/>
      <c r="M70" s="666"/>
      <c r="N70" s="2163"/>
      <c r="O70" s="2163"/>
      <c r="P70" s="2164"/>
      <c r="Q70" s="2159"/>
      <c r="R70" s="1994"/>
      <c r="S70" s="1994"/>
      <c r="T70" s="1994"/>
      <c r="U70" s="1994"/>
      <c r="V70" s="1994"/>
      <c r="W70" s="1994"/>
      <c r="X70" s="1994"/>
      <c r="Y70" s="1994"/>
      <c r="Z70" s="1994"/>
      <c r="AA70" s="1994"/>
      <c r="AB70" s="1994"/>
      <c r="AC70" s="1994"/>
    </row>
    <row r="71" spans="1:29" s="1222" customFormat="1" ht="15.75" thickBot="1">
      <c r="A71" s="662"/>
      <c r="B71" s="651"/>
      <c r="C71" s="652">
        <v>100</v>
      </c>
      <c r="D71" s="653"/>
      <c r="E71" s="653"/>
      <c r="F71" s="653"/>
      <c r="G71" s="653"/>
      <c r="H71" s="653"/>
      <c r="I71" s="653"/>
      <c r="J71" s="653"/>
      <c r="K71" s="653"/>
      <c r="L71" s="653"/>
      <c r="M71" s="655"/>
      <c r="N71" s="2163"/>
      <c r="O71" s="2163"/>
      <c r="P71" s="2159"/>
      <c r="Q71" s="2159"/>
      <c r="R71" s="1994"/>
      <c r="S71" s="1994"/>
      <c r="T71" s="1994"/>
      <c r="U71" s="1994"/>
      <c r="V71" s="1994"/>
      <c r="W71" s="1994"/>
      <c r="X71" s="1994"/>
      <c r="Y71" s="1994"/>
      <c r="Z71" s="1994"/>
      <c r="AA71" s="1994"/>
      <c r="AB71" s="1994"/>
      <c r="AC71" s="1994"/>
    </row>
    <row r="72" spans="1:29">
      <c r="A72" s="667" t="s">
        <v>578</v>
      </c>
      <c r="B72" s="668" t="s">
        <v>535</v>
      </c>
      <c r="C72" s="601"/>
      <c r="D72" s="601"/>
      <c r="E72" s="601"/>
      <c r="F72" s="601"/>
      <c r="G72" s="601"/>
      <c r="H72" s="601"/>
      <c r="I72" s="601"/>
      <c r="J72" s="601"/>
      <c r="K72" s="669"/>
      <c r="L72" s="670"/>
      <c r="M72" s="671"/>
      <c r="N72" s="2165"/>
      <c r="O72" s="2165"/>
      <c r="P72" s="2166"/>
      <c r="Q72" s="2159"/>
      <c r="R72" s="2146"/>
      <c r="S72" s="2146"/>
      <c r="T72" s="2146"/>
      <c r="U72" s="2146"/>
      <c r="V72" s="2146"/>
      <c r="W72" s="2146"/>
      <c r="X72" s="2146"/>
      <c r="Y72" s="2146"/>
      <c r="Z72" s="2146"/>
      <c r="AA72" s="2146"/>
      <c r="AB72" s="2146"/>
      <c r="AC72" s="2146"/>
    </row>
    <row r="73" spans="1:29" ht="15.75" thickBot="1">
      <c r="A73" s="672"/>
      <c r="B73" s="673"/>
      <c r="C73" s="674"/>
      <c r="D73" s="674"/>
      <c r="E73" s="674"/>
      <c r="F73" s="674"/>
      <c r="G73" s="674"/>
      <c r="H73" s="674"/>
      <c r="I73" s="674"/>
      <c r="J73" s="674"/>
      <c r="K73" s="674"/>
      <c r="L73" s="674"/>
      <c r="M73" s="675"/>
      <c r="N73" s="2167"/>
      <c r="O73" s="2167"/>
      <c r="P73" s="2166"/>
      <c r="Q73" s="2159"/>
      <c r="R73" s="2146"/>
      <c r="S73" s="2146"/>
      <c r="T73" s="2146"/>
      <c r="U73" s="2146"/>
      <c r="V73" s="2146"/>
      <c r="W73" s="2146"/>
      <c r="X73" s="2146"/>
      <c r="Y73" s="2146"/>
      <c r="Z73" s="2146"/>
      <c r="AA73" s="2146"/>
      <c r="AB73" s="2146"/>
      <c r="AC73" s="2146"/>
    </row>
    <row r="74" spans="1:29" ht="27.75" thickTop="1">
      <c r="A74" s="672"/>
      <c r="B74" s="676" t="s">
        <v>538</v>
      </c>
      <c r="C74" s="677"/>
      <c r="D74" s="677"/>
      <c r="E74" s="677"/>
      <c r="F74" s="677"/>
      <c r="G74" s="677"/>
      <c r="H74" s="677"/>
      <c r="I74" s="677"/>
      <c r="J74" s="677"/>
      <c r="K74" s="678"/>
      <c r="L74" s="679"/>
      <c r="M74" s="680"/>
      <c r="N74" s="2165"/>
      <c r="O74" s="2165"/>
      <c r="P74" s="2166"/>
      <c r="Q74" s="2159"/>
      <c r="R74" s="2146"/>
      <c r="S74" s="2146"/>
      <c r="T74" s="2146"/>
      <c r="U74" s="2146"/>
      <c r="V74" s="2146"/>
      <c r="W74" s="2146"/>
      <c r="X74" s="2146"/>
      <c r="Y74" s="2146"/>
      <c r="Z74" s="2146"/>
      <c r="AA74" s="2146"/>
      <c r="AB74" s="2146"/>
      <c r="AC74" s="2146"/>
    </row>
    <row r="75" spans="1:29" ht="15.75" thickBot="1">
      <c r="A75" s="672"/>
      <c r="B75" s="681"/>
      <c r="C75" s="682"/>
      <c r="D75" s="682"/>
      <c r="E75" s="682"/>
      <c r="F75" s="682"/>
      <c r="G75" s="682"/>
      <c r="H75" s="682"/>
      <c r="I75" s="682"/>
      <c r="J75" s="682"/>
      <c r="K75" s="682"/>
      <c r="L75" s="682"/>
      <c r="M75" s="683"/>
      <c r="N75" s="2167"/>
      <c r="O75" s="2167"/>
      <c r="P75" s="2166"/>
      <c r="Q75" s="2159"/>
      <c r="R75" s="2146"/>
      <c r="S75" s="2146"/>
      <c r="T75" s="2146"/>
      <c r="U75" s="2146"/>
      <c r="V75" s="2146"/>
      <c r="W75" s="2146"/>
      <c r="X75" s="2146"/>
      <c r="Y75" s="2146"/>
      <c r="Z75" s="2146"/>
      <c r="AA75" s="2146"/>
      <c r="AB75" s="2146"/>
      <c r="AC75" s="214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2"/>
      <c r="B77" s="686"/>
      <c r="C77" s="544"/>
      <c r="D77" s="544"/>
      <c r="E77" s="544"/>
      <c r="F77" s="544"/>
      <c r="G77" s="544"/>
      <c r="H77" s="544"/>
      <c r="I77" s="544"/>
      <c r="J77" s="544"/>
      <c r="K77" s="687"/>
      <c r="L77" s="688"/>
      <c r="M77" s="689"/>
      <c r="N77" s="2165"/>
      <c r="O77" s="2165"/>
      <c r="P77" s="2166"/>
      <c r="Q77" s="2159"/>
      <c r="R77" s="2146"/>
      <c r="S77" s="2146"/>
      <c r="T77" s="2146"/>
      <c r="U77" s="2146"/>
      <c r="V77" s="2146"/>
      <c r="W77" s="2146"/>
      <c r="X77" s="2146"/>
      <c r="Y77" s="2146"/>
      <c r="Z77" s="2146"/>
      <c r="AA77" s="2146"/>
      <c r="AB77" s="2146"/>
      <c r="AC77" s="214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7"/>
      <c r="O78" s="2167"/>
      <c r="P78" s="2166"/>
      <c r="Q78" s="2159"/>
      <c r="R78" s="2146"/>
      <c r="S78" s="2146"/>
      <c r="T78" s="2146"/>
      <c r="U78" s="2146"/>
      <c r="V78" s="2146"/>
      <c r="W78" s="2146"/>
      <c r="X78" s="2146"/>
      <c r="Y78" s="2146"/>
      <c r="Z78" s="2146"/>
      <c r="AA78" s="2146"/>
      <c r="AB78" s="2146"/>
      <c r="AC78" s="2146"/>
    </row>
    <row r="79" spans="1:29" s="1341" customFormat="1" ht="15.75" thickTop="1">
      <c r="A79" s="690"/>
      <c r="B79" s="676">
        <f>B14</f>
        <v>111</v>
      </c>
      <c r="C79" s="691"/>
      <c r="D79" s="691"/>
      <c r="E79" s="691"/>
      <c r="F79" s="691"/>
      <c r="G79" s="691"/>
      <c r="H79" s="692"/>
      <c r="I79" s="692"/>
      <c r="J79" s="692"/>
      <c r="K79" s="692"/>
      <c r="L79" s="693"/>
      <c r="M79" s="694"/>
      <c r="N79" s="2168"/>
      <c r="O79" s="2168"/>
      <c r="P79" s="2169"/>
      <c r="Q79" s="2170"/>
      <c r="R79" s="2171"/>
      <c r="S79" s="2171"/>
      <c r="T79" s="2171"/>
      <c r="U79" s="2171"/>
      <c r="V79" s="2171"/>
      <c r="W79" s="2171"/>
      <c r="X79" s="2171"/>
      <c r="Y79" s="2171"/>
      <c r="Z79" s="2171"/>
      <c r="AA79" s="2171"/>
      <c r="AB79" s="2171"/>
      <c r="AC79" s="2171"/>
    </row>
    <row r="80" spans="1:29" s="1341" customFormat="1" ht="15.75" thickBot="1">
      <c r="A80" s="690"/>
      <c r="B80" s="681"/>
      <c r="C80" s="695"/>
      <c r="D80" s="674"/>
      <c r="E80" s="674"/>
      <c r="F80" s="674"/>
      <c r="G80" s="674"/>
      <c r="H80" s="674"/>
      <c r="I80" s="674"/>
      <c r="J80" s="674"/>
      <c r="K80" s="674"/>
      <c r="L80" s="674"/>
      <c r="M80" s="675"/>
      <c r="N80" s="2167"/>
      <c r="O80" s="2167"/>
      <c r="P80" s="2169"/>
      <c r="Q80" s="2170"/>
      <c r="R80" s="2171"/>
      <c r="S80" s="2171"/>
      <c r="T80" s="2171"/>
      <c r="U80" s="2171"/>
      <c r="V80" s="2171"/>
      <c r="W80" s="2171"/>
      <c r="X80" s="2171"/>
      <c r="Y80" s="2171"/>
      <c r="Z80" s="2171"/>
      <c r="AA80" s="2171"/>
      <c r="AB80" s="2171"/>
      <c r="AC80" s="2171"/>
    </row>
    <row r="81" spans="1:29" s="1341" customFormat="1" ht="15.75" thickTop="1">
      <c r="A81" s="690"/>
      <c r="B81" s="676">
        <f>B15</f>
        <v>111</v>
      </c>
      <c r="C81" s="691"/>
      <c r="D81" s="691"/>
      <c r="E81" s="691"/>
      <c r="F81" s="691"/>
      <c r="G81" s="691"/>
      <c r="H81" s="692"/>
      <c r="I81" s="692"/>
      <c r="J81" s="692"/>
      <c r="K81" s="692"/>
      <c r="L81" s="693"/>
      <c r="M81" s="694"/>
      <c r="N81" s="2168"/>
      <c r="O81" s="2168"/>
      <c r="P81" s="2172"/>
      <c r="Q81" s="2173"/>
      <c r="R81" s="2171"/>
      <c r="S81" s="2171"/>
      <c r="T81" s="2171"/>
      <c r="U81" s="2171"/>
      <c r="V81" s="2171"/>
      <c r="W81" s="2171"/>
      <c r="X81" s="2171"/>
      <c r="Y81" s="2171"/>
      <c r="Z81" s="2171"/>
      <c r="AA81" s="2171"/>
      <c r="AB81" s="2171"/>
      <c r="AC81" s="2171"/>
    </row>
    <row r="82" spans="1:29" s="1341" customFormat="1" ht="15.75" thickBot="1">
      <c r="A82" s="690"/>
      <c r="B82" s="681"/>
      <c r="C82" s="695"/>
      <c r="D82" s="695"/>
      <c r="E82" s="695"/>
      <c r="F82" s="695"/>
      <c r="G82" s="695"/>
      <c r="H82" s="696"/>
      <c r="I82" s="696"/>
      <c r="J82" s="696"/>
      <c r="K82" s="696"/>
      <c r="L82" s="696"/>
      <c r="M82" s="697"/>
      <c r="N82" s="2168"/>
      <c r="O82" s="2168"/>
      <c r="P82" s="2169"/>
      <c r="Q82" s="2170"/>
      <c r="R82" s="2171"/>
      <c r="S82" s="2171"/>
      <c r="T82" s="2171"/>
      <c r="U82" s="2171"/>
      <c r="V82" s="2171"/>
      <c r="W82" s="2171"/>
      <c r="X82" s="2171"/>
      <c r="Y82" s="2171"/>
      <c r="Z82" s="2171"/>
      <c r="AA82" s="2171"/>
      <c r="AB82" s="2171"/>
      <c r="AC82" s="2171"/>
    </row>
    <row r="83" spans="1:29" s="1341" customFormat="1" ht="15.75" thickTop="1">
      <c r="A83" s="690"/>
      <c r="B83" s="684">
        <f>B16</f>
        <v>111</v>
      </c>
      <c r="C83" s="664"/>
      <c r="D83" s="664"/>
      <c r="E83" s="664"/>
      <c r="F83" s="664"/>
      <c r="G83" s="664"/>
      <c r="H83" s="698"/>
      <c r="I83" s="698"/>
      <c r="J83" s="698"/>
      <c r="K83" s="698"/>
      <c r="L83" s="699"/>
      <c r="M83" s="700"/>
      <c r="N83" s="2168"/>
      <c r="O83" s="2168"/>
      <c r="P83" s="2174"/>
      <c r="Q83" s="2170"/>
      <c r="R83" s="2171"/>
      <c r="S83" s="2171"/>
      <c r="T83" s="2171"/>
      <c r="U83" s="2171"/>
      <c r="V83" s="2171"/>
      <c r="W83" s="2171"/>
      <c r="X83" s="2171"/>
      <c r="Y83" s="2171"/>
      <c r="Z83" s="2171"/>
      <c r="AA83" s="2171"/>
      <c r="AB83" s="2171"/>
      <c r="AC83" s="2171"/>
    </row>
    <row r="84" spans="1:29" s="1341" customFormat="1" ht="15.75" thickBot="1">
      <c r="A84" s="701"/>
      <c r="B84" s="702"/>
      <c r="C84" s="703"/>
      <c r="D84" s="703"/>
      <c r="E84" s="703"/>
      <c r="F84" s="703"/>
      <c r="G84" s="703"/>
      <c r="H84" s="704"/>
      <c r="I84" s="704"/>
      <c r="J84" s="704"/>
      <c r="K84" s="704"/>
      <c r="L84" s="704"/>
      <c r="M84" s="705"/>
      <c r="N84" s="2168"/>
      <c r="O84" s="2168"/>
      <c r="P84" s="2169"/>
      <c r="Q84" s="2170"/>
      <c r="R84" s="2171"/>
      <c r="S84" s="2171"/>
      <c r="T84" s="2171"/>
      <c r="U84" s="2171"/>
      <c r="V84" s="2171"/>
      <c r="W84" s="2171"/>
      <c r="X84" s="2171"/>
      <c r="Y84" s="2171"/>
      <c r="Z84" s="2171"/>
      <c r="AA84" s="2171"/>
      <c r="AB84" s="2171"/>
      <c r="AC84" s="2171"/>
    </row>
    <row r="85" spans="1:29">
      <c r="A85" s="667" t="s">
        <v>540</v>
      </c>
      <c r="B85" s="668" t="s">
        <v>603</v>
      </c>
      <c r="C85" s="706" t="s">
        <v>580</v>
      </c>
      <c r="D85" s="706" t="s">
        <v>581</v>
      </c>
      <c r="E85" s="706" t="s">
        <v>582</v>
      </c>
      <c r="F85" s="706" t="s">
        <v>583</v>
      </c>
      <c r="G85" s="706" t="s">
        <v>584</v>
      </c>
      <c r="H85" s="707"/>
      <c r="I85" s="707"/>
      <c r="J85" s="707"/>
      <c r="K85" s="708"/>
      <c r="L85" s="709"/>
      <c r="M85" s="710"/>
      <c r="N85" s="2165"/>
      <c r="O85" s="2165"/>
      <c r="P85" s="2175"/>
      <c r="Q85" s="2159"/>
      <c r="R85" s="2146"/>
      <c r="S85" s="2146"/>
      <c r="T85" s="2146"/>
      <c r="U85" s="2146"/>
      <c r="V85" s="2146"/>
      <c r="W85" s="2146"/>
      <c r="X85" s="2146"/>
      <c r="Y85" s="2146"/>
      <c r="Z85" s="2146"/>
      <c r="AA85" s="2146"/>
      <c r="AB85" s="2146"/>
      <c r="AC85" s="214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7"/>
      <c r="O86" s="2167"/>
      <c r="P86" s="2166"/>
      <c r="Q86" s="2159"/>
      <c r="R86" s="2146"/>
      <c r="S86" s="2146"/>
      <c r="T86" s="2146"/>
      <c r="U86" s="2146"/>
      <c r="V86" s="2146"/>
      <c r="W86" s="2146"/>
      <c r="X86" s="2146"/>
      <c r="Y86" s="2146"/>
      <c r="Z86" s="2146"/>
      <c r="AA86" s="2146"/>
      <c r="AB86" s="2146"/>
      <c r="AC86" s="2146"/>
    </row>
    <row r="87" spans="1:29" ht="15.75" thickTop="1">
      <c r="A87" s="672"/>
      <c r="B87" s="676" t="s">
        <v>587</v>
      </c>
      <c r="C87" s="711" t="s">
        <v>580</v>
      </c>
      <c r="D87" s="711" t="s">
        <v>581</v>
      </c>
      <c r="E87" s="711" t="s">
        <v>582</v>
      </c>
      <c r="F87" s="711" t="s">
        <v>583</v>
      </c>
      <c r="G87" s="711" t="s">
        <v>584</v>
      </c>
      <c r="H87" s="677"/>
      <c r="I87" s="677"/>
      <c r="J87" s="677"/>
      <c r="K87" s="678"/>
      <c r="L87" s="679"/>
      <c r="M87" s="680"/>
      <c r="N87" s="2165"/>
      <c r="O87" s="2165"/>
      <c r="P87" s="2166"/>
      <c r="Q87" s="2159"/>
      <c r="R87" s="2146"/>
      <c r="S87" s="2146"/>
      <c r="T87" s="2146"/>
      <c r="U87" s="2146"/>
      <c r="V87" s="2146"/>
      <c r="W87" s="2146"/>
      <c r="X87" s="2146"/>
      <c r="Y87" s="2146"/>
      <c r="Z87" s="2146"/>
      <c r="AA87" s="2146"/>
      <c r="AB87" s="2146"/>
      <c r="AC87" s="214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7"/>
      <c r="O88" s="2167"/>
      <c r="P88" s="2166"/>
      <c r="Q88" s="2159"/>
      <c r="R88" s="2146"/>
      <c r="S88" s="2146"/>
      <c r="T88" s="2146"/>
      <c r="U88" s="2146"/>
      <c r="V88" s="2146"/>
      <c r="W88" s="2146"/>
      <c r="X88" s="2146"/>
      <c r="Y88" s="2146"/>
      <c r="Z88" s="2146"/>
      <c r="AA88" s="2146"/>
      <c r="AB88" s="2146"/>
      <c r="AC88" s="2146"/>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3"/>
      <c r="O89" s="2163"/>
      <c r="P89" s="2166"/>
      <c r="Q89" s="2159"/>
      <c r="R89" s="1994"/>
      <c r="S89" s="1994"/>
      <c r="T89" s="1994"/>
      <c r="U89" s="1994"/>
      <c r="V89" s="1994"/>
      <c r="W89" s="1994"/>
      <c r="X89" s="1994"/>
      <c r="Y89" s="1994"/>
      <c r="Z89" s="1994"/>
      <c r="AA89" s="1994"/>
      <c r="AB89" s="1994"/>
      <c r="AC89" s="1994"/>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7"/>
      <c r="O90" s="2167"/>
      <c r="P90" s="2166"/>
      <c r="Q90" s="2159"/>
      <c r="R90" s="1994"/>
      <c r="S90" s="1994"/>
      <c r="T90" s="1994"/>
      <c r="U90" s="1994"/>
      <c r="V90" s="1994"/>
      <c r="W90" s="1994"/>
      <c r="X90" s="1994"/>
      <c r="Y90" s="1994"/>
      <c r="Z90" s="1994"/>
      <c r="AA90" s="1994"/>
      <c r="AB90" s="1994"/>
      <c r="AC90" s="1994"/>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3"/>
      <c r="O91" s="2163"/>
      <c r="P91" s="2166"/>
      <c r="Q91" s="2159"/>
      <c r="R91" s="1994"/>
      <c r="S91" s="1994"/>
      <c r="T91" s="1994"/>
      <c r="U91" s="1994"/>
      <c r="V91" s="1994"/>
      <c r="W91" s="1994"/>
      <c r="X91" s="1994"/>
      <c r="Y91" s="1994"/>
      <c r="Z91" s="1994"/>
      <c r="AA91" s="1994"/>
      <c r="AB91" s="1994"/>
      <c r="AC91" s="1994"/>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7"/>
      <c r="O92" s="2167"/>
      <c r="P92" s="2166"/>
      <c r="Q92" s="2159"/>
      <c r="R92" s="1994"/>
      <c r="S92" s="1994"/>
      <c r="T92" s="1994"/>
      <c r="U92" s="1994"/>
      <c r="V92" s="1994"/>
      <c r="W92" s="1994"/>
      <c r="X92" s="1994"/>
      <c r="Y92" s="1994"/>
      <c r="Z92" s="1994"/>
      <c r="AA92" s="1994"/>
      <c r="AB92" s="1994"/>
      <c r="AC92" s="1994"/>
    </row>
    <row r="93" spans="1:29" s="1341" customFormat="1" ht="15.75" thickTop="1">
      <c r="A93" s="690"/>
      <c r="B93" s="1897" t="s">
        <v>2553</v>
      </c>
      <c r="C93" s="706" t="s">
        <v>580</v>
      </c>
      <c r="D93" s="706" t="s">
        <v>581</v>
      </c>
      <c r="E93" s="706" t="s">
        <v>582</v>
      </c>
      <c r="F93" s="706" t="s">
        <v>583</v>
      </c>
      <c r="G93" s="706" t="s">
        <v>584</v>
      </c>
      <c r="H93" s="716"/>
      <c r="I93" s="716"/>
      <c r="J93" s="716"/>
      <c r="K93" s="716"/>
      <c r="L93" s="717"/>
      <c r="M93" s="718"/>
      <c r="N93" s="2168"/>
      <c r="O93" s="2168"/>
      <c r="P93" s="2169"/>
      <c r="Q93" s="2170"/>
      <c r="R93" s="2171"/>
      <c r="S93" s="2171"/>
      <c r="T93" s="2171"/>
      <c r="U93" s="2171"/>
      <c r="V93" s="2171"/>
      <c r="W93" s="2171"/>
      <c r="X93" s="2171"/>
      <c r="Y93" s="2171"/>
      <c r="Z93" s="2171"/>
      <c r="AA93" s="2171"/>
      <c r="AB93" s="2171"/>
      <c r="AC93" s="2171"/>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68"/>
      <c r="O94" s="2168"/>
      <c r="P94" s="2169"/>
      <c r="Q94" s="2170"/>
      <c r="R94" s="2171"/>
      <c r="S94" s="2171"/>
      <c r="T94" s="2171"/>
      <c r="U94" s="2171"/>
      <c r="V94" s="2171"/>
      <c r="W94" s="2171"/>
      <c r="X94" s="2171"/>
      <c r="Y94" s="2171"/>
      <c r="Z94" s="2171"/>
      <c r="AA94" s="2171"/>
      <c r="AB94" s="2171"/>
      <c r="AC94" s="2171"/>
    </row>
    <row r="95" spans="1:29" s="1341" customFormat="1" ht="15.75" thickTop="1">
      <c r="A95" s="690"/>
      <c r="B95" s="2622" t="s">
        <v>2555</v>
      </c>
      <c r="C95" s="2623" t="s">
        <v>2556</v>
      </c>
      <c r="D95" s="2623" t="s">
        <v>2557</v>
      </c>
      <c r="E95" s="2623" t="s">
        <v>2558</v>
      </c>
      <c r="F95" s="2623" t="s">
        <v>2559</v>
      </c>
      <c r="G95" s="2623" t="s">
        <v>2560</v>
      </c>
      <c r="H95" s="716"/>
      <c r="I95" s="716"/>
      <c r="J95" s="716"/>
      <c r="K95" s="716"/>
      <c r="L95" s="716"/>
      <c r="M95" s="718"/>
      <c r="N95" s="2168"/>
      <c r="O95" s="2168"/>
      <c r="P95" s="2169"/>
      <c r="Q95" s="2170"/>
      <c r="R95" s="2171"/>
      <c r="S95" s="2171"/>
      <c r="T95" s="2171"/>
      <c r="U95" s="2171"/>
      <c r="V95" s="2171"/>
      <c r="W95" s="2171"/>
      <c r="X95" s="2171"/>
      <c r="Y95" s="2171"/>
      <c r="Z95" s="2171"/>
      <c r="AA95" s="2171"/>
      <c r="AB95" s="2171"/>
      <c r="AC95" s="2171"/>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5"/>
      <c r="N96" s="2168"/>
      <c r="O96" s="2168"/>
      <c r="P96" s="2169"/>
      <c r="Q96" s="2170"/>
      <c r="R96" s="2171"/>
      <c r="S96" s="2171"/>
      <c r="T96" s="2171"/>
      <c r="U96" s="2171"/>
      <c r="V96" s="2171"/>
      <c r="W96" s="2171"/>
      <c r="X96" s="2171"/>
      <c r="Y96" s="2171"/>
      <c r="Z96" s="2171"/>
      <c r="AA96" s="2171"/>
      <c r="AB96" s="2171"/>
      <c r="AC96" s="2171"/>
    </row>
    <row r="97" spans="1:29" ht="15.75" thickTop="1">
      <c r="A97" s="672"/>
      <c r="B97" s="676" t="str">
        <f>B29</f>
        <v>临街状况</v>
      </c>
      <c r="C97" s="677" t="s">
        <v>590</v>
      </c>
      <c r="D97" s="677" t="s">
        <v>591</v>
      </c>
      <c r="E97" s="677" t="s">
        <v>592</v>
      </c>
      <c r="F97" s="677" t="s">
        <v>593</v>
      </c>
      <c r="G97" s="677"/>
      <c r="H97" s="677"/>
      <c r="I97" s="677"/>
      <c r="J97" s="677"/>
      <c r="K97" s="678"/>
      <c r="L97" s="679"/>
      <c r="M97" s="680"/>
      <c r="N97" s="2165"/>
      <c r="O97" s="2165"/>
      <c r="P97" s="2166"/>
      <c r="Q97" s="2159"/>
      <c r="R97" s="2146"/>
      <c r="S97" s="2146"/>
      <c r="T97" s="2146"/>
      <c r="U97" s="2146"/>
      <c r="V97" s="2146"/>
      <c r="W97" s="2146"/>
      <c r="X97" s="2146"/>
      <c r="Y97" s="2146"/>
      <c r="Z97" s="2146"/>
      <c r="AA97" s="2146"/>
      <c r="AB97" s="2146"/>
      <c r="AC97" s="214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2"/>
      <c r="B99" s="676" t="s">
        <v>549</v>
      </c>
      <c r="C99" s="691"/>
      <c r="D99" s="691"/>
      <c r="E99" s="691"/>
      <c r="F99" s="691"/>
      <c r="G99" s="691"/>
      <c r="H99" s="721"/>
      <c r="I99" s="721"/>
      <c r="J99" s="721"/>
      <c r="K99" s="722"/>
      <c r="L99" s="723"/>
      <c r="M99" s="724"/>
      <c r="N99" s="2165"/>
      <c r="O99" s="2165"/>
      <c r="P99" s="2166"/>
      <c r="Q99" s="2159"/>
      <c r="R99" s="2146"/>
      <c r="S99" s="2146"/>
      <c r="T99" s="2146"/>
      <c r="U99" s="2146"/>
      <c r="V99" s="2146"/>
      <c r="W99" s="2146"/>
      <c r="X99" s="2146"/>
      <c r="Y99" s="2146"/>
      <c r="Z99" s="2146"/>
      <c r="AA99" s="2146"/>
      <c r="AB99" s="2146"/>
      <c r="AC99" s="214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2"/>
      <c r="B101" s="676" t="s">
        <v>550</v>
      </c>
      <c r="C101" s="721"/>
      <c r="D101" s="721"/>
      <c r="E101" s="721"/>
      <c r="F101" s="721"/>
      <c r="G101" s="721"/>
      <c r="H101" s="721"/>
      <c r="I101" s="721"/>
      <c r="J101" s="721"/>
      <c r="K101" s="722"/>
      <c r="L101" s="723"/>
      <c r="M101" s="724"/>
      <c r="N101" s="2165"/>
      <c r="O101" s="2165"/>
      <c r="P101" s="2166"/>
      <c r="Q101" s="2159"/>
      <c r="R101" s="2146"/>
      <c r="S101" s="2146"/>
      <c r="T101" s="2146"/>
      <c r="U101" s="2146"/>
      <c r="V101" s="2146"/>
      <c r="W101" s="2146"/>
      <c r="X101" s="2146"/>
      <c r="Y101" s="2146"/>
      <c r="Z101" s="2146"/>
      <c r="AA101" s="2146"/>
      <c r="AB101" s="2146"/>
      <c r="AC101" s="214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2"/>
      <c r="B103" s="684">
        <f>B33</f>
        <v>111</v>
      </c>
      <c r="C103" s="691"/>
      <c r="D103" s="691"/>
      <c r="E103" s="691"/>
      <c r="F103" s="691"/>
      <c r="G103" s="725"/>
      <c r="H103" s="725"/>
      <c r="I103" s="725"/>
      <c r="J103" s="725"/>
      <c r="K103" s="726"/>
      <c r="L103" s="727"/>
      <c r="M103" s="728"/>
      <c r="N103" s="2165"/>
      <c r="O103" s="2165"/>
      <c r="P103" s="2166"/>
      <c r="Q103" s="2159"/>
      <c r="R103" s="2146"/>
      <c r="S103" s="2146"/>
      <c r="T103" s="2146"/>
      <c r="U103" s="2146"/>
      <c r="V103" s="2146"/>
      <c r="W103" s="2146"/>
      <c r="X103" s="2146"/>
      <c r="Y103" s="2146"/>
      <c r="Z103" s="2146"/>
      <c r="AA103" s="2146"/>
      <c r="AB103" s="2146"/>
      <c r="AC103" s="2146"/>
    </row>
    <row r="104" spans="1:29" ht="15.75" thickBot="1">
      <c r="A104" s="672"/>
      <c r="B104" s="702"/>
      <c r="C104" s="695"/>
      <c r="D104" s="674"/>
      <c r="E104" s="674"/>
      <c r="F104" s="674"/>
      <c r="G104" s="729"/>
      <c r="H104" s="729"/>
      <c r="I104" s="729"/>
      <c r="J104" s="729"/>
      <c r="K104" s="729"/>
      <c r="L104" s="729"/>
      <c r="M104" s="730"/>
      <c r="N104" s="2167"/>
      <c r="O104" s="2167"/>
      <c r="P104" s="2166"/>
      <c r="Q104" s="2159"/>
      <c r="R104" s="2146"/>
      <c r="S104" s="2146"/>
      <c r="T104" s="2146"/>
      <c r="U104" s="2146"/>
      <c r="V104" s="2146"/>
      <c r="W104" s="2146"/>
      <c r="X104" s="2146"/>
      <c r="Y104" s="2146"/>
      <c r="Z104" s="2146"/>
      <c r="AA104" s="2146"/>
      <c r="AB104" s="2146"/>
      <c r="AC104" s="2146"/>
    </row>
    <row r="105" spans="1:29" ht="15" thickTop="1">
      <c r="A105" s="590"/>
      <c r="B105" s="676">
        <f>B34</f>
        <v>111</v>
      </c>
      <c r="C105" s="691"/>
      <c r="D105" s="691"/>
      <c r="E105" s="691"/>
      <c r="F105" s="69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95"/>
      <c r="D106" s="695"/>
      <c r="E106" s="695"/>
      <c r="F106" s="695"/>
      <c r="G106" s="674"/>
      <c r="H106" s="674"/>
      <c r="I106" s="674"/>
      <c r="J106" s="674"/>
      <c r="K106" s="674"/>
      <c r="L106" s="674"/>
      <c r="M106" s="675"/>
      <c r="N106" s="2167"/>
      <c r="O106" s="2167"/>
      <c r="P106" s="2166"/>
      <c r="Q106" s="2159"/>
      <c r="R106" s="2146"/>
      <c r="S106" s="2146"/>
      <c r="T106" s="2146"/>
      <c r="U106" s="2146"/>
      <c r="V106" s="2146"/>
      <c r="W106" s="2146"/>
      <c r="X106" s="2146"/>
      <c r="Y106" s="2146"/>
      <c r="Z106" s="2146"/>
      <c r="AA106" s="2146"/>
      <c r="AB106" s="2146"/>
      <c r="AC106" s="2146"/>
    </row>
    <row r="107" spans="1:29" s="1341" customFormat="1" ht="15" thickTop="1">
      <c r="A107" s="731"/>
      <c r="B107" s="732">
        <f>B35</f>
        <v>111</v>
      </c>
      <c r="C107" s="664"/>
      <c r="D107" s="664"/>
      <c r="E107" s="664"/>
      <c r="F107" s="664"/>
      <c r="G107" s="733"/>
      <c r="H107" s="733"/>
      <c r="I107" s="733"/>
      <c r="J107" s="734"/>
      <c r="K107" s="734"/>
      <c r="L107" s="735"/>
      <c r="M107" s="736"/>
      <c r="N107" s="2168"/>
      <c r="O107" s="2168"/>
      <c r="P107" s="2169"/>
      <c r="Q107" s="2170"/>
      <c r="R107" s="2171"/>
      <c r="S107" s="2171"/>
      <c r="T107" s="2171"/>
      <c r="U107" s="2171"/>
      <c r="V107" s="2171"/>
      <c r="W107" s="2171"/>
      <c r="X107" s="2171"/>
      <c r="Y107" s="2171"/>
      <c r="Z107" s="2171"/>
      <c r="AA107" s="2171"/>
      <c r="AB107" s="2171"/>
      <c r="AC107" s="2171"/>
    </row>
    <row r="108" spans="1:29" s="1341" customFormat="1" ht="15.75" thickBot="1">
      <c r="A108" s="690"/>
      <c r="B108" s="684"/>
      <c r="C108" s="703"/>
      <c r="D108" s="703"/>
      <c r="E108" s="703"/>
      <c r="F108" s="703"/>
      <c r="G108" s="595"/>
      <c r="H108" s="595"/>
      <c r="I108" s="595"/>
      <c r="J108" s="595"/>
      <c r="K108" s="595"/>
      <c r="L108" s="595"/>
      <c r="M108" s="737"/>
      <c r="N108" s="2167"/>
      <c r="O108" s="2167"/>
      <c r="P108" s="2169"/>
      <c r="Q108" s="2170"/>
      <c r="R108" s="2171"/>
      <c r="S108" s="2171"/>
      <c r="T108" s="2171"/>
      <c r="U108" s="2171"/>
      <c r="V108" s="2171"/>
      <c r="W108" s="2171"/>
      <c r="X108" s="2171"/>
      <c r="Y108" s="2171"/>
      <c r="Z108" s="2171"/>
      <c r="AA108" s="2171"/>
      <c r="AB108" s="2171"/>
      <c r="AC108" s="217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2"/>
      <c r="B110" s="684"/>
      <c r="C110" s="733"/>
      <c r="D110" s="733"/>
      <c r="E110" s="733"/>
      <c r="F110" s="733"/>
      <c r="G110" s="733"/>
      <c r="H110" s="733"/>
      <c r="I110" s="733"/>
      <c r="J110" s="734"/>
      <c r="K110" s="734"/>
      <c r="L110" s="735"/>
      <c r="M110" s="736"/>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703"/>
      <c r="D111" s="729"/>
      <c r="E111" s="729"/>
      <c r="F111" s="729"/>
      <c r="G111" s="729"/>
      <c r="H111" s="729"/>
      <c r="I111" s="729"/>
      <c r="J111" s="729"/>
      <c r="K111" s="729"/>
      <c r="L111" s="729"/>
      <c r="M111" s="730"/>
      <c r="N111" s="2167"/>
      <c r="O111" s="2167"/>
      <c r="P111" s="2166"/>
      <c r="Q111" s="2159"/>
      <c r="R111" s="2146"/>
      <c r="S111" s="2146"/>
      <c r="T111" s="2146"/>
      <c r="U111" s="2146"/>
      <c r="V111" s="2146"/>
      <c r="W111" s="2146"/>
      <c r="X111" s="2146"/>
      <c r="Y111" s="2146"/>
      <c r="Z111" s="2146"/>
      <c r="AA111" s="2146"/>
      <c r="AB111" s="2146"/>
      <c r="AC111" s="2146"/>
    </row>
    <row r="112" spans="1:29" ht="15" thickTop="1">
      <c r="A112" s="738"/>
      <c r="B112" s="676" t="s">
        <v>595</v>
      </c>
      <c r="C112" s="721"/>
      <c r="D112" s="721"/>
      <c r="E112" s="721"/>
      <c r="F112" s="721"/>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7"/>
      <c r="O113" s="2167"/>
      <c r="P113" s="2166"/>
      <c r="Q113" s="2159"/>
      <c r="R113" s="2146"/>
      <c r="S113" s="2146"/>
      <c r="T113" s="2146"/>
      <c r="U113" s="2146"/>
      <c r="V113" s="2146"/>
      <c r="W113" s="2146"/>
      <c r="X113" s="2146"/>
      <c r="Y113" s="2146"/>
      <c r="Z113" s="2146"/>
      <c r="AA113" s="2146"/>
      <c r="AB113" s="2146"/>
      <c r="AC113" s="2146"/>
    </row>
    <row r="114" spans="1:29" s="1341" customFormat="1" ht="15" thickTop="1">
      <c r="A114" s="731"/>
      <c r="B114" s="1897" t="s">
        <v>2430</v>
      </c>
      <c r="C114" s="1377"/>
      <c r="D114" s="1377"/>
      <c r="E114" s="1377"/>
      <c r="F114" s="1377"/>
      <c r="G114" s="1377"/>
      <c r="H114" s="721"/>
      <c r="I114" s="721"/>
      <c r="J114" s="721"/>
      <c r="K114" s="722"/>
      <c r="L114" s="723"/>
      <c r="M114" s="724"/>
      <c r="N114" s="2168"/>
      <c r="O114" s="2168"/>
      <c r="P114" s="2169"/>
      <c r="Q114" s="2170"/>
      <c r="R114" s="2171"/>
      <c r="S114" s="2171"/>
      <c r="T114" s="2171"/>
      <c r="U114" s="2171"/>
      <c r="V114" s="2171"/>
      <c r="W114" s="2171"/>
      <c r="X114" s="2171"/>
      <c r="Y114" s="2171"/>
      <c r="Z114" s="2171"/>
      <c r="AA114" s="2171"/>
      <c r="AB114" s="2171"/>
      <c r="AC114" s="2171"/>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8"/>
      <c r="B116" s="676" t="s">
        <v>597</v>
      </c>
      <c r="C116" s="691"/>
      <c r="D116" s="691"/>
      <c r="E116" s="721"/>
      <c r="F116" s="721"/>
      <c r="G116" s="72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f>B40</f>
        <v>111</v>
      </c>
      <c r="C118" s="691"/>
      <c r="D118" s="691"/>
      <c r="E118" s="691"/>
      <c r="F118" s="691"/>
      <c r="G118" s="69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95"/>
      <c r="D119" s="674"/>
      <c r="E119" s="674"/>
      <c r="F119" s="674"/>
      <c r="G119" s="674"/>
      <c r="H119" s="674"/>
      <c r="I119" s="674"/>
      <c r="J119" s="674"/>
      <c r="K119" s="674"/>
      <c r="L119" s="674"/>
      <c r="M119" s="675"/>
      <c r="N119" s="2167"/>
      <c r="O119" s="2167"/>
      <c r="P119" s="2166"/>
      <c r="Q119" s="2159"/>
      <c r="R119" s="2146"/>
      <c r="S119" s="2146"/>
      <c r="T119" s="2146"/>
      <c r="U119" s="2146"/>
      <c r="V119" s="2146"/>
      <c r="W119" s="2146"/>
      <c r="X119" s="2146"/>
      <c r="Y119" s="2146"/>
      <c r="Z119" s="2146"/>
      <c r="AA119" s="2146"/>
      <c r="AB119" s="2146"/>
      <c r="AC119" s="2146"/>
    </row>
    <row r="120" spans="1:29" ht="15" thickTop="1">
      <c r="A120" s="738"/>
      <c r="B120" s="676">
        <f>B41</f>
        <v>111</v>
      </c>
      <c r="C120" s="691"/>
      <c r="D120" s="691"/>
      <c r="E120" s="691"/>
      <c r="F120" s="691"/>
      <c r="G120" s="721"/>
      <c r="H120" s="721"/>
      <c r="I120" s="721"/>
      <c r="J120" s="721"/>
      <c r="K120" s="722"/>
      <c r="L120" s="723"/>
      <c r="M120" s="724"/>
      <c r="N120" s="2165"/>
      <c r="O120" s="2165"/>
      <c r="P120" s="2166"/>
      <c r="Q120" s="2159"/>
      <c r="R120" s="2146"/>
      <c r="S120" s="2146"/>
      <c r="T120" s="2146"/>
      <c r="U120" s="2146"/>
      <c r="V120" s="2146"/>
      <c r="W120" s="2146"/>
      <c r="X120" s="2146"/>
      <c r="Y120" s="2146"/>
      <c r="Z120" s="2146"/>
      <c r="AA120" s="2146"/>
      <c r="AB120" s="2146"/>
      <c r="AC120" s="2146"/>
    </row>
    <row r="121" spans="1:29" ht="15.75" thickBot="1">
      <c r="A121" s="672"/>
      <c r="B121" s="681"/>
      <c r="C121" s="695"/>
      <c r="D121" s="695"/>
      <c r="E121" s="695"/>
      <c r="F121" s="695"/>
      <c r="G121" s="674"/>
      <c r="H121" s="674"/>
      <c r="I121" s="674"/>
      <c r="J121" s="674"/>
      <c r="K121" s="674"/>
      <c r="L121" s="674"/>
      <c r="M121" s="675"/>
      <c r="N121" s="2167"/>
      <c r="O121" s="2167"/>
      <c r="P121" s="2166"/>
      <c r="Q121" s="2159"/>
      <c r="R121" s="2146"/>
      <c r="S121" s="2146"/>
      <c r="T121" s="2146"/>
      <c r="U121" s="2146"/>
      <c r="V121" s="2146"/>
      <c r="W121" s="2146"/>
      <c r="X121" s="2146"/>
      <c r="Y121" s="2146"/>
      <c r="Z121" s="2146"/>
      <c r="AA121" s="2146"/>
      <c r="AB121" s="2146"/>
      <c r="AC121" s="2146"/>
    </row>
    <row r="122" spans="1:29" s="1341" customFormat="1" ht="15" thickTop="1">
      <c r="A122" s="731"/>
      <c r="B122" s="676">
        <f>B42</f>
        <v>111</v>
      </c>
      <c r="C122" s="664"/>
      <c r="D122" s="664"/>
      <c r="E122" s="664"/>
      <c r="F122" s="664"/>
      <c r="G122" s="692"/>
      <c r="H122" s="692"/>
      <c r="I122" s="692"/>
      <c r="J122" s="692"/>
      <c r="K122" s="692"/>
      <c r="L122" s="693"/>
      <c r="M122" s="694"/>
      <c r="N122" s="2168"/>
      <c r="O122" s="2168"/>
      <c r="P122" s="2169"/>
      <c r="Q122" s="2170"/>
      <c r="R122" s="2171"/>
      <c r="S122" s="2171"/>
      <c r="T122" s="2171"/>
      <c r="U122" s="2171"/>
      <c r="V122" s="2171"/>
      <c r="W122" s="2171"/>
      <c r="X122" s="2171"/>
      <c r="Y122" s="2171"/>
      <c r="Z122" s="2171"/>
      <c r="AA122" s="2171"/>
      <c r="AB122" s="2171"/>
      <c r="AC122" s="2171"/>
    </row>
    <row r="123" spans="1:29" s="1341" customFormat="1" ht="15.75" thickBot="1">
      <c r="A123" s="701"/>
      <c r="B123" s="739"/>
      <c r="C123" s="703"/>
      <c r="D123" s="703"/>
      <c r="E123" s="703"/>
      <c r="F123" s="703"/>
      <c r="G123" s="729"/>
      <c r="H123" s="729"/>
      <c r="I123" s="729"/>
      <c r="J123" s="729"/>
      <c r="K123" s="729"/>
      <c r="L123" s="729"/>
      <c r="M123" s="730"/>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2431</v>
      </c>
      <c r="D1" s="1523">
        <f>SUM(D29:D30,D33:D39)</f>
        <v>0</v>
      </c>
      <c r="E1" s="1408" t="s">
        <v>2432</v>
      </c>
      <c r="F1" s="2477"/>
      <c r="G1" s="1403"/>
      <c r="H1" s="1403"/>
      <c r="I1" s="1403"/>
      <c r="J1" s="1403"/>
      <c r="K1" s="1403"/>
      <c r="L1" s="1883" t="s">
        <v>2242</v>
      </c>
      <c r="M1" s="1884">
        <f>SUMPRODUCT((区片价!B5:B9=I2)*(区片价!C3:F3=E2)*(区片价!C5:F9))</f>
        <v>0</v>
      </c>
      <c r="N1" s="1885">
        <f>SUMPRODUCT((因素修正幅度!B5:B9=I2)*(因素修正幅度!C3:F3=E2)*(因素修正幅度!C5:F9))</f>
        <v>0</v>
      </c>
      <c r="O1" s="2190"/>
      <c r="P1" s="2190"/>
      <c r="Q1" s="2190"/>
      <c r="R1" s="2963" t="s">
        <v>2769</v>
      </c>
      <c r="S1" s="2963" t="s">
        <v>2770</v>
      </c>
      <c r="T1" s="2963" t="s">
        <v>2791</v>
      </c>
      <c r="U1" s="2963" t="s">
        <v>2792</v>
      </c>
      <c r="V1" s="2963" t="s">
        <v>2793</v>
      </c>
      <c r="W1" s="2190"/>
      <c r="X1" s="2190"/>
      <c r="Y1" s="2190"/>
      <c r="Z1" s="2190"/>
      <c r="AA1" s="2190"/>
      <c r="AB1" s="2190"/>
      <c r="AC1" s="2191"/>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6" t="s">
        <v>2243</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3" t="s">
        <v>1689</v>
      </c>
      <c r="B3" s="1040" t="e">
        <f>ROUND(B2*10000/D1,0)</f>
        <v>#DIV/0!</v>
      </c>
      <c r="C3" s="1409" t="s">
        <v>928</v>
      </c>
      <c r="D3" s="1410" t="s">
        <v>929</v>
      </c>
      <c r="E3" s="1414"/>
      <c r="F3" s="1415" t="s">
        <v>2941</v>
      </c>
      <c r="G3" s="1041">
        <f>IF(F3="宗地容积率",'数据-汇总表'!I4,IF(F3="估价对象容积率",'数据-汇总表'!I6,'数据-汇总表'!I7))</f>
        <v>2.6</v>
      </c>
      <c r="H3" s="1416" t="s">
        <v>930</v>
      </c>
      <c r="I3" s="1042">
        <v>8</v>
      </c>
      <c r="J3" s="1412" t="s">
        <v>931</v>
      </c>
      <c r="K3" s="1403"/>
      <c r="L3" s="1886" t="s">
        <v>2244</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3"/>
      <c r="L4" s="1886" t="s">
        <v>2245</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3" customFormat="1" ht="15.75" thickBot="1">
      <c r="A5" s="1640" t="s">
        <v>1825</v>
      </c>
      <c r="B5" s="1417" t="s">
        <v>932</v>
      </c>
      <c r="C5" s="1043" t="e">
        <f>ROUND(IF(E2="商业",IF(F16="增加",C6*C7+C16,C6*C7-C16),IF(E2="住宅",IF(F16="增加",C6*C12+C16,C6*C12-C16),IF(F16="增加",C6+C16,C6-C16))),0)</f>
        <v>#DIV/0!</v>
      </c>
      <c r="D5" s="3149">
        <f>ROUND(IF(E2="商业",IF(F16="增加",C6+C16,C6-C16)),0)</f>
        <v>0</v>
      </c>
      <c r="E5" s="1418"/>
      <c r="F5" s="1418"/>
      <c r="G5" s="1419"/>
      <c r="H5" s="1419"/>
      <c r="I5" s="1419"/>
      <c r="J5" s="1420"/>
      <c r="K5" s="1596"/>
      <c r="L5" s="1886" t="s">
        <v>2246</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6" t="s">
        <v>2247</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21"/>
      <c r="AE6" s="1421"/>
      <c r="AF6" s="1421"/>
      <c r="AG6" s="1421"/>
      <c r="AH6" s="1421"/>
      <c r="AI6" s="1421"/>
      <c r="AJ6" s="1422"/>
    </row>
    <row r="7" spans="1:39" ht="24">
      <c r="A7" s="3432" t="str">
        <f>IF(E2="商业",IF(C8="不临58条商业街","",2),"")</f>
        <v/>
      </c>
      <c r="B7" s="1429" t="s">
        <v>933</v>
      </c>
      <c r="C7" s="1045" t="e">
        <f>IF(C8="不临58条商业街",1,ROUND(1+(1.6*E8+1.2*E9+0.8*E10+0.4*E11)*C9,4))</f>
        <v>#DIV/0!</v>
      </c>
      <c r="D7" s="1430" t="s">
        <v>934</v>
      </c>
      <c r="E7" s="1046"/>
      <c r="F7" s="1431"/>
      <c r="G7" s="1432"/>
      <c r="H7" s="1432"/>
      <c r="I7" s="1432"/>
      <c r="J7" s="1433"/>
      <c r="K7" s="1597"/>
      <c r="L7" s="1886" t="s">
        <v>2248</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2.6</v>
      </c>
      <c r="AA7" s="2193"/>
      <c r="AB7" s="2193"/>
      <c r="AC7" s="2194"/>
      <c r="AD7" s="2956"/>
      <c r="AE7" s="2956"/>
      <c r="AF7" s="2956"/>
      <c r="AG7" s="2956"/>
      <c r="AH7" s="2956"/>
      <c r="AI7" s="2956"/>
      <c r="AJ7" s="2957"/>
    </row>
    <row r="8" spans="1:39" ht="15">
      <c r="A8" s="3433"/>
      <c r="B8" s="1416" t="s">
        <v>935</v>
      </c>
      <c r="C8" s="1531"/>
      <c r="D8" s="1047" t="s">
        <v>936</v>
      </c>
      <c r="E8" s="1048" t="e">
        <f>ROUND(C11/E7,4)</f>
        <v>#DIV/0!</v>
      </c>
      <c r="F8" s="1434" t="s">
        <v>937</v>
      </c>
      <c r="G8" s="1435"/>
      <c r="H8" s="1435"/>
      <c r="I8" s="1435"/>
      <c r="J8" s="1436"/>
      <c r="K8" s="1403"/>
      <c r="L8" s="1886" t="s">
        <v>2249</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24" t="s">
        <v>2790</v>
      </c>
      <c r="X8" s="3425"/>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3433"/>
      <c r="B9" s="1416" t="s">
        <v>938</v>
      </c>
      <c r="C9" s="1049">
        <f>SUMIF(修正!C59:C119,C8,修正!E59:E119)</f>
        <v>0</v>
      </c>
      <c r="D9" s="1050" t="s">
        <v>939</v>
      </c>
      <c r="E9" s="1050" t="e">
        <f>ROUND(C11/E7,4)</f>
        <v>#DIV/0!</v>
      </c>
      <c r="F9" s="1434" t="s">
        <v>940</v>
      </c>
      <c r="G9" s="1435"/>
      <c r="H9" s="1435"/>
      <c r="I9" s="1435"/>
      <c r="J9" s="1436"/>
      <c r="K9" s="1403"/>
      <c r="L9" s="1886" t="s">
        <v>2250</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23" t="s">
        <v>2786</v>
      </c>
      <c r="X9" s="2958" t="s">
        <v>2787</v>
      </c>
      <c r="Y9" s="3123"/>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33"/>
      <c r="B10" s="1416" t="s">
        <v>941</v>
      </c>
      <c r="C10" s="1050">
        <f>SUMIF(修正!C59:C119,C8,修正!F59:F119)</f>
        <v>0</v>
      </c>
      <c r="D10" s="1050" t="s">
        <v>942</v>
      </c>
      <c r="E10" s="1050" t="e">
        <f>ROUND(C11/E7,4)</f>
        <v>#DIV/0!</v>
      </c>
      <c r="F10" s="1434" t="s">
        <v>943</v>
      </c>
      <c r="G10" s="1435"/>
      <c r="H10" s="1435"/>
      <c r="I10" s="1435"/>
      <c r="J10" s="1436"/>
      <c r="K10" s="1403"/>
      <c r="L10" s="1886" t="s">
        <v>2251</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23"/>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33"/>
      <c r="B11" s="1437" t="s">
        <v>944</v>
      </c>
      <c r="C11" s="1051">
        <f>C10/4</f>
        <v>0</v>
      </c>
      <c r="D11" s="1051" t="s">
        <v>945</v>
      </c>
      <c r="E11" s="1051" t="e">
        <f>ROUND(C11/E7,4)</f>
        <v>#DIV/0!</v>
      </c>
      <c r="F11" s="1438" t="s">
        <v>946</v>
      </c>
      <c r="G11" s="1439"/>
      <c r="H11" s="1439"/>
      <c r="I11" s="1439"/>
      <c r="J11" s="1440"/>
      <c r="K11" s="1403"/>
      <c r="L11" s="1886" t="s">
        <v>2252</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23" t="s">
        <v>2788</v>
      </c>
      <c r="X11" s="1050" t="s">
        <v>2773</v>
      </c>
      <c r="Y11" s="1655">
        <f>$G$3</f>
        <v>2.6</v>
      </c>
      <c r="Z11" s="1655">
        <f t="shared" ref="Z11:AJ11" si="3">$G$3</f>
        <v>2.6</v>
      </c>
      <c r="AA11" s="1655">
        <f t="shared" si="3"/>
        <v>2.6</v>
      </c>
      <c r="AB11" s="1655">
        <f t="shared" si="3"/>
        <v>2.6</v>
      </c>
      <c r="AC11" s="1655">
        <f t="shared" si="3"/>
        <v>2.6</v>
      </c>
      <c r="AD11" s="1655">
        <f t="shared" si="3"/>
        <v>2.6</v>
      </c>
      <c r="AE11" s="1655">
        <f t="shared" si="3"/>
        <v>2.6</v>
      </c>
      <c r="AF11" s="1655">
        <f t="shared" si="3"/>
        <v>2.6</v>
      </c>
      <c r="AG11" s="1655">
        <f t="shared" si="3"/>
        <v>2.6</v>
      </c>
      <c r="AH11" s="1655">
        <f t="shared" si="3"/>
        <v>2.6</v>
      </c>
      <c r="AI11" s="1655">
        <f t="shared" si="3"/>
        <v>2.6</v>
      </c>
      <c r="AJ11" s="1655">
        <f t="shared" si="3"/>
        <v>2.6</v>
      </c>
    </row>
    <row r="12" spans="1:39" ht="25.5" thickBot="1">
      <c r="A12" s="3432" t="s">
        <v>1873</v>
      </c>
      <c r="B12" s="1441" t="s">
        <v>947</v>
      </c>
      <c r="C12" s="1045">
        <f>ROUND(C15*D15*E15*F15*G15*H15*I15*J15,4)</f>
        <v>1</v>
      </c>
      <c r="D12" s="1442" t="s">
        <v>948</v>
      </c>
      <c r="E12" s="1443"/>
      <c r="F12" s="1443"/>
      <c r="G12" s="1444"/>
      <c r="H12" s="1444"/>
      <c r="I12" s="1444"/>
      <c r="J12" s="1445"/>
      <c r="K12" s="1403"/>
      <c r="L12" s="1889" t="s">
        <v>2253</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23"/>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34"/>
      <c r="B13" s="1446" t="s">
        <v>1698</v>
      </c>
      <c r="C13" s="1447" t="s">
        <v>1699</v>
      </c>
      <c r="D13" s="1091" t="s">
        <v>1700</v>
      </c>
      <c r="E13" s="1091" t="s">
        <v>1701</v>
      </c>
      <c r="F13" s="1448" t="s">
        <v>949</v>
      </c>
      <c r="G13" s="1449" t="s">
        <v>1644</v>
      </c>
      <c r="H13" s="1450" t="s">
        <v>1644</v>
      </c>
      <c r="I13" s="1451" t="s">
        <v>1644</v>
      </c>
      <c r="J13" s="1452" t="s">
        <v>1644</v>
      </c>
      <c r="K13" s="1403"/>
      <c r="L13" s="2190"/>
      <c r="M13" s="2190"/>
      <c r="N13" s="2190"/>
      <c r="O13" s="2190"/>
      <c r="P13" s="2190"/>
      <c r="Q13" s="2190"/>
      <c r="R13" s="2964">
        <v>12</v>
      </c>
      <c r="S13" s="2953"/>
      <c r="T13" s="2964" t="e">
        <f t="shared" si="0"/>
        <v>#DIV/0!</v>
      </c>
      <c r="U13" s="2953"/>
      <c r="V13" s="2964" t="e">
        <f t="shared" si="1"/>
        <v>#DIV/0!</v>
      </c>
      <c r="W13" s="3423"/>
      <c r="X13" s="2961"/>
      <c r="Y13" s="2960">
        <f>(-0.163*(Y12^2)-0.59*Y12+7617)*(10^(-4))/Y11</f>
        <v>0.2929615384615385</v>
      </c>
      <c r="Z13" s="2960">
        <f t="shared" ref="Z13:AJ13" si="5">(-0.163*(Z12^2)-0.59*Z12+7617)*(10^(-4))/Z11</f>
        <v>0.2929615384615385</v>
      </c>
      <c r="AA13" s="2960">
        <f t="shared" si="5"/>
        <v>0.2929615384615385</v>
      </c>
      <c r="AB13" s="2960">
        <f t="shared" si="5"/>
        <v>0.2929615384615385</v>
      </c>
      <c r="AC13" s="2960">
        <f t="shared" si="5"/>
        <v>0.2929615384615385</v>
      </c>
      <c r="AD13" s="2960">
        <f t="shared" si="5"/>
        <v>0.2929615384615385</v>
      </c>
      <c r="AE13" s="2960">
        <f t="shared" si="5"/>
        <v>0.2929615384615385</v>
      </c>
      <c r="AF13" s="2960">
        <f t="shared" si="5"/>
        <v>0.2929615384615385</v>
      </c>
      <c r="AG13" s="2960">
        <f t="shared" si="5"/>
        <v>0.2929615384615385</v>
      </c>
      <c r="AH13" s="2960">
        <f t="shared" si="5"/>
        <v>0.2929615384615385</v>
      </c>
      <c r="AI13" s="2960">
        <f t="shared" si="5"/>
        <v>0.2929615384615385</v>
      </c>
      <c r="AJ13" s="2960">
        <f t="shared" si="5"/>
        <v>0.2929615384615385</v>
      </c>
    </row>
    <row r="14" spans="1:39" ht="12.75" customHeight="1" thickBot="1">
      <c r="A14" s="3434"/>
      <c r="B14" s="1453"/>
      <c r="C14" s="1454"/>
      <c r="D14" s="1455"/>
      <c r="E14" s="1455"/>
      <c r="F14" s="1456"/>
      <c r="G14" s="1457" t="s">
        <v>950</v>
      </c>
      <c r="H14" s="1458"/>
      <c r="I14" s="1459"/>
      <c r="J14" s="1460"/>
      <c r="K14" s="1403"/>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35"/>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0"/>
      <c r="R15" s="2964">
        <v>14</v>
      </c>
      <c r="S15" s="2953"/>
      <c r="T15" s="2964" t="e">
        <f t="shared" si="0"/>
        <v>#DIV/0!</v>
      </c>
      <c r="U15" s="2953"/>
      <c r="V15" s="2964" t="e">
        <f t="shared" si="1"/>
        <v>#DIV/0!</v>
      </c>
      <c r="W15" s="2190"/>
      <c r="X15" s="2190"/>
      <c r="Y15" s="2190"/>
      <c r="Z15" s="2190"/>
      <c r="AA15" s="2190"/>
      <c r="AB15" s="2190"/>
      <c r="AC15" s="2191"/>
    </row>
    <row r="16" spans="1:39" ht="24">
      <c r="A16" s="3432"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33"/>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3"/>
      <c r="R17" s="2194"/>
      <c r="S17" s="2194"/>
      <c r="T17" s="2194"/>
      <c r="U17" s="2194"/>
      <c r="V17" s="2194"/>
      <c r="W17" s="2193"/>
      <c r="X17" s="2193"/>
      <c r="Y17" s="2193"/>
      <c r="Z17" s="2193"/>
      <c r="AA17" s="2193"/>
      <c r="AB17" s="2193"/>
      <c r="AC17" s="2194"/>
      <c r="AH17" s="1404"/>
      <c r="AI17" s="1404"/>
      <c r="AJ17" s="1407"/>
      <c r="AK17" s="1407"/>
      <c r="AL17" s="1407"/>
      <c r="AM17" s="1407"/>
    </row>
    <row r="18" spans="1:40" s="1423" customFormat="1" ht="15.75" thickBot="1">
      <c r="A18" s="1643" t="s">
        <v>1831</v>
      </c>
      <c r="B18" s="2799" t="s">
        <v>957</v>
      </c>
      <c r="C18" s="2800">
        <f>SUMIF(修正!C18:C39,E3,修正!E18:E39)</f>
        <v>0</v>
      </c>
      <c r="D18" s="2801"/>
      <c r="E18" s="2802"/>
      <c r="F18" s="2803"/>
      <c r="G18" s="2797"/>
      <c r="H18" s="2797"/>
      <c r="I18" s="2797"/>
      <c r="J18" s="2804"/>
      <c r="K18" s="1483"/>
      <c r="L18" s="1483"/>
      <c r="M18" s="1483"/>
      <c r="N18" s="1483"/>
      <c r="O18" s="1599"/>
      <c r="P18" s="1599"/>
      <c r="Q18" s="2195"/>
      <c r="R18" s="2195"/>
      <c r="S18" s="2195"/>
      <c r="T18" s="2195"/>
      <c r="U18" s="2195"/>
      <c r="V18" s="2195"/>
      <c r="W18" s="2194"/>
      <c r="X18" s="2194"/>
      <c r="Y18" s="2194"/>
      <c r="Z18" s="2194"/>
      <c r="AA18" s="2193"/>
      <c r="AB18" s="2193"/>
      <c r="AC18" s="2196"/>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43025</v>
      </c>
      <c r="H19" s="1477" t="s">
        <v>2942</v>
      </c>
      <c r="I19" s="2811" t="str">
        <f>IF(H19="季度增幅（自定义）",SUMIF(N21:N24,E2,O21:O24),"")</f>
        <v/>
      </c>
      <c r="J19" s="1473"/>
      <c r="K19" s="1483"/>
      <c r="L19" s="3064" t="s">
        <v>2848</v>
      </c>
      <c r="M19" s="3065">
        <f>ROUND(SUMIF(地价!B2:F2,E2,地价!B20:F20),0)</f>
        <v>0</v>
      </c>
      <c r="N19" s="2813" t="s">
        <v>1678</v>
      </c>
      <c r="O19" s="2812">
        <f>ROUNDDOWN(DATEDIF(E19,G19,"M")/3,0)</f>
        <v>15</v>
      </c>
      <c r="P19" s="1598"/>
      <c r="R19" s="2952"/>
      <c r="S19" s="2952"/>
      <c r="T19" s="2952"/>
      <c r="U19" s="2952"/>
      <c r="V19" s="2952"/>
      <c r="W19" s="2196"/>
      <c r="X19" s="2196"/>
      <c r="Y19" s="2196"/>
      <c r="Z19" s="2196"/>
      <c r="AA19" s="2196"/>
      <c r="AB19" s="2196"/>
      <c r="AC19" s="2196"/>
      <c r="AD19" s="1405"/>
      <c r="AE19" s="1405"/>
      <c r="AF19" s="1405"/>
      <c r="AG19" s="1405"/>
      <c r="AH19" s="1474"/>
      <c r="AI19" s="1475"/>
      <c r="AJ19" s="1479"/>
      <c r="AK19" s="1406"/>
      <c r="AL19" s="1422"/>
      <c r="AM19" s="1422"/>
      <c r="AN19" s="1422"/>
    </row>
    <row r="20" spans="1:40" s="1423" customFormat="1" ht="27.75" thickBot="1">
      <c r="A20" s="2805" t="s">
        <v>1838</v>
      </c>
      <c r="B20" s="2806" t="s">
        <v>973</v>
      </c>
      <c r="C20" s="2807" t="e">
        <f>ROUND(POWER(1+G20,J20-I20)*(POWER(1+G20,I20)-1)/(POWER(1+G20,J20)-1),4)</f>
        <v>#DIV/0!</v>
      </c>
      <c r="D20" s="2808" t="s">
        <v>974</v>
      </c>
      <c r="E20" s="3120">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3"/>
      <c r="L20" s="3066" t="s">
        <v>2849</v>
      </c>
      <c r="M20" s="3067">
        <f>ROUND(SUMPRODUCT((地价!A5:A20=YEAR(G19)&amp;"-"&amp;ROUNDUP(MONTH(G19)/3,0))*(地价!B2:F2=E2)*(地价!B5:F20)),0)</f>
        <v>0</v>
      </c>
      <c r="N20" s="2816" t="s">
        <v>2652</v>
      </c>
      <c r="O20" s="2814" t="s">
        <v>2651</v>
      </c>
      <c r="P20" s="2815" t="s">
        <v>2657</v>
      </c>
      <c r="R20" s="2952"/>
      <c r="S20" s="2952"/>
      <c r="T20" s="2952"/>
      <c r="U20" s="2952"/>
      <c r="V20" s="2952"/>
      <c r="W20" s="2196"/>
      <c r="X20" s="2196"/>
      <c r="Y20" s="2196"/>
      <c r="Z20" s="2196"/>
      <c r="AA20" s="2196"/>
      <c r="AB20" s="2196"/>
      <c r="AC20" s="2196"/>
      <c r="AD20" s="1474"/>
      <c r="AE20" s="1474"/>
      <c r="AF20" s="1474"/>
      <c r="AG20" s="1474"/>
      <c r="AH20" s="1474"/>
      <c r="AI20" s="1474"/>
    </row>
    <row r="21" spans="1:40" s="1423" customFormat="1" ht="14.25">
      <c r="A21" s="1644" t="s">
        <v>1839</v>
      </c>
      <c r="B21" s="1482" t="s">
        <v>2768</v>
      </c>
      <c r="C21" s="1160">
        <f>IF(B21="容积率修正",IF(G3&lt;=10,D22,J22),C23)</f>
        <v>0</v>
      </c>
      <c r="D21" s="1483"/>
      <c r="E21" s="1483"/>
      <c r="F21" s="1483"/>
      <c r="G21" s="1483"/>
      <c r="H21" s="1483"/>
      <c r="I21" s="1483"/>
      <c r="J21" s="1484"/>
      <c r="K21" s="1483"/>
      <c r="L21" s="1483"/>
      <c r="M21" s="1483"/>
      <c r="N21" s="1480" t="s">
        <v>977</v>
      </c>
      <c r="O21" s="1544"/>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5"/>
      <c r="AE21" s="1405"/>
      <c r="AF21" s="1405"/>
      <c r="AG21" s="1405"/>
      <c r="AH21" s="1474"/>
      <c r="AI21" s="1474"/>
    </row>
    <row r="22" spans="1:40" s="1423" customFormat="1" ht="14.25">
      <c r="A22" s="1645" t="s">
        <v>1872</v>
      </c>
      <c r="B22" s="1485" t="s">
        <v>978</v>
      </c>
      <c r="C22" s="1062" t="s">
        <v>1704</v>
      </c>
      <c r="D22" s="1062" t="b">
        <f>IF(E22=G22,F22,IF(G3&lt;=10,ROUND(F22+(H22-F22)*(G3-E22)/(G22-E22),4),"——"))</f>
        <v>0</v>
      </c>
      <c r="E22" s="1041">
        <f>ROUNDDOWN(G3,1)</f>
        <v>2.6</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2.6</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2"/>
      <c r="S24" s="2952"/>
      <c r="T24" s="2952"/>
      <c r="U24" s="2952"/>
      <c r="V24" s="2952"/>
      <c r="W24" s="2196"/>
      <c r="X24" s="2196"/>
      <c r="Y24" s="2196"/>
      <c r="Z24" s="2196"/>
      <c r="AA24" s="2196"/>
      <c r="AB24" s="2196"/>
      <c r="AC24" s="2196"/>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6"/>
      <c r="M25" s="2196"/>
      <c r="N25" s="2824" t="s">
        <v>2655</v>
      </c>
      <c r="O25" s="2196"/>
      <c r="P25" s="1543">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91"/>
      <c r="B26" s="1485" t="s">
        <v>988</v>
      </c>
      <c r="C26" s="1065" t="e">
        <f>E29+SUM(E33:E39)</f>
        <v>#DIV/0!</v>
      </c>
      <c r="D26" s="1492"/>
      <c r="E26" s="1458"/>
      <c r="F26" s="1493"/>
      <c r="G26" s="1458"/>
      <c r="H26" s="1458"/>
      <c r="I26" s="1458"/>
      <c r="J26" s="1494"/>
      <c r="K26" s="1403"/>
      <c r="L26" s="2196"/>
      <c r="M26" s="2196"/>
      <c r="N26" s="2196"/>
      <c r="O26" s="2196"/>
      <c r="P26" s="2196"/>
      <c r="Q26" s="2196"/>
      <c r="R26" s="2952"/>
      <c r="S26" s="2952"/>
      <c r="T26" s="2952"/>
      <c r="U26" s="2952"/>
      <c r="V26" s="2952"/>
      <c r="W26" s="2196"/>
      <c r="X26" s="2196"/>
      <c r="Y26" s="2196"/>
      <c r="Z26" s="2196"/>
      <c r="AA26" s="2196"/>
      <c r="AB26" s="2196"/>
      <c r="AC26" s="2196"/>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6"/>
      <c r="M27" s="2196"/>
      <c r="N27" s="2196"/>
      <c r="O27" s="2196"/>
      <c r="P27" s="2196"/>
      <c r="Q27" s="2196"/>
      <c r="R27" s="2952"/>
      <c r="S27" s="2952"/>
      <c r="T27" s="2952"/>
      <c r="U27" s="2952"/>
      <c r="V27" s="2952"/>
      <c r="W27" s="2196"/>
      <c r="X27" s="2196"/>
      <c r="Y27" s="2196"/>
      <c r="Z27" s="2196"/>
      <c r="AA27" s="2196"/>
      <c r="AB27" s="2196"/>
      <c r="AC27" s="2196"/>
    </row>
    <row r="28" spans="1:40" ht="14.25">
      <c r="A28" s="1487"/>
      <c r="B28" s="1500" t="s">
        <v>991</v>
      </c>
      <c r="C28" s="1501" t="s">
        <v>992</v>
      </c>
      <c r="D28" s="1501" t="s">
        <v>993</v>
      </c>
      <c r="E28" s="1502" t="s">
        <v>994</v>
      </c>
      <c r="F28" s="1503"/>
      <c r="G28" s="1444"/>
      <c r="H28" s="1444"/>
      <c r="I28" s="1444"/>
      <c r="J28" s="1445"/>
      <c r="K28" s="1403"/>
      <c r="L28" s="2196"/>
      <c r="M28" s="2196"/>
      <c r="N28" s="2196"/>
      <c r="O28" s="2196"/>
      <c r="P28" s="2196"/>
      <c r="Q28" s="2196"/>
      <c r="R28" s="2952"/>
      <c r="S28" s="2952"/>
      <c r="T28" s="2952"/>
      <c r="U28" s="2952"/>
      <c r="V28" s="2952"/>
      <c r="W28" s="2196"/>
      <c r="X28" s="2196"/>
      <c r="Y28" s="2196"/>
      <c r="Z28" s="2196"/>
      <c r="AA28" s="2196"/>
      <c r="AB28" s="2196"/>
      <c r="AC28" s="2196"/>
      <c r="AD28" s="1474"/>
      <c r="AE28" s="1474"/>
      <c r="AF28" s="1474"/>
      <c r="AG28" s="1474"/>
    </row>
    <row r="29" spans="1:40" ht="24">
      <c r="A29" s="1504"/>
      <c r="B29" s="1505" t="s">
        <v>995</v>
      </c>
      <c r="C29" s="1065" t="e">
        <f>ROUND(C5*C18*C19*C20*C21*C24,0)</f>
        <v>#DIV/0!</v>
      </c>
      <c r="D29" s="1506"/>
      <c r="E29" s="1850" t="e">
        <f>ROUND(C29*D29/10000,0)</f>
        <v>#DIV/0!</v>
      </c>
      <c r="F29" s="1507" t="s">
        <v>1703</v>
      </c>
      <c r="G29" s="1508"/>
      <c r="H29" s="1508"/>
      <c r="I29" s="1508"/>
      <c r="J29" s="1509"/>
      <c r="K29" s="1403"/>
      <c r="L29" s="2196"/>
      <c r="M29" s="2196"/>
      <c r="N29" s="2196"/>
      <c r="O29" s="2196"/>
      <c r="P29" s="2196"/>
      <c r="Q29" s="2196"/>
      <c r="R29" s="2952"/>
      <c r="S29" s="2952"/>
      <c r="T29" s="2952"/>
      <c r="U29" s="2952"/>
      <c r="V29" s="2952"/>
      <c r="W29" s="2196"/>
      <c r="X29" s="2196"/>
      <c r="Y29" s="2196"/>
      <c r="Z29" s="2196"/>
      <c r="AA29" s="2196"/>
      <c r="AB29" s="2196"/>
      <c r="AC29" s="2196"/>
      <c r="AH29" s="1404"/>
      <c r="AI29" s="1404"/>
      <c r="AJ29" s="1407"/>
      <c r="AK29" s="1407"/>
      <c r="AL29" s="1407"/>
      <c r="AM29" s="1407"/>
    </row>
    <row r="30" spans="1:40" ht="24.75" thickBot="1">
      <c r="A30" s="1510"/>
      <c r="B30" s="1511" t="s">
        <v>996</v>
      </c>
      <c r="C30" s="1053" t="e">
        <f>ROUND(IF(E2="工业",C29*M39,C29*M38),0)</f>
        <v>#DIV/0!</v>
      </c>
      <c r="D30" s="1512"/>
      <c r="E30" s="1850" t="e">
        <f>ROUND(C30*D30/10000,0)</f>
        <v>#DIV/0!</v>
      </c>
      <c r="F30" s="1513" t="s">
        <v>997</v>
      </c>
      <c r="G30" s="1514"/>
      <c r="H30" s="1514"/>
      <c r="I30" s="1514"/>
      <c r="J30" s="1515"/>
      <c r="K30" s="1403"/>
      <c r="L30" s="2190"/>
      <c r="M30" s="2190"/>
      <c r="N30" s="2190"/>
      <c r="O30" s="2190"/>
      <c r="P30" s="2190"/>
      <c r="Q30" s="2190"/>
      <c r="R30" s="2191"/>
      <c r="S30" s="2191"/>
      <c r="T30" s="2191"/>
      <c r="U30" s="2191"/>
      <c r="V30" s="2191"/>
      <c r="W30" s="2190"/>
      <c r="X30" s="2190"/>
      <c r="Y30" s="2190"/>
      <c r="Z30" s="2190"/>
      <c r="AA30" s="2190"/>
      <c r="AB30" s="2190"/>
      <c r="AC30" s="2190"/>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0"/>
      <c r="M31" s="2190"/>
      <c r="N31" s="2190"/>
      <c r="O31" s="2190"/>
      <c r="P31" s="2190"/>
      <c r="Q31" s="2190"/>
      <c r="R31" s="2191"/>
      <c r="S31" s="2191"/>
      <c r="T31" s="2191"/>
      <c r="U31" s="2191"/>
      <c r="V31" s="2191"/>
      <c r="W31" s="2190"/>
      <c r="X31" s="2190"/>
      <c r="Y31" s="2190"/>
      <c r="Z31" s="2190"/>
      <c r="AA31" s="2190"/>
      <c r="AB31" s="2190"/>
      <c r="AC31" s="2190"/>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0"/>
      <c r="M32" s="2190"/>
      <c r="N32" s="2190"/>
      <c r="O32" s="2190"/>
      <c r="P32" s="2190"/>
      <c r="Q32" s="2190"/>
      <c r="R32" s="2191"/>
      <c r="S32" s="2191"/>
      <c r="T32" s="2191"/>
      <c r="U32" s="2191"/>
      <c r="V32" s="2191"/>
      <c r="W32" s="2190"/>
      <c r="X32" s="2190"/>
      <c r="Y32" s="2190"/>
      <c r="Z32" s="2190"/>
      <c r="AA32" s="2190"/>
      <c r="AB32" s="2190"/>
      <c r="AC32" s="2190"/>
      <c r="AD32" s="1404"/>
      <c r="AE32" s="1404"/>
      <c r="AF32" s="1404"/>
      <c r="AG32" s="1404"/>
      <c r="AH32" s="1404"/>
      <c r="AI32" s="1404"/>
      <c r="AJ32" s="1407"/>
      <c r="AK32" s="1407"/>
      <c r="AL32" s="1407"/>
      <c r="AM32" s="1407"/>
    </row>
    <row r="33" spans="1:40" ht="12.75">
      <c r="A33" s="3438" t="s">
        <v>2969</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0"/>
      <c r="M33" s="2190"/>
      <c r="N33" s="2190"/>
      <c r="O33" s="2190"/>
      <c r="P33" s="2190"/>
      <c r="Q33" s="2190"/>
      <c r="R33" s="2191"/>
      <c r="S33" s="2191"/>
      <c r="T33" s="2191"/>
      <c r="U33" s="2191"/>
      <c r="V33" s="2191"/>
      <c r="W33" s="2190"/>
      <c r="X33" s="2190"/>
      <c r="Y33" s="2190"/>
      <c r="Z33" s="2190"/>
      <c r="AA33" s="2190"/>
      <c r="AB33" s="2190"/>
      <c r="AC33" s="2191"/>
    </row>
    <row r="34" spans="1:40" ht="12.75">
      <c r="A34" s="3439"/>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0"/>
      <c r="M34" s="2190"/>
      <c r="N34" s="2190"/>
      <c r="O34" s="2190"/>
      <c r="P34" s="2190"/>
      <c r="Q34" s="2190"/>
      <c r="R34" s="2191"/>
      <c r="S34" s="2191"/>
      <c r="T34" s="2191"/>
      <c r="U34" s="2191"/>
      <c r="V34" s="2191"/>
      <c r="W34" s="2190"/>
      <c r="X34" s="2190"/>
      <c r="Y34" s="2190"/>
      <c r="Z34" s="2190"/>
      <c r="AA34" s="2190"/>
      <c r="AB34" s="2190"/>
      <c r="AC34" s="2191"/>
    </row>
    <row r="35" spans="1:40" ht="12.75">
      <c r="A35" s="3439"/>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0"/>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0"/>
      <c r="M36" s="2190"/>
      <c r="N36" s="2190"/>
      <c r="O36" s="2190"/>
      <c r="P36" s="2190"/>
      <c r="Q36" s="2190"/>
      <c r="R36" s="2191"/>
      <c r="S36" s="2191"/>
      <c r="T36" s="2191"/>
      <c r="U36" s="2191"/>
      <c r="V36" s="2191"/>
      <c r="W36" s="2190"/>
      <c r="X36" s="2190"/>
      <c r="Y36" s="2190"/>
      <c r="Z36" s="2190"/>
      <c r="AA36" s="2190"/>
      <c r="AB36" s="2190"/>
      <c r="AC36" s="2191"/>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0"/>
      <c r="O37" s="2190"/>
      <c r="P37" s="2190"/>
      <c r="Q37" s="2190"/>
      <c r="R37" s="2191"/>
      <c r="S37" s="2191"/>
      <c r="T37" s="2191"/>
      <c r="U37" s="2191"/>
      <c r="V37" s="2191"/>
      <c r="W37" s="2190"/>
      <c r="X37" s="2190"/>
      <c r="Y37" s="2190"/>
      <c r="Z37" s="2190"/>
      <c r="AA37" s="2190"/>
      <c r="AB37" s="2190"/>
      <c r="AC37" s="2191"/>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0"/>
      <c r="O38" s="2190"/>
      <c r="P38" s="2190"/>
      <c r="Q38" s="2190"/>
      <c r="R38" s="2191"/>
      <c r="S38" s="2191"/>
      <c r="T38" s="2191"/>
      <c r="U38" s="2191"/>
      <c r="V38" s="2191"/>
      <c r="W38" s="2190"/>
      <c r="X38" s="2190"/>
      <c r="Y38" s="2190"/>
      <c r="Z38" s="2190"/>
      <c r="AA38" s="2190"/>
      <c r="AB38" s="2190"/>
      <c r="AC38" s="2191"/>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0"/>
      <c r="O39" s="2190"/>
      <c r="P39" s="2190"/>
      <c r="Q39" s="2190"/>
      <c r="R39" s="2191"/>
      <c r="S39" s="2191"/>
      <c r="T39" s="2191"/>
      <c r="U39" s="2191"/>
      <c r="V39" s="2191"/>
      <c r="W39" s="2190"/>
      <c r="X39" s="2190"/>
      <c r="Y39" s="2190"/>
      <c r="Z39" s="2190"/>
      <c r="AA39" s="2190"/>
      <c r="AB39" s="2190"/>
      <c r="AC39" s="2191"/>
    </row>
    <row r="40" spans="1:40" s="1404"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5"/>
      <c r="AE40" s="1405"/>
      <c r="AF40" s="1405"/>
      <c r="AG40" s="1405"/>
      <c r="AH40" s="1405"/>
      <c r="AI40" s="1405"/>
      <c r="AJ40" s="1405"/>
      <c r="AK40" s="1405"/>
      <c r="AL40" s="1405"/>
      <c r="AM40" s="1405"/>
    </row>
    <row r="41" spans="1:40" s="1404" customFormat="1">
      <c r="A41" s="1405"/>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5"/>
      <c r="AE41" s="1405"/>
      <c r="AF41" s="1405"/>
      <c r="AG41" s="1405"/>
      <c r="AH41" s="1405"/>
      <c r="AI41" s="1405"/>
      <c r="AJ41" s="1405"/>
      <c r="AK41" s="1405"/>
      <c r="AL41" s="1405"/>
      <c r="AM41" s="1405"/>
    </row>
    <row r="42" spans="1:40" s="1404" customFormat="1">
      <c r="A42" s="1405"/>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5"/>
      <c r="AE42" s="1405"/>
      <c r="AF42" s="1405"/>
      <c r="AG42" s="1405"/>
      <c r="AH42" s="1405"/>
      <c r="AI42" s="1405"/>
      <c r="AJ42" s="1405"/>
      <c r="AK42" s="1405"/>
      <c r="AL42" s="1405"/>
      <c r="AM42" s="1405"/>
    </row>
    <row r="43" spans="1:40" s="1404" customFormat="1">
      <c r="A43" s="1405"/>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5"/>
      <c r="AE43" s="1405"/>
      <c r="AF43" s="1405"/>
      <c r="AG43" s="1405"/>
      <c r="AH43" s="1405"/>
      <c r="AI43" s="1405"/>
      <c r="AJ43" s="1405"/>
      <c r="AK43" s="1405"/>
      <c r="AL43" s="1405"/>
      <c r="AM43" s="1405"/>
    </row>
    <row r="44" spans="1:40" s="1404" customFormat="1" ht="15" thickBot="1">
      <c r="A44" s="2444" t="s">
        <v>1008</v>
      </c>
      <c r="B44" s="2445"/>
      <c r="C44" s="2446"/>
      <c r="D44" s="2447"/>
      <c r="E44" s="2447"/>
      <c r="F44" s="2448"/>
      <c r="G44" s="1068"/>
      <c r="H44" s="2448"/>
      <c r="I44" s="1068"/>
      <c r="J44" s="1068"/>
      <c r="K44" s="1068"/>
      <c r="L44" s="1068"/>
      <c r="M44" s="1068"/>
      <c r="O44" s="2197"/>
      <c r="P44" s="2197"/>
      <c r="Q44" s="2197"/>
      <c r="R44" s="2198"/>
      <c r="S44" s="2198"/>
      <c r="T44" s="2198"/>
      <c r="U44" s="2198"/>
      <c r="V44" s="2198"/>
      <c r="W44" s="2197"/>
      <c r="X44" s="2197"/>
      <c r="Y44" s="2197"/>
      <c r="Z44" s="2197"/>
      <c r="AA44" s="2197"/>
      <c r="AB44" s="2197"/>
      <c r="AC44" s="2198"/>
      <c r="AD44" s="1405"/>
      <c r="AE44" s="1405"/>
      <c r="AF44" s="1405"/>
      <c r="AG44" s="1405"/>
      <c r="AH44" s="1405"/>
      <c r="AI44" s="1405"/>
      <c r="AJ44" s="1405"/>
      <c r="AK44" s="1405"/>
      <c r="AL44" s="1405"/>
      <c r="AM44" s="1405"/>
    </row>
    <row r="45" spans="1:40" s="1404" customFormat="1" ht="15">
      <c r="A45" s="2449" t="s">
        <v>1009</v>
      </c>
      <c r="B45" s="2450">
        <f>1+E47</f>
        <v>1</v>
      </c>
      <c r="C45" s="2451"/>
      <c r="D45" s="2452"/>
      <c r="E45" s="2453"/>
      <c r="F45" s="2454"/>
      <c r="G45" s="2448"/>
      <c r="H45" s="2448"/>
      <c r="I45" s="1068"/>
      <c r="J45" s="1068"/>
      <c r="K45" s="1068"/>
      <c r="L45" s="1068"/>
      <c r="M45" s="1068"/>
      <c r="O45" s="2197"/>
      <c r="P45" s="2197"/>
      <c r="Q45" s="2197"/>
      <c r="R45" s="2198"/>
      <c r="S45" s="2198"/>
      <c r="T45" s="2198"/>
      <c r="U45" s="2198"/>
      <c r="V45" s="2198"/>
      <c r="W45" s="2197"/>
      <c r="X45" s="2197"/>
      <c r="Y45" s="2197"/>
      <c r="Z45" s="2197"/>
      <c r="AA45" s="2197"/>
      <c r="AB45" s="2197"/>
      <c r="AC45" s="2198"/>
      <c r="AD45" s="1405"/>
      <c r="AE45" s="1405"/>
      <c r="AF45" s="1405"/>
      <c r="AG45" s="1405"/>
      <c r="AH45" s="1405"/>
      <c r="AI45" s="1405"/>
      <c r="AJ45" s="1405"/>
      <c r="AK45" s="1405"/>
      <c r="AL45" s="1405"/>
      <c r="AM45" s="1405"/>
    </row>
    <row r="46" spans="1:40" s="1404" customFormat="1" ht="24">
      <c r="A46" s="1069"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5"/>
      <c r="AF46" s="1405"/>
      <c r="AG46" s="1405"/>
      <c r="AH46" s="1405"/>
      <c r="AI46" s="1405"/>
      <c r="AJ46" s="1405"/>
      <c r="AK46" s="1405"/>
      <c r="AL46" s="1405"/>
      <c r="AM46" s="1405"/>
      <c r="AN46" s="1405"/>
    </row>
    <row r="47" spans="1:40" s="1404" customFormat="1" ht="36">
      <c r="A47" s="1069" t="s">
        <v>1022</v>
      </c>
      <c r="B47" s="2436" t="str">
        <f>估价对象房地状况!C16</f>
        <v>估价对象位于XX商圈，周边商业氛围成熟，人流量大，商业繁华度好</v>
      </c>
      <c r="C47" s="1052"/>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5"/>
      <c r="AF47" s="1405"/>
      <c r="AG47" s="1405"/>
      <c r="AH47" s="1405"/>
      <c r="AI47" s="1405"/>
      <c r="AJ47" s="1405"/>
      <c r="AK47" s="1405"/>
      <c r="AL47" s="1405"/>
      <c r="AM47" s="1405"/>
      <c r="AN47" s="1405"/>
    </row>
    <row r="48" spans="1:40" s="1404" customFormat="1" ht="48">
      <c r="A48" s="1069" t="s">
        <v>1023</v>
      </c>
      <c r="B48" s="2433" t="str">
        <f>估价对象房地状况!C18</f>
        <v>估价对象周边道路状况、公共交通通达情况、停车便捷程度，综合评价交通便捷度较好</v>
      </c>
      <c r="C48" s="1052"/>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5"/>
      <c r="AF48" s="1405"/>
      <c r="AG48" s="1405"/>
      <c r="AH48" s="1405"/>
      <c r="AI48" s="1405"/>
      <c r="AJ48" s="1405"/>
      <c r="AK48" s="1405"/>
      <c r="AL48" s="1405"/>
      <c r="AM48" s="1405"/>
      <c r="AN48" s="1405"/>
    </row>
    <row r="49" spans="1:40" s="1404" customFormat="1" ht="24">
      <c r="A49" s="1069" t="s">
        <v>1024</v>
      </c>
      <c r="B49" s="2433">
        <f>估价对象房地状况!C19</f>
        <v>0</v>
      </c>
      <c r="C49" s="1052"/>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5"/>
      <c r="AF49" s="1405"/>
      <c r="AG49" s="1405"/>
      <c r="AH49" s="1405"/>
      <c r="AI49" s="1405"/>
      <c r="AJ49" s="1405"/>
      <c r="AK49" s="1405"/>
      <c r="AL49" s="1405"/>
      <c r="AM49" s="1405"/>
      <c r="AN49" s="1405"/>
    </row>
    <row r="50" spans="1:40" s="1404" customFormat="1" ht="36">
      <c r="A50" s="1069" t="s">
        <v>1025</v>
      </c>
      <c r="B50" s="3122" t="s">
        <v>2944</v>
      </c>
      <c r="C50" s="1052"/>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5"/>
      <c r="AF50" s="1405"/>
      <c r="AG50" s="1405"/>
      <c r="AH50" s="1405"/>
      <c r="AI50" s="1405"/>
      <c r="AJ50" s="1405"/>
      <c r="AK50" s="1405"/>
      <c r="AL50" s="1405"/>
      <c r="AM50" s="1405"/>
      <c r="AN50" s="1405"/>
    </row>
    <row r="51" spans="1:40" s="1404" customFormat="1" ht="24">
      <c r="A51" s="1069" t="s">
        <v>1026</v>
      </c>
      <c r="B51" s="2433">
        <f>估价对象房地状况!C24</f>
        <v>0</v>
      </c>
      <c r="C51" s="1052"/>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5"/>
      <c r="AF51" s="1405"/>
      <c r="AG51" s="1405"/>
      <c r="AH51" s="1405"/>
      <c r="AI51" s="1405"/>
      <c r="AJ51" s="1405"/>
      <c r="AK51" s="1405"/>
      <c r="AL51" s="1405"/>
      <c r="AM51" s="1405"/>
      <c r="AN51" s="1405"/>
    </row>
    <row r="52" spans="1:40" s="1404" customFormat="1" ht="24">
      <c r="A52" s="1069" t="s">
        <v>1027</v>
      </c>
      <c r="B52" s="3121" t="s">
        <v>2943</v>
      </c>
      <c r="C52" s="1052"/>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5"/>
      <c r="AF52" s="1405"/>
      <c r="AG52" s="1405"/>
      <c r="AH52" s="1405"/>
      <c r="AI52" s="1405"/>
      <c r="AJ52" s="1405"/>
      <c r="AK52" s="1405"/>
      <c r="AL52" s="1405"/>
      <c r="AM52" s="1405"/>
      <c r="AN52" s="1405"/>
    </row>
    <row r="53" spans="1:40" s="1404" customFormat="1" ht="24">
      <c r="A53" s="2465" t="s">
        <v>1028</v>
      </c>
      <c r="B53" s="2434" t="str">
        <f>估价对象房地状况!C21</f>
        <v>估价对象所在区域公共配套设施齐备情况</v>
      </c>
      <c r="C53" s="1052"/>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5"/>
      <c r="AF53" s="1405"/>
      <c r="AG53" s="1405"/>
      <c r="AH53" s="1405"/>
      <c r="AI53" s="1405"/>
      <c r="AJ53" s="1405"/>
      <c r="AK53" s="1405"/>
      <c r="AL53" s="1405"/>
      <c r="AM53" s="1405"/>
      <c r="AN53" s="1405"/>
    </row>
    <row r="54" spans="1:40" s="1404" customFormat="1" ht="24">
      <c r="A54" s="2465" t="s">
        <v>1029</v>
      </c>
      <c r="B54" s="2433" t="str">
        <f>估价对象房地状况!C22</f>
        <v>估价对象所在区域基础设施水平</v>
      </c>
      <c r="C54" s="1052"/>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5"/>
      <c r="AF54" s="1405"/>
      <c r="AG54" s="1405"/>
      <c r="AH54" s="1405"/>
      <c r="AI54" s="1405"/>
      <c r="AJ54" s="1405"/>
      <c r="AK54" s="1405"/>
      <c r="AL54" s="1405"/>
      <c r="AM54" s="1405"/>
      <c r="AN54" s="1405"/>
    </row>
    <row r="55" spans="1:40" s="1404" customFormat="1" ht="36.75" thickBot="1">
      <c r="A55" s="2466" t="s">
        <v>1030</v>
      </c>
      <c r="B55" s="2437" t="str">
        <f>估价对象房地状况!C20</f>
        <v>区域自然环境：；人文环境；综合评价环境状况一般</v>
      </c>
      <c r="C55" s="1052"/>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5"/>
      <c r="AF55" s="1405"/>
      <c r="AG55" s="1405"/>
      <c r="AH55" s="1405"/>
      <c r="AI55" s="1405"/>
      <c r="AJ55" s="1405"/>
      <c r="AK55" s="1405"/>
      <c r="AL55" s="1405"/>
      <c r="AM55" s="1405"/>
      <c r="AN55" s="1405"/>
    </row>
    <row r="56" spans="1:40" s="1404" customFormat="1" ht="15">
      <c r="A56" s="2449" t="s">
        <v>1031</v>
      </c>
      <c r="B56" s="2450">
        <f>1+E58</f>
        <v>1</v>
      </c>
      <c r="C56" s="2469"/>
      <c r="D56" s="2452"/>
      <c r="E56" s="2453"/>
      <c r="F56" s="2454"/>
      <c r="G56" s="2448"/>
      <c r="H56" s="2448"/>
      <c r="I56" s="2448"/>
      <c r="J56" s="1068"/>
      <c r="K56" s="1068"/>
      <c r="L56" s="1068"/>
      <c r="M56" s="1068"/>
      <c r="N56" s="1068"/>
      <c r="P56" s="2197"/>
      <c r="Q56" s="2197"/>
      <c r="R56" s="2198"/>
      <c r="S56" s="2198"/>
      <c r="T56" s="2198"/>
      <c r="U56" s="2198"/>
      <c r="V56" s="2198"/>
      <c r="W56" s="2197"/>
      <c r="X56" s="2197"/>
      <c r="Y56" s="2197"/>
      <c r="Z56" s="2197"/>
      <c r="AA56" s="2197"/>
      <c r="AB56" s="2197"/>
      <c r="AC56" s="2197"/>
      <c r="AD56" s="2198"/>
      <c r="AE56" s="1405"/>
      <c r="AF56" s="1405"/>
      <c r="AG56" s="1405"/>
      <c r="AH56" s="1405"/>
      <c r="AI56" s="1405"/>
      <c r="AJ56" s="1405"/>
      <c r="AK56" s="1405"/>
      <c r="AL56" s="1405"/>
      <c r="AM56" s="1405"/>
      <c r="AN56" s="1405"/>
    </row>
    <row r="57" spans="1:40" s="1404" customFormat="1" ht="24">
      <c r="A57" s="1069"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5"/>
      <c r="AF57" s="1405"/>
      <c r="AG57" s="1405"/>
      <c r="AH57" s="1405"/>
      <c r="AI57" s="1405"/>
      <c r="AJ57" s="1405"/>
      <c r="AK57" s="1405"/>
      <c r="AL57" s="1405"/>
      <c r="AM57" s="1405"/>
      <c r="AN57" s="1405"/>
    </row>
    <row r="58" spans="1:40" s="1404" customFormat="1" ht="36">
      <c r="A58" s="1069" t="s">
        <v>1032</v>
      </c>
      <c r="B58" s="2436" t="str">
        <f>估价对象房地状况!C17</f>
        <v>估价对象位于XX商圈，周边办公楼项目较多，入驻率高，办公集聚程度较好</v>
      </c>
      <c r="C58" s="1052"/>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5"/>
      <c r="AF58" s="1405"/>
      <c r="AG58" s="1405"/>
      <c r="AH58" s="1405"/>
      <c r="AI58" s="1405"/>
      <c r="AJ58" s="1405"/>
      <c r="AK58" s="1405"/>
      <c r="AL58" s="1405"/>
      <c r="AM58" s="1405"/>
      <c r="AN58" s="1405"/>
    </row>
    <row r="59" spans="1:40" s="1404" customFormat="1" ht="48">
      <c r="A59" s="1069" t="s">
        <v>1023</v>
      </c>
      <c r="B59" s="2433" t="str">
        <f>估价对象房地状况!C18</f>
        <v>估价对象周边道路状况、公共交通通达情况、停车便捷程度，综合评价交通便捷度较好</v>
      </c>
      <c r="C59" s="1052"/>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5"/>
      <c r="AF59" s="1405"/>
      <c r="AG59" s="1405"/>
      <c r="AH59" s="1405"/>
      <c r="AI59" s="1405"/>
      <c r="AJ59" s="1405"/>
      <c r="AK59" s="1405"/>
      <c r="AL59" s="1405"/>
      <c r="AM59" s="1405"/>
      <c r="AN59" s="1405"/>
    </row>
    <row r="60" spans="1:40" s="1404" customFormat="1" ht="24">
      <c r="A60" s="1069" t="s">
        <v>1024</v>
      </c>
      <c r="B60" s="2433">
        <f>估价对象房地状况!C19</f>
        <v>0</v>
      </c>
      <c r="C60" s="1052"/>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5"/>
      <c r="AF60" s="1405"/>
      <c r="AG60" s="1405"/>
      <c r="AH60" s="1405"/>
      <c r="AI60" s="1405"/>
      <c r="AJ60" s="1405"/>
      <c r="AK60" s="1405"/>
      <c r="AL60" s="1405"/>
      <c r="AM60" s="1405"/>
      <c r="AN60" s="1405"/>
    </row>
    <row r="61" spans="1:40" s="1404" customFormat="1" ht="36">
      <c r="A61" s="1069" t="s">
        <v>1025</v>
      </c>
      <c r="B61" s="3122" t="s">
        <v>2945</v>
      </c>
      <c r="C61" s="1052"/>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5"/>
      <c r="AF61" s="1405"/>
      <c r="AG61" s="1405"/>
      <c r="AH61" s="1405"/>
      <c r="AI61" s="1405"/>
      <c r="AJ61" s="1405"/>
      <c r="AK61" s="1405"/>
      <c r="AL61" s="1405"/>
      <c r="AM61" s="1405"/>
      <c r="AN61" s="1405"/>
    </row>
    <row r="62" spans="1:40" s="1404" customFormat="1" ht="24">
      <c r="A62" s="1069" t="s">
        <v>1026</v>
      </c>
      <c r="B62" s="2433">
        <f>估价对象房地状况!C24</f>
        <v>0</v>
      </c>
      <c r="C62" s="1052"/>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5"/>
      <c r="AF62" s="1405"/>
      <c r="AG62" s="1405"/>
      <c r="AH62" s="1405"/>
      <c r="AI62" s="1405"/>
      <c r="AJ62" s="1405"/>
      <c r="AK62" s="1405"/>
      <c r="AL62" s="1405"/>
      <c r="AM62" s="1405"/>
      <c r="AN62" s="1405"/>
    </row>
    <row r="63" spans="1:40" s="1404" customFormat="1" ht="24">
      <c r="A63" s="1069" t="s">
        <v>1027</v>
      </c>
      <c r="B63" s="3121" t="s">
        <v>2943</v>
      </c>
      <c r="C63" s="1052"/>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5"/>
      <c r="AF63" s="1405"/>
      <c r="AG63" s="1405"/>
      <c r="AH63" s="1405"/>
      <c r="AI63" s="1405"/>
      <c r="AJ63" s="1405"/>
      <c r="AK63" s="1405"/>
      <c r="AL63" s="1405"/>
      <c r="AM63" s="1405"/>
      <c r="AN63" s="1405"/>
    </row>
    <row r="64" spans="1:40" s="1404" customFormat="1" ht="24">
      <c r="A64" s="1069" t="s">
        <v>1028</v>
      </c>
      <c r="B64" s="2434" t="str">
        <f>估价对象房地状况!C21</f>
        <v>估价对象所在区域公共配套设施齐备情况</v>
      </c>
      <c r="C64" s="1052"/>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5"/>
      <c r="AF64" s="1405"/>
      <c r="AG64" s="1405"/>
      <c r="AH64" s="1405"/>
      <c r="AI64" s="1405"/>
      <c r="AJ64" s="1405"/>
      <c r="AK64" s="1405"/>
      <c r="AL64" s="1405"/>
      <c r="AM64" s="1405"/>
      <c r="AN64" s="1405"/>
    </row>
    <row r="65" spans="1:40" s="1404" customFormat="1" ht="24">
      <c r="A65" s="1069" t="s">
        <v>1029</v>
      </c>
      <c r="B65" s="2434" t="str">
        <f>估价对象房地状况!C22</f>
        <v>估价对象所在区域基础设施水平</v>
      </c>
      <c r="C65" s="1052"/>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5"/>
      <c r="AF65" s="1405"/>
      <c r="AG65" s="1405"/>
      <c r="AH65" s="1405"/>
      <c r="AI65" s="1405"/>
      <c r="AJ65" s="1405"/>
      <c r="AK65" s="1405"/>
      <c r="AL65" s="1405"/>
      <c r="AM65" s="1405"/>
      <c r="AN65" s="1405"/>
    </row>
    <row r="66" spans="1:40" s="1404" customFormat="1" ht="36.75" thickBot="1">
      <c r="A66" s="2466" t="s">
        <v>1030</v>
      </c>
      <c r="B66" s="2438" t="str">
        <f>估价对象房地状况!C20</f>
        <v>区域自然环境：；人文环境；综合评价环境状况一般</v>
      </c>
      <c r="C66" s="1052"/>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5"/>
      <c r="AF66" s="1405"/>
      <c r="AG66" s="1405"/>
      <c r="AH66" s="1405"/>
      <c r="AI66" s="1405"/>
      <c r="AJ66" s="1405"/>
      <c r="AK66" s="1405"/>
      <c r="AL66" s="1405"/>
      <c r="AM66" s="1405"/>
      <c r="AN66" s="1405"/>
    </row>
    <row r="67" spans="1:40" s="1404" customFormat="1" ht="15">
      <c r="A67" s="2449" t="s">
        <v>1033</v>
      </c>
      <c r="B67" s="2450">
        <f>1+E69</f>
        <v>1</v>
      </c>
      <c r="C67" s="2469"/>
      <c r="D67" s="2452"/>
      <c r="E67" s="2453"/>
      <c r="F67" s="2454"/>
      <c r="G67" s="2448"/>
      <c r="H67" s="2448"/>
      <c r="I67" s="2448"/>
      <c r="J67" s="1068"/>
      <c r="K67" s="1068"/>
      <c r="L67" s="1068"/>
      <c r="M67" s="1068"/>
      <c r="N67" s="1068"/>
      <c r="P67" s="2197"/>
      <c r="Q67" s="2197"/>
      <c r="R67" s="2198"/>
      <c r="S67" s="2198"/>
      <c r="T67" s="2198"/>
      <c r="U67" s="2198"/>
      <c r="V67" s="2198"/>
      <c r="W67" s="2197"/>
      <c r="X67" s="2197"/>
      <c r="Y67" s="2197"/>
      <c r="Z67" s="2197"/>
      <c r="AA67" s="2197"/>
      <c r="AB67" s="2197"/>
      <c r="AC67" s="2197"/>
      <c r="AD67" s="2198"/>
      <c r="AE67" s="1405"/>
      <c r="AF67" s="1405"/>
      <c r="AG67" s="1405"/>
      <c r="AH67" s="1405"/>
      <c r="AI67" s="1405"/>
      <c r="AJ67" s="1405"/>
      <c r="AK67" s="1405"/>
      <c r="AL67" s="1405"/>
      <c r="AM67" s="1405"/>
      <c r="AN67" s="1405"/>
    </row>
    <row r="68" spans="1:40" s="1404" customFormat="1" ht="24">
      <c r="A68" s="1069"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5"/>
      <c r="AF68" s="1405"/>
      <c r="AG68" s="1405"/>
      <c r="AH68" s="1405"/>
      <c r="AI68" s="1405"/>
      <c r="AJ68" s="1405"/>
      <c r="AK68" s="1405"/>
      <c r="AL68" s="1405"/>
      <c r="AM68" s="1405"/>
      <c r="AN68" s="1405"/>
    </row>
    <row r="69" spans="1:40" s="1404" customFormat="1" ht="48">
      <c r="A69" s="1069" t="s">
        <v>1034</v>
      </c>
      <c r="B69" s="2436" t="str">
        <f>估价对象房地状况!C15</f>
        <v>估价对象周边居住用地比例、居住小区规模和社区发展完善程度，综合评价居住社区成熟度一般</v>
      </c>
      <c r="C69" s="1161"/>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5"/>
      <c r="AF69" s="1405"/>
      <c r="AG69" s="1405"/>
      <c r="AH69" s="1405"/>
      <c r="AI69" s="1405"/>
      <c r="AJ69" s="1405"/>
      <c r="AK69" s="1405"/>
      <c r="AL69" s="1405"/>
      <c r="AM69" s="1405"/>
      <c r="AN69" s="1405"/>
    </row>
    <row r="70" spans="1:40" s="1404" customFormat="1" ht="48">
      <c r="A70" s="1069" t="s">
        <v>1035</v>
      </c>
      <c r="B70" s="2433" t="str">
        <f>估价对象房地状况!C18</f>
        <v>估价对象周边道路状况、公共交通通达情况、停车便捷程度，综合评价交通便捷度较好</v>
      </c>
      <c r="C70" s="1161"/>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5"/>
      <c r="AF70" s="1405"/>
      <c r="AG70" s="1405"/>
      <c r="AH70" s="1405"/>
      <c r="AI70" s="1405"/>
      <c r="AJ70" s="1405"/>
      <c r="AK70" s="1405"/>
      <c r="AL70" s="1405"/>
      <c r="AM70" s="1405"/>
      <c r="AN70" s="1405"/>
    </row>
    <row r="71" spans="1:40" s="1404" customFormat="1" ht="24">
      <c r="A71" s="1069" t="s">
        <v>1024</v>
      </c>
      <c r="B71" s="2433">
        <f>估价对象房地状况!C19</f>
        <v>0</v>
      </c>
      <c r="C71" s="1161"/>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5"/>
      <c r="AF71" s="1405"/>
      <c r="AG71" s="1405"/>
      <c r="AH71" s="1405"/>
      <c r="AI71" s="1405"/>
      <c r="AJ71" s="1405"/>
      <c r="AK71" s="1405"/>
      <c r="AL71" s="1405"/>
      <c r="AM71" s="1405"/>
      <c r="AN71" s="1405"/>
    </row>
    <row r="72" spans="1:40" s="1404" customFormat="1" ht="14.25">
      <c r="A72" s="1069" t="s">
        <v>1036</v>
      </c>
      <c r="B72" s="2433">
        <f>估价对象房地状况!C24</f>
        <v>0</v>
      </c>
      <c r="C72" s="1161"/>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5"/>
      <c r="AF72" s="1405"/>
      <c r="AG72" s="1405"/>
      <c r="AH72" s="1405"/>
      <c r="AI72" s="1405"/>
      <c r="AJ72" s="1405"/>
      <c r="AK72" s="1405"/>
      <c r="AL72" s="1405"/>
      <c r="AM72" s="1405"/>
      <c r="AN72" s="1405"/>
    </row>
    <row r="73" spans="1:40" s="1404" customFormat="1" ht="24">
      <c r="A73" s="1069" t="s">
        <v>1028</v>
      </c>
      <c r="B73" s="2434" t="str">
        <f>估价对象房地状况!C21</f>
        <v>估价对象所在区域公共配套设施齐备情况</v>
      </c>
      <c r="C73" s="1161"/>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5"/>
      <c r="AF73" s="1405"/>
      <c r="AG73" s="1405"/>
      <c r="AH73" s="1405"/>
      <c r="AI73" s="1405"/>
      <c r="AJ73" s="1405"/>
      <c r="AK73" s="1405"/>
      <c r="AL73" s="1405"/>
      <c r="AM73" s="1405"/>
      <c r="AN73" s="1405"/>
    </row>
    <row r="74" spans="1:40" s="1404" customFormat="1" ht="24">
      <c r="A74" s="1069" t="s">
        <v>1029</v>
      </c>
      <c r="B74" s="2434" t="str">
        <f>估价对象房地状况!C22</f>
        <v>估价对象所在区域基础设施水平</v>
      </c>
      <c r="C74" s="1161"/>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5"/>
      <c r="AF74" s="1405"/>
      <c r="AG74" s="1405"/>
      <c r="AH74" s="1405"/>
      <c r="AI74" s="1405"/>
      <c r="AJ74" s="1405"/>
      <c r="AK74" s="1405"/>
      <c r="AL74" s="1405"/>
      <c r="AM74" s="1405"/>
      <c r="AN74" s="1405"/>
    </row>
    <row r="75" spans="1:40" s="1404" customFormat="1" ht="24">
      <c r="A75" s="1069" t="s">
        <v>1027</v>
      </c>
      <c r="B75" s="3121" t="s">
        <v>2943</v>
      </c>
      <c r="C75" s="1161"/>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5"/>
      <c r="AF75" s="1405"/>
      <c r="AG75" s="1405"/>
      <c r="AH75" s="1405"/>
      <c r="AI75" s="1405"/>
      <c r="AJ75" s="1405"/>
      <c r="AK75" s="1405"/>
      <c r="AL75" s="1405"/>
      <c r="AM75" s="1405"/>
      <c r="AN75" s="1405"/>
    </row>
    <row r="76" spans="1:40" ht="36">
      <c r="A76" s="1069" t="s">
        <v>1030</v>
      </c>
      <c r="B76" s="2436" t="str">
        <f>估价对象房地状况!C20</f>
        <v>区域自然环境：；人文环境；综合评价环境状况一般</v>
      </c>
      <c r="C76" s="1161"/>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5"/>
      <c r="AN76" s="1406"/>
    </row>
    <row r="77" spans="1:40" ht="24.75" thickBot="1">
      <c r="A77" s="2466" t="s">
        <v>1037</v>
      </c>
      <c r="B77" s="1851"/>
      <c r="C77" s="1161"/>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7"/>
      <c r="AD77" s="1406"/>
      <c r="AJ77" s="1405"/>
      <c r="AN77" s="1406"/>
    </row>
    <row r="78" spans="1:40" ht="15">
      <c r="A78" s="2449" t="s">
        <v>1038</v>
      </c>
      <c r="B78" s="2450">
        <f>1+E80</f>
        <v>1</v>
      </c>
      <c r="C78" s="2469"/>
      <c r="D78" s="2452"/>
      <c r="E78" s="2453"/>
      <c r="F78" s="2454"/>
      <c r="G78" s="2448"/>
      <c r="H78" s="2448"/>
      <c r="I78" s="2448"/>
      <c r="J78" s="1068"/>
      <c r="K78" s="1068"/>
      <c r="L78" s="1068"/>
      <c r="M78" s="1068"/>
      <c r="N78" s="1068"/>
      <c r="AC78" s="1407"/>
      <c r="AD78" s="1406"/>
      <c r="AJ78" s="1405"/>
      <c r="AN78" s="1406"/>
    </row>
    <row r="79" spans="1:40" ht="24">
      <c r="A79" s="1069"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7"/>
      <c r="AD79" s="1406"/>
      <c r="AJ79" s="1405"/>
      <c r="AN79" s="1406"/>
    </row>
    <row r="80" spans="1:40" ht="36">
      <c r="A80" s="1069" t="s">
        <v>1039</v>
      </c>
      <c r="B80" s="2433" t="str">
        <f>估价对象房地状况!G15</f>
        <v>估价对象位于XX开发区，园区建设成熟度XX，产业集聚程度XX</v>
      </c>
      <c r="C80" s="1052"/>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7"/>
      <c r="AD80" s="1406"/>
      <c r="AJ80" s="1405"/>
      <c r="AN80" s="1406"/>
    </row>
    <row r="81" spans="1:40" ht="48">
      <c r="A81" s="1069" t="s">
        <v>1035</v>
      </c>
      <c r="B81" s="2433" t="str">
        <f>估价对象房地状况!G16</f>
        <v>估价对象周边道路状况、公共交通通达情况、停车便捷程度，综合评价交通便捷度较好</v>
      </c>
      <c r="C81" s="1052"/>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7"/>
      <c r="AD81" s="1406"/>
      <c r="AJ81" s="1405"/>
      <c r="AN81" s="1406"/>
    </row>
    <row r="82" spans="1:40" ht="24">
      <c r="A82" s="1069" t="s">
        <v>1024</v>
      </c>
      <c r="B82" s="2433">
        <f>估价对象房地状况!G17</f>
        <v>0</v>
      </c>
      <c r="C82" s="1052"/>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7"/>
      <c r="AD82" s="1406"/>
      <c r="AJ82" s="1405"/>
      <c r="AN82" s="1406"/>
    </row>
    <row r="83" spans="1:40" ht="14.25">
      <c r="A83" s="1069" t="s">
        <v>1036</v>
      </c>
      <c r="B83" s="2433">
        <f>估价对象房地状况!G22</f>
        <v>0</v>
      </c>
      <c r="C83" s="1052"/>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7"/>
      <c r="AD83" s="1406"/>
      <c r="AJ83" s="1405"/>
      <c r="AN83" s="1406"/>
    </row>
    <row r="84" spans="1:40" ht="24">
      <c r="A84" s="1069" t="s">
        <v>1028</v>
      </c>
      <c r="B84" s="2434" t="str">
        <f>估价对象房地状况!G19</f>
        <v>估价对象所在区域公共配套设施齐备情况</v>
      </c>
      <c r="C84" s="1052"/>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7"/>
      <c r="AD84" s="1406"/>
      <c r="AJ84" s="1405"/>
      <c r="AN84" s="1406"/>
    </row>
    <row r="85" spans="1:40" ht="24">
      <c r="A85" s="1069" t="s">
        <v>1029</v>
      </c>
      <c r="B85" s="2434" t="str">
        <f>估价对象房地状况!G20</f>
        <v>估价对象所在区域基础设施水平</v>
      </c>
      <c r="C85" s="1052"/>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7"/>
      <c r="AD85" s="1406"/>
      <c r="AJ85" s="1405"/>
      <c r="AN85" s="1406"/>
    </row>
    <row r="86" spans="1:40" ht="24">
      <c r="A86" s="1069" t="s">
        <v>1027</v>
      </c>
      <c r="B86" s="3121" t="s">
        <v>2943</v>
      </c>
      <c r="C86" s="1052"/>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7"/>
      <c r="AD86" s="1406"/>
      <c r="AJ86" s="1405"/>
      <c r="AN86" s="1406"/>
    </row>
    <row r="87" spans="1:40" ht="36.75" thickBot="1">
      <c r="A87" s="2466" t="s">
        <v>1040</v>
      </c>
      <c r="B87" s="2435" t="str">
        <f>估价对象房地状况!G18</f>
        <v>该园区内是否有污染型企业，绿化情况，卫生条件，整体环境状况判断</v>
      </c>
      <c r="C87" s="1052"/>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7"/>
      <c r="AD87" s="1406"/>
      <c r="AJ87" s="1405"/>
      <c r="AN87" s="1406"/>
    </row>
    <row r="90" spans="1:40">
      <c r="A90" s="3436" t="s">
        <v>1635</v>
      </c>
      <c r="B90" s="3436"/>
      <c r="C90" s="3436"/>
      <c r="D90" s="3436"/>
      <c r="E90" s="3436"/>
      <c r="F90" s="3436"/>
      <c r="G90" s="3436"/>
      <c r="H90" s="3436"/>
      <c r="I90" s="3436"/>
      <c r="J90" s="3436"/>
      <c r="K90" s="2475"/>
      <c r="L90" s="2475"/>
      <c r="M90" s="2475"/>
      <c r="N90" s="2475"/>
    </row>
    <row r="91" spans="1:40">
      <c r="A91" s="3437" t="s">
        <v>1445</v>
      </c>
      <c r="B91" s="3437" t="s">
        <v>1636</v>
      </c>
      <c r="C91" s="1142" t="s">
        <v>1637</v>
      </c>
      <c r="D91" s="1143"/>
      <c r="E91" s="1143"/>
      <c r="F91" s="1143"/>
      <c r="G91" s="1143"/>
      <c r="H91" s="1143"/>
      <c r="I91" s="1143"/>
      <c r="J91" s="1144"/>
      <c r="K91" s="1136"/>
      <c r="L91" s="1136"/>
      <c r="M91" s="1136"/>
      <c r="N91" s="1136"/>
    </row>
    <row r="92" spans="1:40">
      <c r="A92" s="3437"/>
      <c r="B92" s="3437"/>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26" t="s">
        <v>2771</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7"/>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7"/>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7"/>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7"/>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7"/>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7"/>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8"/>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6" t="s">
        <v>1639</v>
      </c>
      <c r="B101" s="1149" t="s">
        <v>907</v>
      </c>
      <c r="C101" s="1150">
        <f>$G$3</f>
        <v>2.6</v>
      </c>
      <c r="D101" s="1150">
        <f t="shared" ref="D101:N101" si="31">$G$3</f>
        <v>2.6</v>
      </c>
      <c r="E101" s="1150">
        <f t="shared" si="31"/>
        <v>2.6</v>
      </c>
      <c r="F101" s="1150">
        <f t="shared" si="31"/>
        <v>2.6</v>
      </c>
      <c r="G101" s="1150">
        <f t="shared" si="31"/>
        <v>2.6</v>
      </c>
      <c r="H101" s="1150">
        <f t="shared" si="31"/>
        <v>2.6</v>
      </c>
      <c r="I101" s="1150">
        <f t="shared" si="31"/>
        <v>2.6</v>
      </c>
      <c r="J101" s="1150">
        <f t="shared" si="31"/>
        <v>2.6</v>
      </c>
      <c r="K101" s="1150">
        <f t="shared" si="31"/>
        <v>2.6</v>
      </c>
      <c r="L101" s="1150">
        <f t="shared" si="31"/>
        <v>2.6</v>
      </c>
      <c r="M101" s="1150">
        <f t="shared" si="31"/>
        <v>2.6</v>
      </c>
      <c r="N101" s="1150">
        <f t="shared" si="31"/>
        <v>2.6</v>
      </c>
    </row>
    <row r="102" spans="1:14">
      <c r="A102" s="3427"/>
      <c r="B102" s="1145">
        <v>1</v>
      </c>
      <c r="C102" s="1146">
        <f>1.9362/C101</f>
        <v>0.74469230769230765</v>
      </c>
      <c r="D102" s="1146">
        <f>1.9362/D101</f>
        <v>0.74469230769230765</v>
      </c>
      <c r="E102" s="1146">
        <f>1.8629/E101</f>
        <v>0.71650000000000003</v>
      </c>
      <c r="F102" s="1146">
        <f>1.8629/F101</f>
        <v>0.71650000000000003</v>
      </c>
      <c r="G102" s="1146">
        <f>1.8629/G101</f>
        <v>0.71650000000000003</v>
      </c>
      <c r="H102" s="1146">
        <f>1.8629/H101</f>
        <v>0.71650000000000003</v>
      </c>
      <c r="I102" s="1146">
        <f>1.8629/I101</f>
        <v>0.71650000000000003</v>
      </c>
      <c r="J102" s="1146">
        <f>1.942/J101</f>
        <v>0.74692307692307691</v>
      </c>
      <c r="K102" s="1146">
        <f>1.942/K101</f>
        <v>0.74692307692307691</v>
      </c>
      <c r="L102" s="1146">
        <f>1.942/L101</f>
        <v>0.74692307692307691</v>
      </c>
      <c r="M102" s="1146">
        <f>1.942/M101</f>
        <v>0.74692307692307691</v>
      </c>
      <c r="N102" s="1146">
        <f>1.942/N101</f>
        <v>0.74692307692307691</v>
      </c>
    </row>
    <row r="103" spans="1:14">
      <c r="A103" s="3427"/>
      <c r="B103" s="1145">
        <v>2</v>
      </c>
      <c r="C103" s="1146">
        <f>1.4198/C101</f>
        <v>0.54607692307692302</v>
      </c>
      <c r="D103" s="1146">
        <f>1.4198/D101</f>
        <v>0.54607692307692302</v>
      </c>
      <c r="E103" s="1146">
        <f>1.3372/E101</f>
        <v>0.51430769230769224</v>
      </c>
      <c r="F103" s="1146">
        <f>1.3372/F101</f>
        <v>0.51430769230769224</v>
      </c>
      <c r="G103" s="1146">
        <f>1.3372/G101</f>
        <v>0.51430769230769224</v>
      </c>
      <c r="H103" s="1146">
        <f>1.3372/H101</f>
        <v>0.51430769230769224</v>
      </c>
      <c r="I103" s="1146">
        <f>1.3372/I101</f>
        <v>0.51430769230769224</v>
      </c>
      <c r="J103" s="1146">
        <f>1.2799/J101</f>
        <v>0.49226923076923079</v>
      </c>
      <c r="K103" s="1146">
        <f>1.2799/K101</f>
        <v>0.49226923076923079</v>
      </c>
      <c r="L103" s="1146">
        <f>1.2799/L101</f>
        <v>0.49226923076923079</v>
      </c>
      <c r="M103" s="1146">
        <f>1.2799/M101</f>
        <v>0.49226923076923079</v>
      </c>
      <c r="N103" s="1146">
        <f>1.2799/N101</f>
        <v>0.49226923076923079</v>
      </c>
    </row>
    <row r="104" spans="1:14">
      <c r="A104" s="3427"/>
      <c r="B104" s="1145">
        <v>3</v>
      </c>
      <c r="C104" s="1146">
        <f>1.1594/C101</f>
        <v>0.44592307692307692</v>
      </c>
      <c r="D104" s="1146">
        <f>1.1594/D101</f>
        <v>0.44592307692307692</v>
      </c>
      <c r="E104" s="1146">
        <f>1.0788/E101</f>
        <v>0.41492307692307689</v>
      </c>
      <c r="F104" s="1146">
        <f>1.0788/F101</f>
        <v>0.41492307692307689</v>
      </c>
      <c r="G104" s="1146">
        <f>1.0788/G101</f>
        <v>0.41492307692307689</v>
      </c>
      <c r="H104" s="1146">
        <f>1.0788/H101</f>
        <v>0.41492307692307689</v>
      </c>
      <c r="I104" s="1146">
        <f>1.0788/I101</f>
        <v>0.41492307692307689</v>
      </c>
      <c r="J104" s="1146">
        <f>1.0072/J101</f>
        <v>0.38738461538461538</v>
      </c>
      <c r="K104" s="1146">
        <f>1.0072/K101</f>
        <v>0.38738461538461538</v>
      </c>
      <c r="L104" s="1146">
        <f>1.0072/L101</f>
        <v>0.38738461538461538</v>
      </c>
      <c r="M104" s="1146">
        <f>1.0072/M101</f>
        <v>0.38738461538461538</v>
      </c>
      <c r="N104" s="1146">
        <f>1.0072/N101</f>
        <v>0.38738461538461538</v>
      </c>
    </row>
    <row r="105" spans="1:14">
      <c r="A105" s="3427"/>
      <c r="B105" s="1145">
        <v>4</v>
      </c>
      <c r="C105" s="1146">
        <f>0.9622/C101</f>
        <v>0.37007692307692308</v>
      </c>
      <c r="D105" s="1146">
        <f>0.9622/D101</f>
        <v>0.37007692307692308</v>
      </c>
      <c r="E105" s="1146">
        <f>0.8656/E101</f>
        <v>0.33292307692307693</v>
      </c>
      <c r="F105" s="1146">
        <f>0.8656/F101</f>
        <v>0.33292307692307693</v>
      </c>
      <c r="G105" s="1146">
        <f>0.8656/G101</f>
        <v>0.33292307692307693</v>
      </c>
      <c r="H105" s="1146">
        <f>0.8656/H101</f>
        <v>0.33292307692307693</v>
      </c>
      <c r="I105" s="1146">
        <f>0.8656/I101</f>
        <v>0.33292307692307693</v>
      </c>
      <c r="J105" s="1146">
        <f>0.7525/J101</f>
        <v>0.28942307692307689</v>
      </c>
      <c r="K105" s="1146">
        <f>0.7525/K101</f>
        <v>0.28942307692307689</v>
      </c>
      <c r="L105" s="1146">
        <f>0.7525/L101</f>
        <v>0.28942307692307689</v>
      </c>
      <c r="M105" s="1146">
        <f>0.7525/M101</f>
        <v>0.28942307692307689</v>
      </c>
      <c r="N105" s="1146">
        <f>0.7525/N101</f>
        <v>0.28942307692307689</v>
      </c>
    </row>
    <row r="106" spans="1:14">
      <c r="A106" s="3427"/>
      <c r="B106" s="1145">
        <v>5</v>
      </c>
      <c r="C106" s="1146">
        <f>0.8417/C101</f>
        <v>0.32373076923076921</v>
      </c>
      <c r="D106" s="1146">
        <f>0.8417/D101</f>
        <v>0.32373076923076921</v>
      </c>
      <c r="E106" s="1146">
        <f>0.7371/E101</f>
        <v>0.28349999999999997</v>
      </c>
      <c r="F106" s="1146">
        <f>0.7371/F101</f>
        <v>0.28349999999999997</v>
      </c>
      <c r="G106" s="1146">
        <f>0.7371/G101</f>
        <v>0.28349999999999997</v>
      </c>
      <c r="H106" s="1146">
        <f>0.7371/H101</f>
        <v>0.28349999999999997</v>
      </c>
      <c r="I106" s="1146">
        <f>0.7371/I101</f>
        <v>0.28349999999999997</v>
      </c>
      <c r="J106" s="1146">
        <f>0.5659/J101</f>
        <v>0.21765384615384614</v>
      </c>
      <c r="K106" s="1146">
        <f>0.5659/K101</f>
        <v>0.21765384615384614</v>
      </c>
      <c r="L106" s="1146">
        <f>0.5659/L101</f>
        <v>0.21765384615384614</v>
      </c>
      <c r="M106" s="1146">
        <f>0.5659/M101</f>
        <v>0.21765384615384614</v>
      </c>
      <c r="N106" s="1146">
        <f>0.5659/N101</f>
        <v>0.21765384615384614</v>
      </c>
    </row>
    <row r="107" spans="1:14">
      <c r="A107" s="3427"/>
      <c r="B107" s="1145">
        <v>6</v>
      </c>
      <c r="C107" s="1146">
        <f>0.7608/C101</f>
        <v>0.29261538461538461</v>
      </c>
      <c r="D107" s="1146">
        <f>0.7608/D101</f>
        <v>0.29261538461538461</v>
      </c>
      <c r="E107" s="1146">
        <f>0.6482/E101</f>
        <v>0.24930769230769229</v>
      </c>
      <c r="F107" s="1146">
        <f>0.6482/F101</f>
        <v>0.24930769230769229</v>
      </c>
      <c r="G107" s="1146">
        <f>0.6482/G101</f>
        <v>0.24930769230769229</v>
      </c>
      <c r="H107" s="1146">
        <f>0.6482/H101</f>
        <v>0.24930769230769229</v>
      </c>
      <c r="I107" s="1146">
        <f>0.6482/I101</f>
        <v>0.24930769230769229</v>
      </c>
      <c r="J107" s="1146">
        <f>0.4525/J101</f>
        <v>0.17403846153846153</v>
      </c>
      <c r="K107" s="1146">
        <f>0.4525/K101</f>
        <v>0.17403846153846153</v>
      </c>
      <c r="L107" s="1146">
        <f>0.4525/L101</f>
        <v>0.17403846153846153</v>
      </c>
      <c r="M107" s="1146">
        <f>0.4525/M101</f>
        <v>0.17403846153846153</v>
      </c>
      <c r="N107" s="1146">
        <f>0.4525/N101</f>
        <v>0.17403846153846153</v>
      </c>
    </row>
    <row r="108" spans="1:14">
      <c r="A108" s="3427"/>
      <c r="B108" s="3429"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8"/>
      <c r="B109" s="3430"/>
      <c r="C109" s="1148">
        <f>(-0.163*(C108^2)-0.59*C108+7617)*(10^(-4))/C101</f>
        <v>0.29237876923076922</v>
      </c>
      <c r="D109" s="1148">
        <f>(-0.163*(D108^2)-0.59*D108+7617)*(10^(-4))/D101</f>
        <v>0.29237876923076922</v>
      </c>
      <c r="E109" s="1148">
        <f>(-0.161*(E108^2)-7.509*E108+6533)*(10^(-4))/E101</f>
        <v>0.24856246153846154</v>
      </c>
      <c r="F109" s="1148">
        <f>(-0.161*(F108^2)-7.509*F108+6533)*(10^(-4))/F101</f>
        <v>0.24856246153846154</v>
      </c>
      <c r="G109" s="1148">
        <f>(-0.161*(G108^2)-7.509*G108+6533)*(10^(-4))/G101</f>
        <v>0.24856246153846154</v>
      </c>
      <c r="H109" s="1148">
        <f>(-0.161*(H108^2)-7.509*H108+6533)*(10^(-4))/H101</f>
        <v>0.24856246153846154</v>
      </c>
      <c r="I109" s="1148">
        <f>(-0.161*(I108^2)-7.509*I108+6533)*(10^(-4))/I101</f>
        <v>0.24856246153846154</v>
      </c>
      <c r="J109" s="1148">
        <f>(-0.214*(J108^2)-21.991*J108+4665)*(10^(-4))/J101</f>
        <v>0.17212984615384616</v>
      </c>
      <c r="K109" s="1148">
        <f>(-0.214*(K108^2)-21.991*K108+4665)*(10^(-4))/K101</f>
        <v>0.17212984615384616</v>
      </c>
      <c r="L109" s="1148">
        <f>(-0.214*(L108^2)-21.991*L108+4665)*(10^(-4))/L101</f>
        <v>0.17212984615384616</v>
      </c>
      <c r="M109" s="1148">
        <f>(-0.214*(M108^2)-21.991*M108+4665)*(10^(-4))/M101</f>
        <v>0.17212984615384616</v>
      </c>
      <c r="N109" s="1148">
        <f>(-0.214*(N108^2)-21.991*N108+4665)*(10^(-4))/N101</f>
        <v>0.17212984615384616</v>
      </c>
    </row>
    <row r="110" spans="1:14">
      <c r="A110" s="3431" t="s">
        <v>1641</v>
      </c>
      <c r="B110" s="3431"/>
      <c r="C110" s="3431"/>
      <c r="D110" s="3431"/>
      <c r="E110" s="3431"/>
      <c r="F110" s="3431"/>
      <c r="G110" s="3431"/>
      <c r="H110" s="3431"/>
      <c r="I110" s="3431"/>
      <c r="J110" s="3431"/>
      <c r="K110" s="2473"/>
      <c r="L110" s="2473"/>
      <c r="M110" s="2473"/>
      <c r="N110" s="2473"/>
    </row>
    <row r="112" spans="1:14" ht="12.75" thickBot="1"/>
    <row r="113" spans="1:13" ht="25.5" thickBot="1">
      <c r="A113" s="1018" t="s">
        <v>897</v>
      </c>
      <c r="B113" s="2476">
        <f>G3</f>
        <v>2.6</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0.90910000000000002</v>
      </c>
      <c r="C115" s="1032">
        <f>B115</f>
        <v>0.90910000000000002</v>
      </c>
      <c r="D115" s="1032">
        <f>ROUND(0.8331-0.0109*B113,4)</f>
        <v>0.80479999999999996</v>
      </c>
      <c r="E115" s="1032">
        <f>D115</f>
        <v>0.80479999999999996</v>
      </c>
      <c r="F115" s="1032">
        <f>E115</f>
        <v>0.80479999999999996</v>
      </c>
      <c r="G115" s="1032">
        <f>F115</f>
        <v>0.80479999999999996</v>
      </c>
      <c r="H115" s="1032">
        <f>G115</f>
        <v>0.80479999999999996</v>
      </c>
      <c r="I115" s="1032">
        <f>ROUND(0.689-0.0155*B113,4)</f>
        <v>0.64870000000000005</v>
      </c>
      <c r="J115" s="1032">
        <f t="shared" ref="J115:M118" si="33">I115</f>
        <v>0.64870000000000005</v>
      </c>
      <c r="K115" s="1032">
        <f t="shared" si="33"/>
        <v>0.64870000000000005</v>
      </c>
      <c r="L115" s="1032">
        <f t="shared" si="33"/>
        <v>0.64870000000000005</v>
      </c>
      <c r="M115" s="1033">
        <f t="shared" si="33"/>
        <v>0.64870000000000005</v>
      </c>
    </row>
    <row r="116" spans="1:13" ht="12.75">
      <c r="A116" s="1031" t="s">
        <v>902</v>
      </c>
      <c r="B116" s="1032">
        <f>ROUND(0.949-0.012*B113,4)</f>
        <v>0.91779999999999995</v>
      </c>
      <c r="C116" s="1032">
        <f>B116</f>
        <v>0.91779999999999995</v>
      </c>
      <c r="D116" s="1032">
        <f>ROUND(0.8567-0.013*B113,4)</f>
        <v>0.82289999999999996</v>
      </c>
      <c r="E116" s="1032">
        <f t="shared" ref="E116:H117" si="34">D116</f>
        <v>0.82289999999999996</v>
      </c>
      <c r="F116" s="1032">
        <f t="shared" si="34"/>
        <v>0.82289999999999996</v>
      </c>
      <c r="G116" s="1032">
        <f t="shared" si="34"/>
        <v>0.82289999999999996</v>
      </c>
      <c r="H116" s="1032">
        <f t="shared" si="34"/>
        <v>0.82289999999999996</v>
      </c>
      <c r="I116" s="1032">
        <f>ROUND(0.7694-0.014*B113,4)</f>
        <v>0.73299999999999998</v>
      </c>
      <c r="J116" s="1032">
        <f t="shared" si="33"/>
        <v>0.73299999999999998</v>
      </c>
      <c r="K116" s="1032">
        <f t="shared" si="33"/>
        <v>0.73299999999999998</v>
      </c>
      <c r="L116" s="1032">
        <f t="shared" si="33"/>
        <v>0.73299999999999998</v>
      </c>
      <c r="M116" s="1033">
        <f t="shared" si="33"/>
        <v>0.73299999999999998</v>
      </c>
    </row>
    <row r="117" spans="1:13" ht="12.75">
      <c r="A117" s="1034" t="s">
        <v>903</v>
      </c>
      <c r="B117" s="1032">
        <f>ROUND(0.8808-0.006*B113,4)</f>
        <v>0.86519999999999997</v>
      </c>
      <c r="C117" s="1032">
        <f>B117</f>
        <v>0.86519999999999997</v>
      </c>
      <c r="D117" s="1032">
        <f>ROUND(0.8748-0.008*B113,4)</f>
        <v>0.85399999999999998</v>
      </c>
      <c r="E117" s="1032">
        <f t="shared" si="34"/>
        <v>0.85399999999999998</v>
      </c>
      <c r="F117" s="1032">
        <f t="shared" si="34"/>
        <v>0.85399999999999998</v>
      </c>
      <c r="G117" s="1032">
        <f t="shared" si="34"/>
        <v>0.85399999999999998</v>
      </c>
      <c r="H117" s="1032">
        <f t="shared" si="34"/>
        <v>0.85399999999999998</v>
      </c>
      <c r="I117" s="1032">
        <f>ROUND(0.7412-0.0095*B113,4)</f>
        <v>0.71650000000000003</v>
      </c>
      <c r="J117" s="1032">
        <f t="shared" si="33"/>
        <v>0.71650000000000003</v>
      </c>
      <c r="K117" s="1032">
        <f t="shared" si="33"/>
        <v>0.71650000000000003</v>
      </c>
      <c r="L117" s="1032">
        <f t="shared" si="33"/>
        <v>0.71650000000000003</v>
      </c>
      <c r="M117" s="1033">
        <f t="shared" si="33"/>
        <v>0.71650000000000003</v>
      </c>
    </row>
    <row r="118" spans="1:13" ht="13.5" thickBot="1">
      <c r="A118" s="1035" t="s">
        <v>904</v>
      </c>
      <c r="B118" s="1036">
        <f>ROUND(0.7275-0.01*B113,4)</f>
        <v>0.70150000000000001</v>
      </c>
      <c r="C118" s="1036">
        <f>B118</f>
        <v>0.70150000000000001</v>
      </c>
      <c r="D118" s="1036">
        <f>ROUND(0.7043-0.012*B113,4)</f>
        <v>0.67310000000000003</v>
      </c>
      <c r="E118" s="1036">
        <f>D118</f>
        <v>0.67310000000000003</v>
      </c>
      <c r="F118" s="1036">
        <f>E118</f>
        <v>0.67310000000000003</v>
      </c>
      <c r="G118" s="1036">
        <f>ROUND(0.6299-0.0122*B113,4)</f>
        <v>0.59819999999999995</v>
      </c>
      <c r="H118" s="1036">
        <f>G118</f>
        <v>0.59819999999999995</v>
      </c>
      <c r="I118" s="1036">
        <f>ROUND(0.5667-0.0136*B113,4)</f>
        <v>0.53129999999999999</v>
      </c>
      <c r="J118" s="1036">
        <f t="shared" si="33"/>
        <v>0.53129999999999999</v>
      </c>
      <c r="K118" s="1036">
        <f t="shared" si="33"/>
        <v>0.53129999999999999</v>
      </c>
      <c r="L118" s="1036">
        <f t="shared" si="33"/>
        <v>0.53129999999999999</v>
      </c>
      <c r="M118" s="1037">
        <f t="shared" si="33"/>
        <v>0.53129999999999999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437" t="s">
        <v>1009</v>
      </c>
      <c r="B18" s="1156" t="s">
        <v>1448</v>
      </c>
      <c r="C18" s="1133" t="s">
        <v>1449</v>
      </c>
      <c r="D18" s="1134"/>
      <c r="E18" s="1156">
        <v>1</v>
      </c>
      <c r="F18" s="1135" t="s">
        <v>1450</v>
      </c>
      <c r="G18" s="1136"/>
      <c r="H18" s="1107"/>
      <c r="I18" s="1107"/>
    </row>
    <row r="19" spans="1:9" s="1601" customFormat="1" ht="19.5" customHeight="1">
      <c r="A19" s="3437"/>
      <c r="B19" s="3437" t="s">
        <v>1451</v>
      </c>
      <c r="C19" s="1133" t="s">
        <v>1452</v>
      </c>
      <c r="D19" s="1134"/>
      <c r="E19" s="1156">
        <v>0.9</v>
      </c>
      <c r="F19" s="1135" t="s">
        <v>1453</v>
      </c>
      <c r="G19" s="1136"/>
      <c r="H19" s="1107"/>
      <c r="I19" s="1107"/>
    </row>
    <row r="20" spans="1:9" s="1601" customFormat="1" ht="19.5" customHeight="1">
      <c r="A20" s="3437"/>
      <c r="B20" s="3437"/>
      <c r="C20" s="1133" t="s">
        <v>1454</v>
      </c>
      <c r="D20" s="1134"/>
      <c r="E20" s="1156">
        <v>1.1000000000000001</v>
      </c>
      <c r="F20" s="1135" t="s">
        <v>1455</v>
      </c>
      <c r="G20" s="1136"/>
      <c r="H20" s="1107"/>
      <c r="I20" s="1107"/>
    </row>
    <row r="21" spans="1:9" s="1601" customFormat="1" ht="19.5" customHeight="1">
      <c r="A21" s="3437"/>
      <c r="B21" s="3437"/>
      <c r="C21" s="1133" t="s">
        <v>1456</v>
      </c>
      <c r="D21" s="1134"/>
      <c r="E21" s="1156">
        <v>0.8</v>
      </c>
      <c r="F21" s="1135" t="s">
        <v>1457</v>
      </c>
      <c r="G21" s="1136"/>
      <c r="H21" s="1107"/>
      <c r="I21" s="1107"/>
    </row>
    <row r="22" spans="1:9" s="1601" customFormat="1" ht="19.5" customHeight="1">
      <c r="A22" s="3437"/>
      <c r="B22" s="3437"/>
      <c r="C22" s="1133" t="s">
        <v>1458</v>
      </c>
      <c r="D22" s="1134"/>
      <c r="E22" s="1156">
        <v>0.5</v>
      </c>
      <c r="F22" s="1135"/>
      <c r="G22" s="1136"/>
      <c r="H22" s="1107"/>
      <c r="I22" s="1107"/>
    </row>
    <row r="23" spans="1:9" s="1601" customFormat="1" ht="19.5" customHeight="1">
      <c r="A23" s="3437" t="s">
        <v>1031</v>
      </c>
      <c r="B23" s="1156" t="s">
        <v>1448</v>
      </c>
      <c r="C23" s="1133" t="s">
        <v>1459</v>
      </c>
      <c r="D23" s="1134"/>
      <c r="E23" s="1156">
        <v>1</v>
      </c>
      <c r="F23" s="1135" t="s">
        <v>1460</v>
      </c>
      <c r="G23" s="1136"/>
      <c r="H23" s="1107"/>
      <c r="I23" s="1107"/>
    </row>
    <row r="24" spans="1:9" s="1601" customFormat="1" ht="19.5" customHeight="1">
      <c r="A24" s="3437"/>
      <c r="B24" s="3437" t="s">
        <v>1451</v>
      </c>
      <c r="C24" s="1133" t="s">
        <v>1461</v>
      </c>
      <c r="D24" s="1134"/>
      <c r="E24" s="1156">
        <v>0.5</v>
      </c>
      <c r="F24" s="1135"/>
      <c r="G24" s="1136"/>
      <c r="H24" s="1107"/>
      <c r="I24" s="1107"/>
    </row>
    <row r="25" spans="1:9" s="1601" customFormat="1" ht="19.5" customHeight="1">
      <c r="A25" s="3437"/>
      <c r="B25" s="3437"/>
      <c r="C25" s="1133" t="s">
        <v>1462</v>
      </c>
      <c r="D25" s="1134"/>
      <c r="E25" s="1156">
        <v>1.1000000000000001</v>
      </c>
      <c r="F25" s="1135"/>
      <c r="G25" s="1136"/>
      <c r="H25" s="1107"/>
      <c r="I25" s="1107"/>
    </row>
    <row r="26" spans="1:9" s="1601" customFormat="1" ht="19.5" customHeight="1">
      <c r="A26" s="3437"/>
      <c r="B26" s="3437"/>
      <c r="C26" s="1133" t="s">
        <v>1463</v>
      </c>
      <c r="D26" s="1134"/>
      <c r="E26" s="1156">
        <v>1.1000000000000001</v>
      </c>
      <c r="F26" s="1135"/>
      <c r="G26" s="1136"/>
      <c r="H26" s="1107"/>
      <c r="I26" s="1107"/>
    </row>
    <row r="27" spans="1:9" s="1601" customFormat="1" ht="19.5" customHeight="1">
      <c r="A27" s="3437"/>
      <c r="B27" s="3437"/>
      <c r="C27" s="1133" t="s">
        <v>1464</v>
      </c>
      <c r="D27" s="1134"/>
      <c r="E27" s="1156">
        <v>0.9</v>
      </c>
      <c r="F27" s="1135" t="s">
        <v>1465</v>
      </c>
      <c r="G27" s="1136"/>
      <c r="H27" s="1107"/>
      <c r="I27" s="1107"/>
    </row>
    <row r="28" spans="1:9" s="1601" customFormat="1" ht="19.5" customHeight="1">
      <c r="A28" s="3437"/>
      <c r="B28" s="3437"/>
      <c r="C28" s="1133" t="s">
        <v>1466</v>
      </c>
      <c r="D28" s="1134"/>
      <c r="E28" s="1156">
        <v>0.9</v>
      </c>
      <c r="F28" s="1135" t="s">
        <v>1467</v>
      </c>
      <c r="G28" s="1136"/>
      <c r="H28" s="1107"/>
      <c r="I28" s="1107"/>
    </row>
    <row r="29" spans="1:9" s="1601" customFormat="1" ht="19.5" customHeight="1">
      <c r="A29" s="3437"/>
      <c r="B29" s="3437"/>
      <c r="C29" s="1133" t="s">
        <v>1468</v>
      </c>
      <c r="D29" s="1134"/>
      <c r="E29" s="1156">
        <v>0.9</v>
      </c>
      <c r="F29" s="1135" t="s">
        <v>1469</v>
      </c>
      <c r="G29" s="1136"/>
      <c r="H29" s="1107"/>
      <c r="I29" s="1107"/>
    </row>
    <row r="30" spans="1:9" s="1601" customFormat="1" ht="19.5" customHeight="1">
      <c r="A30" s="3437"/>
      <c r="B30" s="3437"/>
      <c r="C30" s="1133" t="s">
        <v>1470</v>
      </c>
      <c r="D30" s="1134"/>
      <c r="E30" s="1156">
        <v>0.9</v>
      </c>
      <c r="F30" s="1135" t="s">
        <v>1471</v>
      </c>
      <c r="G30" s="1136"/>
      <c r="H30" s="1107"/>
      <c r="I30" s="1107"/>
    </row>
    <row r="31" spans="1:9" s="1601" customFormat="1" ht="19.5" customHeight="1">
      <c r="A31" s="3437"/>
      <c r="B31" s="3437"/>
      <c r="C31" s="1133" t="s">
        <v>1472</v>
      </c>
      <c r="D31" s="1134"/>
      <c r="E31" s="1156">
        <v>0.8</v>
      </c>
      <c r="F31" s="1135" t="s">
        <v>1473</v>
      </c>
      <c r="G31" s="1136"/>
      <c r="H31" s="1107"/>
      <c r="I31" s="1107"/>
    </row>
    <row r="32" spans="1:9" s="1601" customFormat="1" ht="19.5" customHeight="1">
      <c r="A32" s="3437"/>
      <c r="B32" s="3437"/>
      <c r="C32" s="1133" t="s">
        <v>1474</v>
      </c>
      <c r="D32" s="1134"/>
      <c r="E32" s="1156">
        <v>0.8</v>
      </c>
      <c r="F32" s="1135" t="s">
        <v>1475</v>
      </c>
      <c r="G32" s="1136"/>
      <c r="H32" s="1107"/>
      <c r="I32" s="1107"/>
    </row>
    <row r="33" spans="1:9" s="1601" customFormat="1" ht="19.5" customHeight="1">
      <c r="A33" s="3437" t="s">
        <v>1476</v>
      </c>
      <c r="B33" s="1156" t="s">
        <v>1448</v>
      </c>
      <c r="C33" s="1133" t="s">
        <v>1477</v>
      </c>
      <c r="D33" s="1134"/>
      <c r="E33" s="1156">
        <v>1</v>
      </c>
      <c r="F33" s="1135" t="s">
        <v>1478</v>
      </c>
      <c r="G33" s="1136"/>
      <c r="H33" s="1107"/>
      <c r="I33" s="1107"/>
    </row>
    <row r="34" spans="1:9" s="1601" customFormat="1" ht="19.5" customHeight="1">
      <c r="A34" s="3437"/>
      <c r="B34" s="1156" t="s">
        <v>1451</v>
      </c>
      <c r="C34" s="1133" t="s">
        <v>1479</v>
      </c>
      <c r="D34" s="1134"/>
      <c r="E34" s="1156">
        <v>1.5</v>
      </c>
      <c r="F34" s="1135" t="s">
        <v>1480</v>
      </c>
      <c r="G34" s="1136"/>
      <c r="H34" s="1107"/>
      <c r="I34" s="1107"/>
    </row>
    <row r="35" spans="1:9" s="1601" customFormat="1" ht="19.5" customHeight="1">
      <c r="A35" s="3437" t="s">
        <v>1434</v>
      </c>
      <c r="B35" s="1156" t="s">
        <v>1448</v>
      </c>
      <c r="C35" s="1133" t="s">
        <v>1481</v>
      </c>
      <c r="D35" s="1134"/>
      <c r="E35" s="1156">
        <v>1</v>
      </c>
      <c r="F35" s="1135" t="s">
        <v>1482</v>
      </c>
      <c r="G35" s="1136"/>
      <c r="H35" s="1107"/>
      <c r="I35" s="1107"/>
    </row>
    <row r="36" spans="1:9" s="1601" customFormat="1" ht="19.5" customHeight="1">
      <c r="A36" s="3437"/>
      <c r="B36" s="3437" t="s">
        <v>1451</v>
      </c>
      <c r="C36" s="1133" t="s">
        <v>1483</v>
      </c>
      <c r="D36" s="1134"/>
      <c r="E36" s="1156">
        <v>1</v>
      </c>
      <c r="F36" s="1135" t="s">
        <v>1484</v>
      </c>
      <c r="G36" s="1136"/>
      <c r="H36" s="1107"/>
      <c r="I36" s="1107"/>
    </row>
    <row r="37" spans="1:9" s="1601" customFormat="1" ht="19.5" customHeight="1">
      <c r="A37" s="3437"/>
      <c r="B37" s="3437"/>
      <c r="C37" s="1133" t="s">
        <v>1485</v>
      </c>
      <c r="D37" s="1134"/>
      <c r="E37" s="1156">
        <v>1.5</v>
      </c>
      <c r="F37" s="1135" t="s">
        <v>1486</v>
      </c>
      <c r="G37" s="1136"/>
      <c r="H37" s="1107"/>
      <c r="I37" s="1107"/>
    </row>
    <row r="38" spans="1:9" s="1601" customFormat="1" ht="19.5" customHeight="1">
      <c r="A38" s="3437"/>
      <c r="B38" s="3437"/>
      <c r="C38" s="1133" t="s">
        <v>1487</v>
      </c>
      <c r="D38" s="1134"/>
      <c r="E38" s="1156">
        <v>1</v>
      </c>
      <c r="F38" s="1135" t="s">
        <v>1488</v>
      </c>
      <c r="G38" s="1136"/>
      <c r="H38" s="1107"/>
      <c r="I38" s="1107"/>
    </row>
    <row r="39" spans="1:9" s="1601" customFormat="1" ht="19.5" customHeight="1">
      <c r="A39" s="3437"/>
      <c r="B39" s="3437"/>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37" t="s">
        <v>1503</v>
      </c>
      <c r="C61" s="1070" t="s">
        <v>1504</v>
      </c>
      <c r="D61" s="1070" t="s">
        <v>1505</v>
      </c>
      <c r="E61" s="1141">
        <v>0.5</v>
      </c>
      <c r="F61" s="1156">
        <v>80</v>
      </c>
      <c r="H61" s="1107">
        <f>SUMIF(C59:C119,基准地价!C8,E59:E119)</f>
        <v>0</v>
      </c>
    </row>
    <row r="62" spans="1:8" s="1107" customFormat="1" ht="24">
      <c r="A62" s="1156">
        <v>2</v>
      </c>
      <c r="B62" s="3437"/>
      <c r="C62" s="1070" t="s">
        <v>1506</v>
      </c>
      <c r="D62" s="1070" t="s">
        <v>1507</v>
      </c>
      <c r="E62" s="1141">
        <v>0.5</v>
      </c>
      <c r="F62" s="1156">
        <v>80</v>
      </c>
    </row>
    <row r="63" spans="1:8" s="1107" customFormat="1" ht="36">
      <c r="A63" s="1156">
        <v>3</v>
      </c>
      <c r="B63" s="3437"/>
      <c r="C63" s="1070" t="s">
        <v>1508</v>
      </c>
      <c r="D63" s="1070" t="s">
        <v>1509</v>
      </c>
      <c r="E63" s="1141">
        <v>0.5</v>
      </c>
      <c r="F63" s="1156">
        <v>80</v>
      </c>
    </row>
    <row r="64" spans="1:8" s="1107" customFormat="1" ht="36">
      <c r="A64" s="1156">
        <v>4</v>
      </c>
      <c r="B64" s="3437"/>
      <c r="C64" s="1070" t="s">
        <v>1510</v>
      </c>
      <c r="D64" s="1070" t="s">
        <v>1511</v>
      </c>
      <c r="E64" s="1141">
        <v>0.4</v>
      </c>
      <c r="F64" s="1156">
        <v>60</v>
      </c>
    </row>
    <row r="65" spans="1:6" s="1107" customFormat="1" ht="36">
      <c r="A65" s="1156">
        <v>5</v>
      </c>
      <c r="B65" s="3437"/>
      <c r="C65" s="1070" t="s">
        <v>1512</v>
      </c>
      <c r="D65" s="1070" t="s">
        <v>1513</v>
      </c>
      <c r="E65" s="1141">
        <v>0.2</v>
      </c>
      <c r="F65" s="1156">
        <v>30</v>
      </c>
    </row>
    <row r="66" spans="1:6" s="1107" customFormat="1" ht="36">
      <c r="A66" s="1156">
        <v>6</v>
      </c>
      <c r="B66" s="3437"/>
      <c r="C66" s="1070" t="s">
        <v>1514</v>
      </c>
      <c r="D66" s="1070" t="s">
        <v>1515</v>
      </c>
      <c r="E66" s="1141">
        <v>0.3</v>
      </c>
      <c r="F66" s="1156">
        <v>50</v>
      </c>
    </row>
    <row r="67" spans="1:6" s="1107" customFormat="1" ht="36">
      <c r="A67" s="1156">
        <v>7</v>
      </c>
      <c r="B67" s="3437"/>
      <c r="C67" s="1070" t="s">
        <v>1516</v>
      </c>
      <c r="D67" s="1070" t="s">
        <v>1517</v>
      </c>
      <c r="E67" s="1141">
        <v>0.2</v>
      </c>
      <c r="F67" s="1156">
        <v>30</v>
      </c>
    </row>
    <row r="68" spans="1:6" s="1107" customFormat="1" ht="36">
      <c r="A68" s="1156">
        <v>8</v>
      </c>
      <c r="B68" s="3437"/>
      <c r="C68" s="1070" t="s">
        <v>1518</v>
      </c>
      <c r="D68" s="1070" t="s">
        <v>1519</v>
      </c>
      <c r="E68" s="1141">
        <v>0.2</v>
      </c>
      <c r="F68" s="1156">
        <v>30</v>
      </c>
    </row>
    <row r="69" spans="1:6" s="1107" customFormat="1" ht="36">
      <c r="A69" s="1156">
        <v>9</v>
      </c>
      <c r="B69" s="3437"/>
      <c r="C69" s="1070" t="s">
        <v>1520</v>
      </c>
      <c r="D69" s="1070" t="s">
        <v>1521</v>
      </c>
      <c r="E69" s="1141">
        <v>0.2</v>
      </c>
      <c r="F69" s="1156">
        <v>30</v>
      </c>
    </row>
    <row r="70" spans="1:6" s="1107" customFormat="1" ht="48">
      <c r="A70" s="1156">
        <v>10</v>
      </c>
      <c r="B70" s="3437"/>
      <c r="C70" s="1070" t="s">
        <v>1522</v>
      </c>
      <c r="D70" s="1070" t="s">
        <v>1523</v>
      </c>
      <c r="E70" s="1141">
        <v>0.2</v>
      </c>
      <c r="F70" s="1156">
        <v>30</v>
      </c>
    </row>
    <row r="71" spans="1:6" s="1107" customFormat="1" ht="48">
      <c r="A71" s="1156">
        <v>11</v>
      </c>
      <c r="B71" s="3437"/>
      <c r="C71" s="1070" t="s">
        <v>1524</v>
      </c>
      <c r="D71" s="1070" t="s">
        <v>1525</v>
      </c>
      <c r="E71" s="1141">
        <v>0.2</v>
      </c>
      <c r="F71" s="1156">
        <v>30</v>
      </c>
    </row>
    <row r="72" spans="1:6" s="1107" customFormat="1" ht="36">
      <c r="A72" s="1156">
        <v>12</v>
      </c>
      <c r="B72" s="3437"/>
      <c r="C72" s="1070" t="s">
        <v>1526</v>
      </c>
      <c r="D72" s="1070" t="s">
        <v>1527</v>
      </c>
      <c r="E72" s="1141">
        <v>0.5</v>
      </c>
      <c r="F72" s="1156">
        <v>80</v>
      </c>
    </row>
    <row r="73" spans="1:6" s="1107" customFormat="1" ht="24">
      <c r="A73" s="1156">
        <v>13</v>
      </c>
      <c r="B73" s="3437"/>
      <c r="C73" s="1070" t="s">
        <v>1528</v>
      </c>
      <c r="D73" s="1070" t="s">
        <v>1529</v>
      </c>
      <c r="E73" s="1141">
        <v>0.4</v>
      </c>
      <c r="F73" s="1156">
        <v>60</v>
      </c>
    </row>
    <row r="74" spans="1:6" s="1107" customFormat="1" ht="24">
      <c r="A74" s="1156">
        <v>14</v>
      </c>
      <c r="B74" s="3437"/>
      <c r="C74" s="1070" t="s">
        <v>1530</v>
      </c>
      <c r="D74" s="1070" t="s">
        <v>1531</v>
      </c>
      <c r="E74" s="1141">
        <v>0.2</v>
      </c>
      <c r="F74" s="1156">
        <v>30</v>
      </c>
    </row>
    <row r="75" spans="1:6" s="1107" customFormat="1" ht="24">
      <c r="A75" s="1156">
        <v>15</v>
      </c>
      <c r="B75" s="3437"/>
      <c r="C75" s="1070" t="s">
        <v>1532</v>
      </c>
      <c r="D75" s="1070" t="s">
        <v>1533</v>
      </c>
      <c r="E75" s="1141">
        <v>0.2</v>
      </c>
      <c r="F75" s="1156">
        <v>30</v>
      </c>
    </row>
    <row r="76" spans="1:6" s="1107" customFormat="1" ht="24">
      <c r="A76" s="1156">
        <v>16</v>
      </c>
      <c r="B76" s="3437" t="s">
        <v>1534</v>
      </c>
      <c r="C76" s="1070" t="s">
        <v>1535</v>
      </c>
      <c r="D76" s="1070" t="s">
        <v>1536</v>
      </c>
      <c r="E76" s="1141">
        <v>0.5</v>
      </c>
      <c r="F76" s="1156">
        <v>80</v>
      </c>
    </row>
    <row r="77" spans="1:6" s="1107" customFormat="1" ht="24">
      <c r="A77" s="1156">
        <v>17</v>
      </c>
      <c r="B77" s="3437"/>
      <c r="C77" s="1070" t="s">
        <v>1537</v>
      </c>
      <c r="D77" s="1070" t="s">
        <v>1538</v>
      </c>
      <c r="E77" s="1141">
        <v>0.5</v>
      </c>
      <c r="F77" s="1156">
        <v>80</v>
      </c>
    </row>
    <row r="78" spans="1:6" s="1107" customFormat="1" ht="24">
      <c r="A78" s="1156">
        <v>18</v>
      </c>
      <c r="B78" s="3437"/>
      <c r="C78" s="1070" t="s">
        <v>1539</v>
      </c>
      <c r="D78" s="1070" t="s">
        <v>1540</v>
      </c>
      <c r="E78" s="1141">
        <v>0.2</v>
      </c>
      <c r="F78" s="1156">
        <v>30</v>
      </c>
    </row>
    <row r="79" spans="1:6" s="1107" customFormat="1" ht="24">
      <c r="A79" s="1156">
        <v>19</v>
      </c>
      <c r="B79" s="3437"/>
      <c r="C79" s="1070" t="s">
        <v>1541</v>
      </c>
      <c r="D79" s="1070" t="s">
        <v>1542</v>
      </c>
      <c r="E79" s="1141">
        <v>0.5</v>
      </c>
      <c r="F79" s="1156">
        <v>80</v>
      </c>
    </row>
    <row r="80" spans="1:6" s="1107" customFormat="1" ht="36">
      <c r="A80" s="1156">
        <v>20</v>
      </c>
      <c r="B80" s="3437"/>
      <c r="C80" s="1070" t="s">
        <v>1543</v>
      </c>
      <c r="D80" s="1070" t="s">
        <v>1544</v>
      </c>
      <c r="E80" s="1141">
        <v>0.2</v>
      </c>
      <c r="F80" s="1156">
        <v>30</v>
      </c>
    </row>
    <row r="81" spans="1:6" s="1107" customFormat="1" ht="36">
      <c r="A81" s="1156">
        <v>21</v>
      </c>
      <c r="B81" s="3437"/>
      <c r="C81" s="1070" t="s">
        <v>1545</v>
      </c>
      <c r="D81" s="1070" t="s">
        <v>1546</v>
      </c>
      <c r="E81" s="1141">
        <v>0.2</v>
      </c>
      <c r="F81" s="1156">
        <v>30</v>
      </c>
    </row>
    <row r="82" spans="1:6" s="1107" customFormat="1" ht="48">
      <c r="A82" s="1156">
        <v>22</v>
      </c>
      <c r="B82" s="3437"/>
      <c r="C82" s="1070" t="s">
        <v>1547</v>
      </c>
      <c r="D82" s="1070" t="s">
        <v>1548</v>
      </c>
      <c r="E82" s="1141">
        <v>0.2</v>
      </c>
      <c r="F82" s="1156">
        <v>30</v>
      </c>
    </row>
    <row r="83" spans="1:6" s="1107" customFormat="1" ht="48">
      <c r="A83" s="1156">
        <v>23</v>
      </c>
      <c r="B83" s="3437"/>
      <c r="C83" s="1070" t="s">
        <v>1549</v>
      </c>
      <c r="D83" s="1070" t="s">
        <v>1550</v>
      </c>
      <c r="E83" s="1141">
        <v>0.2</v>
      </c>
      <c r="F83" s="1156">
        <v>30</v>
      </c>
    </row>
    <row r="84" spans="1:6" s="1107" customFormat="1" ht="36">
      <c r="A84" s="1156">
        <v>24</v>
      </c>
      <c r="B84" s="3437"/>
      <c r="C84" s="1070" t="s">
        <v>1551</v>
      </c>
      <c r="D84" s="1070" t="s">
        <v>1552</v>
      </c>
      <c r="E84" s="1141">
        <v>0.2</v>
      </c>
      <c r="F84" s="1156">
        <v>30</v>
      </c>
    </row>
    <row r="85" spans="1:6" s="1107" customFormat="1" ht="36">
      <c r="A85" s="1156">
        <v>25</v>
      </c>
      <c r="B85" s="3437"/>
      <c r="C85" s="1070" t="s">
        <v>1553</v>
      </c>
      <c r="D85" s="1070" t="s">
        <v>1554</v>
      </c>
      <c r="E85" s="1141">
        <v>0.5</v>
      </c>
      <c r="F85" s="1156">
        <v>80</v>
      </c>
    </row>
    <row r="86" spans="1:6" s="1107" customFormat="1" ht="36">
      <c r="A86" s="1156">
        <v>26</v>
      </c>
      <c r="B86" s="3437"/>
      <c r="C86" s="1070" t="s">
        <v>1555</v>
      </c>
      <c r="D86" s="1070" t="s">
        <v>1556</v>
      </c>
      <c r="E86" s="1141">
        <v>0.2</v>
      </c>
      <c r="F86" s="1156">
        <v>30</v>
      </c>
    </row>
    <row r="87" spans="1:6" s="1107" customFormat="1" ht="36">
      <c r="A87" s="1156">
        <v>27</v>
      </c>
      <c r="B87" s="3437"/>
      <c r="C87" s="1070" t="s">
        <v>1557</v>
      </c>
      <c r="D87" s="1070" t="s">
        <v>1558</v>
      </c>
      <c r="E87" s="1141">
        <v>0.2</v>
      </c>
      <c r="F87" s="1156">
        <v>30</v>
      </c>
    </row>
    <row r="88" spans="1:6" s="1107" customFormat="1" ht="36">
      <c r="A88" s="1156">
        <v>28</v>
      </c>
      <c r="B88" s="3437"/>
      <c r="C88" s="1070" t="s">
        <v>1559</v>
      </c>
      <c r="D88" s="1070" t="s">
        <v>1560</v>
      </c>
      <c r="E88" s="1141">
        <v>0.2</v>
      </c>
      <c r="F88" s="1156">
        <v>30</v>
      </c>
    </row>
    <row r="89" spans="1:6" s="1107" customFormat="1" ht="24">
      <c r="A89" s="1156">
        <v>29</v>
      </c>
      <c r="B89" s="3437"/>
      <c r="C89" s="1070" t="s">
        <v>1561</v>
      </c>
      <c r="D89" s="1070" t="s">
        <v>1562</v>
      </c>
      <c r="E89" s="1141">
        <v>0.2</v>
      </c>
      <c r="F89" s="1156">
        <v>30</v>
      </c>
    </row>
    <row r="90" spans="1:6" s="1107" customFormat="1" ht="24">
      <c r="A90" s="1156">
        <v>30</v>
      </c>
      <c r="B90" s="3437"/>
      <c r="C90" s="1070" t="s">
        <v>1563</v>
      </c>
      <c r="D90" s="1070" t="s">
        <v>1564</v>
      </c>
      <c r="E90" s="1141">
        <v>0.2</v>
      </c>
      <c r="F90" s="1156">
        <v>30</v>
      </c>
    </row>
    <row r="91" spans="1:6" s="1107" customFormat="1" ht="36">
      <c r="A91" s="1156">
        <v>31</v>
      </c>
      <c r="B91" s="3437"/>
      <c r="C91" s="1070" t="s">
        <v>1565</v>
      </c>
      <c r="D91" s="1070" t="s">
        <v>1566</v>
      </c>
      <c r="E91" s="1141">
        <v>0.2</v>
      </c>
      <c r="F91" s="1156">
        <v>30</v>
      </c>
    </row>
    <row r="92" spans="1:6" s="1107" customFormat="1" ht="24">
      <c r="A92" s="1156">
        <v>32</v>
      </c>
      <c r="B92" s="3437" t="s">
        <v>1567</v>
      </c>
      <c r="C92" s="1156" t="s">
        <v>1568</v>
      </c>
      <c r="D92" s="1070" t="s">
        <v>1569</v>
      </c>
      <c r="E92" s="1141">
        <v>0.2</v>
      </c>
      <c r="F92" s="1156">
        <v>30</v>
      </c>
    </row>
    <row r="93" spans="1:6" s="1107" customFormat="1" ht="36">
      <c r="A93" s="1156">
        <v>33</v>
      </c>
      <c r="B93" s="3437"/>
      <c r="C93" s="1156" t="s">
        <v>1570</v>
      </c>
      <c r="D93" s="1070" t="s">
        <v>1571</v>
      </c>
      <c r="E93" s="1141">
        <v>0.2</v>
      </c>
      <c r="F93" s="1156">
        <v>30</v>
      </c>
    </row>
    <row r="94" spans="1:6" s="1107" customFormat="1" ht="48">
      <c r="A94" s="1156">
        <v>34</v>
      </c>
      <c r="B94" s="3437"/>
      <c r="C94" s="1156" t="s">
        <v>1572</v>
      </c>
      <c r="D94" s="1070" t="s">
        <v>1573</v>
      </c>
      <c r="E94" s="1141">
        <v>0.2</v>
      </c>
      <c r="F94" s="1156">
        <v>30</v>
      </c>
    </row>
    <row r="95" spans="1:6" s="1107" customFormat="1" ht="36">
      <c r="A95" s="1156">
        <v>35</v>
      </c>
      <c r="B95" s="3437"/>
      <c r="C95" s="1156" t="s">
        <v>1574</v>
      </c>
      <c r="D95" s="1070" t="s">
        <v>1575</v>
      </c>
      <c r="E95" s="1141">
        <v>0.2</v>
      </c>
      <c r="F95" s="1156">
        <v>30</v>
      </c>
    </row>
    <row r="96" spans="1:6" s="1107" customFormat="1" ht="48">
      <c r="A96" s="1156">
        <v>36</v>
      </c>
      <c r="B96" s="3437"/>
      <c r="C96" s="1070" t="s">
        <v>1576</v>
      </c>
      <c r="D96" s="1070" t="s">
        <v>1577</v>
      </c>
      <c r="E96" s="1141">
        <v>0.2</v>
      </c>
      <c r="F96" s="1156">
        <v>30</v>
      </c>
    </row>
    <row r="97" spans="1:6" s="1107" customFormat="1" ht="36">
      <c r="A97" s="1156">
        <v>37</v>
      </c>
      <c r="B97" s="3437"/>
      <c r="C97" s="1156" t="s">
        <v>1578</v>
      </c>
      <c r="D97" s="1070" t="s">
        <v>1579</v>
      </c>
      <c r="E97" s="1141">
        <v>0.2</v>
      </c>
      <c r="F97" s="1156">
        <v>30</v>
      </c>
    </row>
    <row r="98" spans="1:6" s="1107" customFormat="1" ht="36">
      <c r="A98" s="1156">
        <v>38</v>
      </c>
      <c r="B98" s="3437"/>
      <c r="C98" s="1156" t="s">
        <v>1580</v>
      </c>
      <c r="D98" s="1070" t="s">
        <v>1581</v>
      </c>
      <c r="E98" s="1141">
        <v>0.2</v>
      </c>
      <c r="F98" s="1156">
        <v>30</v>
      </c>
    </row>
    <row r="99" spans="1:6" s="1107" customFormat="1" ht="36">
      <c r="A99" s="1156">
        <v>39</v>
      </c>
      <c r="B99" s="3437" t="s">
        <v>1582</v>
      </c>
      <c r="C99" s="1156" t="s">
        <v>1583</v>
      </c>
      <c r="D99" s="1070" t="s">
        <v>1584</v>
      </c>
      <c r="E99" s="1141">
        <v>0.3</v>
      </c>
      <c r="F99" s="1156">
        <v>50</v>
      </c>
    </row>
    <row r="100" spans="1:6" s="1107" customFormat="1" ht="24">
      <c r="A100" s="1156">
        <v>40</v>
      </c>
      <c r="B100" s="3437"/>
      <c r="C100" s="1156" t="s">
        <v>1585</v>
      </c>
      <c r="D100" s="1070" t="s">
        <v>1586</v>
      </c>
      <c r="E100" s="1141">
        <v>0.2</v>
      </c>
      <c r="F100" s="1156">
        <v>30</v>
      </c>
    </row>
    <row r="101" spans="1:6" s="1107" customFormat="1" ht="36">
      <c r="A101" s="1156">
        <v>41</v>
      </c>
      <c r="B101" s="3437"/>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37" t="s">
        <v>1597</v>
      </c>
      <c r="C105" s="1156" t="s">
        <v>1598</v>
      </c>
      <c r="D105" s="1070" t="s">
        <v>1599</v>
      </c>
      <c r="E105" s="1141">
        <v>0.2</v>
      </c>
      <c r="F105" s="1156">
        <v>30</v>
      </c>
    </row>
    <row r="106" spans="1:6" s="1107" customFormat="1" ht="36">
      <c r="A106" s="1156">
        <v>46</v>
      </c>
      <c r="B106" s="3437"/>
      <c r="C106" s="1156" t="s">
        <v>1600</v>
      </c>
      <c r="D106" s="1070" t="s">
        <v>1601</v>
      </c>
      <c r="E106" s="1141">
        <v>0.2</v>
      </c>
      <c r="F106" s="1156">
        <v>30</v>
      </c>
    </row>
    <row r="107" spans="1:6" s="1107" customFormat="1" ht="36">
      <c r="A107" s="1156">
        <v>47</v>
      </c>
      <c r="B107" s="3437" t="s">
        <v>1602</v>
      </c>
      <c r="C107" s="1156" t="s">
        <v>1603</v>
      </c>
      <c r="D107" s="1070" t="s">
        <v>1604</v>
      </c>
      <c r="E107" s="1141">
        <v>0.3</v>
      </c>
      <c r="F107" s="1156">
        <v>50</v>
      </c>
    </row>
    <row r="108" spans="1:6" s="1107" customFormat="1" ht="36">
      <c r="A108" s="1156">
        <v>48</v>
      </c>
      <c r="B108" s="3437"/>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37" t="s">
        <v>1613</v>
      </c>
      <c r="C111" s="1156" t="s">
        <v>1614</v>
      </c>
      <c r="D111" s="1070" t="s">
        <v>1615</v>
      </c>
      <c r="E111" s="1141">
        <v>0.2</v>
      </c>
      <c r="F111" s="1156">
        <v>30</v>
      </c>
    </row>
    <row r="112" spans="1:6" s="1107" customFormat="1" ht="24">
      <c r="A112" s="1156">
        <v>52</v>
      </c>
      <c r="B112" s="3437"/>
      <c r="C112" s="1156" t="s">
        <v>1616</v>
      </c>
      <c r="D112" s="1070" t="s">
        <v>1617</v>
      </c>
      <c r="E112" s="1141">
        <v>0.2</v>
      </c>
      <c r="F112" s="1156">
        <v>30</v>
      </c>
    </row>
    <row r="113" spans="1:14" s="1107" customFormat="1" ht="24">
      <c r="A113" s="1156">
        <v>53</v>
      </c>
      <c r="B113" s="3437"/>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37" t="s">
        <v>1626</v>
      </c>
      <c r="C116" s="1156" t="s">
        <v>1627</v>
      </c>
      <c r="D116" s="1070" t="s">
        <v>1628</v>
      </c>
      <c r="E116" s="1141">
        <v>0.2</v>
      </c>
      <c r="F116" s="1156">
        <v>30</v>
      </c>
    </row>
    <row r="117" spans="1:14" ht="36">
      <c r="A117" s="1156">
        <v>57</v>
      </c>
      <c r="B117" s="3437"/>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36" t="s">
        <v>1635</v>
      </c>
      <c r="B121" s="3436"/>
      <c r="C121" s="3436"/>
      <c r="D121" s="3436"/>
      <c r="E121" s="3436"/>
      <c r="F121" s="3436"/>
      <c r="G121" s="3436"/>
      <c r="H121" s="3436"/>
      <c r="I121" s="3436"/>
      <c r="J121" s="343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41" t="s">
        <v>1041</v>
      </c>
      <c r="B1" s="3441"/>
      <c r="C1" s="3441"/>
      <c r="D1" s="3441"/>
      <c r="E1" s="3441"/>
      <c r="F1" s="3441"/>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42" t="s">
        <v>1054</v>
      </c>
      <c r="B2" s="3442"/>
      <c r="C2" s="3442"/>
      <c r="D2" s="3442"/>
      <c r="E2" s="3442"/>
      <c r="F2" s="3442"/>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43"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44"/>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2427</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2428</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豫泰国际（河南）房地产开发有限公司：</v>
      </c>
    </row>
    <row r="4" spans="1:4" ht="37.5">
      <c r="A4" s="1792" t="str">
        <f>"受贵公司委托，我公司对"&amp;项目基本情况!K2&amp;项目基本情况!B9&amp;"进行了预评估。"</f>
        <v>受贵公司委托，我公司对河南省郑州市惠济区金达路南北、裕泰路西出让国有建设用地使用权抵押价格进行了预评估。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331165.86平方米。</v>
      </c>
    </row>
    <row r="7" spans="1:4" ht="56.25">
      <c r="A7" s="1796" t="s">
        <v>2754</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2017年10月17日（评估专业人员勘察现场之日）</v>
      </c>
    </row>
    <row r="12" spans="1:4" ht="18.75">
      <c r="A12" s="1798" t="s">
        <v>2029</v>
      </c>
    </row>
    <row r="13" spans="1:4" ht="18.75">
      <c r="A13" s="1792" t="s">
        <v>2948</v>
      </c>
    </row>
    <row r="14" spans="1:4" ht="37.5">
      <c r="A14" s="1792" t="str">
        <f>"根据"&amp;项目基本情况!F12&amp;"，本次评估估价对象证载（地类）用途为"&amp;项目基本情况!B12&amp;"。"</f>
        <v>根据《国有土地使用证》[郑国用（2004）第0556号]，本次评估估价对象证载（地类）用途为混合住宅。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根据《国有土地使用证》[]，估价对象（分摊）出让国有建设用地使用权面积为97754.96平方米。根据《建设工程规划许可证》[]、《出让合同》[]，估价对象规划建筑面积为331165.86平方米。</v>
      </c>
    </row>
    <row r="21" spans="1:1" ht="18.75">
      <c r="A21" s="1792" t="s">
        <v>2078</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住宅2068年2月27日、商业2038年2月27日、地上办公2048年2月27日、地下车库2048年2月27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93.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5" t="s">
        <v>2083</v>
      </c>
      <c r="B1" s="3445"/>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2957</v>
      </c>
      <c r="B1" s="3134"/>
      <c r="C1" s="3134"/>
      <c r="D1" s="3134"/>
      <c r="E1" s="3134"/>
      <c r="F1" s="3134"/>
    </row>
    <row r="2" spans="1:6" ht="14.25">
      <c r="A2" s="3135" t="s">
        <v>2951</v>
      </c>
      <c r="B2" s="3136" t="e">
        <f ca="1">SUMIF(B7:B14,"&lt;&gt;#ref!",B7:B14)</f>
        <v>#DIV/0!</v>
      </c>
      <c r="C2" s="3135" t="s">
        <v>2952</v>
      </c>
      <c r="D2" s="3134"/>
      <c r="E2" s="3134"/>
      <c r="F2" s="3134"/>
    </row>
    <row r="3" spans="1:6" ht="14.25">
      <c r="A3" s="3135" t="s">
        <v>2954</v>
      </c>
      <c r="B3" s="3136" t="e">
        <f ca="1">ROUND(B2*10000/E3,0)</f>
        <v>#DIV/0!</v>
      </c>
      <c r="C3" s="3135" t="s">
        <v>2082</v>
      </c>
      <c r="D3" s="3135" t="s">
        <v>2953</v>
      </c>
      <c r="E3" s="3136" t="e">
        <f ca="1">SUM(E7:E14)</f>
        <v>#REF!</v>
      </c>
      <c r="F3" s="3134"/>
    </row>
    <row r="4" spans="1:6" ht="14.25">
      <c r="A4" s="3135" t="s">
        <v>2961</v>
      </c>
      <c r="B4" s="3136" t="e">
        <f ca="1">ROUND(B2*10000/E4,0)</f>
        <v>#DIV/0!</v>
      </c>
      <c r="C4" s="3135" t="s">
        <v>2082</v>
      </c>
      <c r="D4" s="3135" t="s">
        <v>2962</v>
      </c>
      <c r="E4" s="3136" t="e">
        <f ca="1">SUM(F7:F14)</f>
        <v>#REF!</v>
      </c>
      <c r="F4" s="3134"/>
    </row>
    <row r="5" spans="1:6" ht="14.25">
      <c r="A5" s="3137"/>
      <c r="B5" s="1882"/>
      <c r="C5" s="1882"/>
      <c r="D5" s="1882"/>
      <c r="E5" s="1882"/>
      <c r="F5" s="3134"/>
    </row>
    <row r="6" spans="1:6" ht="28.5">
      <c r="A6" s="3138" t="s">
        <v>2958</v>
      </c>
      <c r="B6" s="3135" t="s">
        <v>2955</v>
      </c>
      <c r="C6" s="3136"/>
      <c r="D6" s="1882"/>
      <c r="E6" s="3135" t="s">
        <v>2956</v>
      </c>
      <c r="F6" s="3135" t="s">
        <v>2960</v>
      </c>
    </row>
    <row r="7" spans="1:6" ht="14.25">
      <c r="A7" s="260" t="s">
        <v>2959</v>
      </c>
      <c r="B7" s="3139" t="e">
        <f ca="1">SUMIF(INDIRECT("'"&amp;A7&amp;"'"&amp;"!A:A"),"总价",INDIRECT("'"&amp;A7&amp;"'"&amp;"!B:B"))</f>
        <v>#DIV/0!</v>
      </c>
      <c r="C7" s="3135" t="s">
        <v>2952</v>
      </c>
      <c r="D7" s="1882"/>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2952</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2952</v>
      </c>
      <c r="D9" s="1882"/>
      <c r="E9" s="3140" t="e">
        <f t="shared" ca="1" si="1"/>
        <v>#REF!</v>
      </c>
      <c r="F9" s="3140" t="e">
        <f t="shared" ca="1" si="2"/>
        <v>#REF!</v>
      </c>
    </row>
    <row r="10" spans="1:6" ht="14.25">
      <c r="A10" s="260"/>
      <c r="B10" s="3139" t="e">
        <f t="shared" ca="1" si="0"/>
        <v>#REF!</v>
      </c>
      <c r="C10" s="3135" t="s">
        <v>2952</v>
      </c>
      <c r="D10" s="1882"/>
      <c r="E10" s="3140" t="e">
        <f t="shared" ca="1" si="1"/>
        <v>#REF!</v>
      </c>
      <c r="F10" s="3140" t="e">
        <f t="shared" ca="1" si="2"/>
        <v>#REF!</v>
      </c>
    </row>
    <row r="11" spans="1:6" ht="14.25">
      <c r="A11" s="260"/>
      <c r="B11" s="3139" t="e">
        <f t="shared" ca="1" si="0"/>
        <v>#REF!</v>
      </c>
      <c r="C11" s="3135" t="s">
        <v>2952</v>
      </c>
      <c r="D11" s="1882"/>
      <c r="E11" s="3140" t="e">
        <f t="shared" ca="1" si="1"/>
        <v>#REF!</v>
      </c>
      <c r="F11" s="3140" t="e">
        <f t="shared" ca="1" si="2"/>
        <v>#REF!</v>
      </c>
    </row>
    <row r="12" spans="1:6" ht="14.25">
      <c r="A12" s="260"/>
      <c r="B12" s="3139" t="e">
        <f t="shared" ca="1" si="0"/>
        <v>#REF!</v>
      </c>
      <c r="C12" s="3135" t="s">
        <v>2952</v>
      </c>
      <c r="D12" s="1882"/>
      <c r="E12" s="3140" t="e">
        <f t="shared" ca="1" si="1"/>
        <v>#REF!</v>
      </c>
      <c r="F12" s="3140" t="e">
        <f t="shared" ca="1" si="2"/>
        <v>#REF!</v>
      </c>
    </row>
    <row r="13" spans="1:6" ht="14.25">
      <c r="A13" s="260"/>
      <c r="B13" s="3139" t="e">
        <f t="shared" ca="1" si="0"/>
        <v>#REF!</v>
      </c>
      <c r="C13" s="3135" t="s">
        <v>2952</v>
      </c>
      <c r="D13" s="1882"/>
      <c r="E13" s="3140" t="e">
        <f t="shared" ca="1" si="1"/>
        <v>#REF!</v>
      </c>
      <c r="F13" s="3140" t="e">
        <f t="shared" ca="1" si="2"/>
        <v>#REF!</v>
      </c>
    </row>
    <row r="14" spans="1:6" ht="14.25">
      <c r="A14" s="3133"/>
      <c r="B14" s="3139" t="e">
        <f t="shared" ca="1" si="0"/>
        <v>#REF!</v>
      </c>
      <c r="C14" s="3135" t="s">
        <v>2952</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5" t="s">
        <v>629</v>
      </c>
      <c r="B1" s="741"/>
      <c r="C1" s="776"/>
      <c r="D1" s="2051"/>
      <c r="E1" s="2412" t="s">
        <v>2379</v>
      </c>
      <c r="F1" s="2413">
        <f ca="1">J54</f>
        <v>0</v>
      </c>
      <c r="G1" s="777">
        <f>MATCH(C1,'数据-取费表'!A6:A16,0)+5</f>
        <v>10</v>
      </c>
      <c r="H1" s="1352"/>
      <c r="I1" s="2052"/>
      <c r="J1" s="2052"/>
      <c r="K1" s="2053"/>
      <c r="L1" s="2052"/>
      <c r="M1" s="2052"/>
      <c r="N1" s="2054"/>
      <c r="O1" s="2054"/>
      <c r="P1" s="2054"/>
      <c r="Q1" s="2054"/>
      <c r="R1" s="2054"/>
      <c r="S1" s="2054"/>
      <c r="T1" s="2054"/>
      <c r="U1" s="2054"/>
      <c r="V1" s="2054"/>
      <c r="W1" s="2054"/>
      <c r="X1" s="2054"/>
      <c r="Y1" s="2054"/>
    </row>
    <row r="2" spans="1:25" ht="18" customHeight="1">
      <c r="A2" s="1646" t="s">
        <v>630</v>
      </c>
      <c r="B2" s="778">
        <f ca="1">IF(ISERROR(C45+J31),0,C45+J31)</f>
        <v>0</v>
      </c>
      <c r="C2" s="1353"/>
      <c r="D2" s="2056"/>
      <c r="E2" s="2057"/>
      <c r="F2" s="2057"/>
      <c r="G2" s="1592"/>
      <c r="H2" s="1365"/>
      <c r="I2" s="2058"/>
      <c r="J2" s="2058"/>
      <c r="K2" s="2059"/>
      <c r="L2" s="2058"/>
      <c r="M2" s="2058"/>
    </row>
    <row r="3" spans="1:25" ht="18" customHeight="1">
      <c r="A3" s="1647" t="s">
        <v>1688</v>
      </c>
      <c r="B3" s="1393">
        <f ca="1">ROUND(B2*10000/'数据-汇总表'!E3,0)</f>
        <v>0</v>
      </c>
      <c r="C3" s="1353"/>
      <c r="D3" s="2056"/>
      <c r="E3" s="2057"/>
      <c r="F3" s="2057"/>
      <c r="G3" s="1592"/>
      <c r="H3" s="779" t="s">
        <v>696</v>
      </c>
      <c r="I3" s="2058"/>
      <c r="J3" s="2058"/>
      <c r="K3" s="2059"/>
      <c r="L3" s="2058"/>
      <c r="M3" s="2058"/>
    </row>
    <row r="4" spans="1:25" ht="18" customHeight="1">
      <c r="A4" s="1648" t="s">
        <v>697</v>
      </c>
      <c r="B4" s="1354">
        <f ca="1">ROUND(B2*10000/'数据-汇总表'!D3,0)</f>
        <v>0</v>
      </c>
      <c r="C4" s="431"/>
      <c r="D4" s="2056"/>
      <c r="E4" s="2057"/>
      <c r="F4" s="2057"/>
      <c r="G4" s="1592"/>
      <c r="H4" s="779"/>
      <c r="I4" s="2058"/>
      <c r="J4" s="2058"/>
      <c r="K4" s="2059"/>
      <c r="L4" s="2058"/>
      <c r="M4" s="2058"/>
    </row>
    <row r="5" spans="1:25" ht="18" customHeight="1" thickBot="1">
      <c r="A5" s="1649"/>
      <c r="B5" s="433">
        <f ca="1">ROUND(B2/('数据-汇总表'!D3/666.67),0)</f>
        <v>0</v>
      </c>
      <c r="C5" s="434" t="s">
        <v>698</v>
      </c>
      <c r="D5" s="2056"/>
      <c r="E5" s="2057"/>
      <c r="F5" s="2057"/>
      <c r="G5" s="1592"/>
      <c r="H5" s="779"/>
      <c r="I5" s="2058"/>
      <c r="J5" s="2058"/>
      <c r="K5" s="2059"/>
      <c r="L5" s="2058"/>
      <c r="M5" s="2058"/>
    </row>
    <row r="6" spans="1:25" ht="18" customHeight="1">
      <c r="A6" s="1829" t="s">
        <v>699</v>
      </c>
      <c r="B6" s="1821" t="s">
        <v>700</v>
      </c>
      <c r="C6" s="1821" t="s">
        <v>633</v>
      </c>
      <c r="D6" s="1821" t="s">
        <v>634</v>
      </c>
      <c r="E6" s="782" t="s">
        <v>635</v>
      </c>
      <c r="F6" s="783"/>
      <c r="G6" s="1594"/>
      <c r="H6" s="1829" t="s">
        <v>631</v>
      </c>
      <c r="I6" s="1821" t="s">
        <v>632</v>
      </c>
      <c r="J6" s="1821" t="s">
        <v>633</v>
      </c>
      <c r="K6" s="1821" t="s">
        <v>634</v>
      </c>
      <c r="L6" s="782" t="s">
        <v>635</v>
      </c>
      <c r="M6" s="783"/>
    </row>
    <row r="7" spans="1:25" ht="18" customHeight="1">
      <c r="A7" s="784">
        <v>1</v>
      </c>
      <c r="B7" s="785" t="s">
        <v>2462</v>
      </c>
      <c r="C7" s="53">
        <f ca="1">C8+C12+C14</f>
        <v>0</v>
      </c>
      <c r="D7" s="2521" t="s">
        <v>2465</v>
      </c>
      <c r="E7" s="2515"/>
      <c r="F7" s="2516"/>
      <c r="G7" s="1594"/>
      <c r="H7" s="784">
        <v>1</v>
      </c>
      <c r="I7" s="785" t="s">
        <v>2462</v>
      </c>
      <c r="J7" s="53">
        <f ca="1">J8+J12+J14</f>
        <v>0</v>
      </c>
      <c r="K7" s="2521" t="s">
        <v>2465</v>
      </c>
      <c r="L7" s="2515"/>
      <c r="M7" s="2516"/>
    </row>
    <row r="8" spans="1:25" ht="18" customHeight="1">
      <c r="A8" s="1831" t="s">
        <v>1826</v>
      </c>
      <c r="B8" s="3410" t="s">
        <v>2467</v>
      </c>
      <c r="C8" s="1826">
        <f ca="1">ROUND(F8*F10*F9*(1-F11)/10000,0)</f>
        <v>0</v>
      </c>
      <c r="D8" s="1823" t="s">
        <v>2539</v>
      </c>
      <c r="E8" s="61" t="s">
        <v>638</v>
      </c>
      <c r="F8" s="788">
        <f ca="1">INDIRECT("'数据-取费表'!u"&amp;$G$1)</f>
        <v>0</v>
      </c>
      <c r="G8" s="1594"/>
      <c r="H8" s="2529" t="s">
        <v>1826</v>
      </c>
      <c r="I8" s="3410" t="s">
        <v>2467</v>
      </c>
      <c r="J8" s="786">
        <f ca="1">ROUND(M8*M10*M9*(1-M11)/10000,0)</f>
        <v>0</v>
      </c>
      <c r="K8" s="344" t="s">
        <v>2539</v>
      </c>
      <c r="L8" s="787" t="s">
        <v>1740</v>
      </c>
      <c r="M8" s="788">
        <f ca="1">INDIRECT("'数据-取费表'!z"&amp;$G$1)</f>
        <v>0</v>
      </c>
    </row>
    <row r="9" spans="1:25" ht="18" customHeight="1">
      <c r="A9" s="2525"/>
      <c r="B9" s="3411"/>
      <c r="C9" s="1827"/>
      <c r="D9" s="1824"/>
      <c r="E9" s="61" t="s">
        <v>639</v>
      </c>
      <c r="F9" s="788">
        <f ca="1">IF(INDIRECT("'数据-取费表'!ah"&amp;$G$1)="",INDIRECT("'数据-取费表'!k"&amp;$G$1),INDIRECT("'数据-取费表'!ah"&amp;$G$1))</f>
        <v>0</v>
      </c>
      <c r="G9" s="1594"/>
      <c r="H9" s="2514"/>
      <c r="I9" s="3411"/>
      <c r="J9" s="791"/>
      <c r="K9" s="792"/>
      <c r="L9" s="787" t="s">
        <v>1741</v>
      </c>
      <c r="M9" s="788">
        <f ca="1">F9</f>
        <v>0</v>
      </c>
    </row>
    <row r="10" spans="1:25" ht="18" customHeight="1">
      <c r="A10" s="2518"/>
      <c r="B10" s="3412"/>
      <c r="C10" s="1827"/>
      <c r="D10" s="1824"/>
      <c r="E10" s="61" t="s">
        <v>640</v>
      </c>
      <c r="F10" s="788">
        <f ca="1">INDIRECT("'数据-取费表'!ai"&amp;$G$1)</f>
        <v>0</v>
      </c>
      <c r="G10" s="1594"/>
      <c r="H10" s="2514"/>
      <c r="I10" s="3412"/>
      <c r="J10" s="791"/>
      <c r="K10" s="792"/>
      <c r="L10" s="787" t="s">
        <v>1742</v>
      </c>
      <c r="M10" s="788">
        <f ca="1">INDIRECT("'数据-取费表'!ai"&amp;$G$1)</f>
        <v>0</v>
      </c>
    </row>
    <row r="11" spans="1:25" ht="18" customHeight="1">
      <c r="A11" s="789"/>
      <c r="B11" s="3413"/>
      <c r="C11" s="1827"/>
      <c r="D11" s="1824"/>
      <c r="E11" s="61" t="s">
        <v>641</v>
      </c>
      <c r="F11" s="797">
        <f ca="1">INDIRECT("'数据-取费表'!w"&amp;$G$1)</f>
        <v>0</v>
      </c>
      <c r="G11" s="1594"/>
      <c r="H11" s="2530"/>
      <c r="I11" s="3412"/>
      <c r="J11" s="791"/>
      <c r="K11" s="792"/>
      <c r="L11" s="798" t="s">
        <v>1743</v>
      </c>
      <c r="M11" s="799">
        <f ca="1">INDIRECT("'数据-取费表'!ab"&amp;$G$1)</f>
        <v>0</v>
      </c>
    </row>
    <row r="12" spans="1:25" ht="18" customHeight="1">
      <c r="A12" s="1831" t="s">
        <v>1827</v>
      </c>
      <c r="B12" s="2519" t="s">
        <v>2463</v>
      </c>
      <c r="C12" s="802">
        <f ca="1">ROUND(IF(F12="押一",F8*F10*F9/12*F13,IF(F12="押二",F8*F10*F9/12*2*F13,IF(F12="押三",F8*F10*F9/12*3*F13,C13*F13)))/10000,0)</f>
        <v>0</v>
      </c>
      <c r="D12" s="2526" t="s">
        <v>2470</v>
      </c>
      <c r="E12" s="2523" t="s">
        <v>2468</v>
      </c>
      <c r="F12" s="2646"/>
      <c r="G12" s="1594"/>
      <c r="H12" s="2586" t="s">
        <v>1827</v>
      </c>
      <c r="I12" s="2591" t="s">
        <v>2463</v>
      </c>
      <c r="J12" s="786">
        <f ca="1">ROUND(IF(M12="押一",M8*M10*M9/12*M13,IF(M12="押二",M8*M10*M9/12*2*M13,IF(M12="押三",M8*M10*M9/12*3*M13,J13*M13)))/10000,0)</f>
        <v>0</v>
      </c>
      <c r="K12" s="2526" t="s">
        <v>2470</v>
      </c>
      <c r="L12" s="2523" t="s">
        <v>2468</v>
      </c>
      <c r="M12" s="2646"/>
    </row>
    <row r="13" spans="1:25" ht="18" customHeight="1">
      <c r="A13" s="793"/>
      <c r="B13" s="2520" t="s">
        <v>2578</v>
      </c>
      <c r="C13" s="2524"/>
      <c r="D13" s="792"/>
      <c r="E13" s="2523" t="s">
        <v>2460</v>
      </c>
      <c r="F13" s="799">
        <f ca="1">'数据-取费表'!B39</f>
        <v>1.4999999999999999E-2</v>
      </c>
      <c r="G13" s="1594"/>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4"/>
      <c r="H14" s="2576" t="s">
        <v>2472</v>
      </c>
      <c r="I14" s="2589" t="s">
        <v>2464</v>
      </c>
      <c r="J14" s="2590"/>
      <c r="K14" s="2565"/>
      <c r="L14" s="2566"/>
      <c r="M14" s="2579"/>
    </row>
    <row r="15" spans="1:25" ht="18" customHeight="1" thickTop="1">
      <c r="A15" s="1830" t="s">
        <v>1876</v>
      </c>
      <c r="B15" s="1828" t="s">
        <v>642</v>
      </c>
      <c r="C15" s="795">
        <f ca="1">ROUND(C31*F15,0)</f>
        <v>0</v>
      </c>
      <c r="D15" s="1835" t="s">
        <v>643</v>
      </c>
      <c r="E15" s="798" t="s">
        <v>644</v>
      </c>
      <c r="F15" s="803">
        <f ca="1">INDIRECT("'数据-取费表'!y"&amp;$G$1)</f>
        <v>0</v>
      </c>
      <c r="G15" s="1594"/>
      <c r="H15" s="1830" t="s">
        <v>1828</v>
      </c>
      <c r="I15" s="1828" t="s">
        <v>645</v>
      </c>
      <c r="J15" s="1820">
        <f ca="1">ROUND(J16*J17,0)</f>
        <v>0</v>
      </c>
      <c r="K15" s="1822" t="s">
        <v>643</v>
      </c>
      <c r="L15" s="804"/>
      <c r="M15" s="805"/>
    </row>
    <row r="16" spans="1:25" ht="18" customHeight="1">
      <c r="A16" s="806" t="s">
        <v>1877</v>
      </c>
      <c r="B16" s="787" t="s">
        <v>646</v>
      </c>
      <c r="C16" s="807">
        <f ca="1">INDIRECT("'数据-取费表'!m"&amp;$G$1)+INDIRECT("'数据-取费表'!t"&amp;$G$1)</f>
        <v>0</v>
      </c>
      <c r="D16" s="1980" t="s">
        <v>647</v>
      </c>
      <c r="E16" s="1981"/>
      <c r="F16" s="808"/>
      <c r="G16" s="1594"/>
      <c r="H16" s="806" t="s">
        <v>2073</v>
      </c>
      <c r="I16" s="2232" t="s">
        <v>2832</v>
      </c>
      <c r="J16" s="53">
        <f ca="1">C31</f>
        <v>0</v>
      </c>
      <c r="K16" s="26"/>
      <c r="L16" s="804"/>
      <c r="M16" s="805"/>
    </row>
    <row r="17" spans="1:25" s="2065" customFormat="1" ht="18" customHeight="1">
      <c r="A17" s="806" t="s">
        <v>1851</v>
      </c>
      <c r="B17" s="787" t="s">
        <v>648</v>
      </c>
      <c r="C17" s="53">
        <f ca="1">ROUND(C16*F17,0)</f>
        <v>0</v>
      </c>
      <c r="D17" s="809" t="s">
        <v>649</v>
      </c>
      <c r="E17" s="809" t="s">
        <v>650</v>
      </c>
      <c r="F17" s="810">
        <f>'数据-取费表'!B33</f>
        <v>0.03</v>
      </c>
      <c r="G17" s="1595"/>
      <c r="H17" s="806" t="s">
        <v>2074</v>
      </c>
      <c r="I17" s="787" t="s">
        <v>644</v>
      </c>
      <c r="J17" s="811">
        <f ca="1">INDIRECT("'数据-取费表'!ad"&amp;$G$1)</f>
        <v>0</v>
      </c>
      <c r="K17" s="26"/>
      <c r="L17" s="804"/>
      <c r="M17" s="805"/>
      <c r="N17" s="2064"/>
      <c r="O17" s="2064"/>
      <c r="P17" s="2064"/>
      <c r="Q17" s="2064"/>
      <c r="R17" s="2064"/>
      <c r="S17" s="2064"/>
      <c r="T17" s="2064"/>
      <c r="U17" s="2064"/>
      <c r="V17" s="2064"/>
      <c r="W17" s="2064"/>
      <c r="X17" s="2064"/>
      <c r="Y17" s="2064"/>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3"/>
      <c r="M18" s="56"/>
    </row>
    <row r="19" spans="1:25" s="2065"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2073</v>
      </c>
      <c r="I19" s="787" t="s">
        <v>657</v>
      </c>
      <c r="J19" s="53">
        <f ca="1">ROUND(IF(项目基本情况!B11="自然人",J7*M19,J20+J21+J22),0)</f>
        <v>0</v>
      </c>
      <c r="K19" s="1980" t="s">
        <v>658</v>
      </c>
      <c r="L19" s="1978" t="s">
        <v>659</v>
      </c>
      <c r="M19" s="813"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78" t="s">
        <v>662</v>
      </c>
      <c r="L20" s="787" t="s">
        <v>650</v>
      </c>
      <c r="M20" s="812">
        <f>'数据-取费表'!B41</f>
        <v>5.6000000000000001E-2</v>
      </c>
      <c r="N20" s="2064"/>
      <c r="O20" s="2064"/>
      <c r="P20" s="2064"/>
      <c r="Q20" s="2064"/>
      <c r="R20" s="2064"/>
      <c r="S20" s="2064"/>
      <c r="T20" s="2064"/>
      <c r="U20" s="2064"/>
      <c r="V20" s="2064"/>
      <c r="W20" s="2064"/>
      <c r="X20" s="2064"/>
      <c r="Y20" s="2064"/>
    </row>
    <row r="21" spans="1:25" ht="18" customHeight="1">
      <c r="A21" s="806" t="s">
        <v>1878</v>
      </c>
      <c r="B21" s="787" t="s">
        <v>663</v>
      </c>
      <c r="C21" s="53">
        <f ca="1">SUM(C16:C20)</f>
        <v>0</v>
      </c>
      <c r="D21" s="261" t="s">
        <v>664</v>
      </c>
      <c r="E21" s="1983"/>
      <c r="F21" s="56"/>
      <c r="G21" s="1594"/>
      <c r="H21" s="1831" t="s">
        <v>1851</v>
      </c>
      <c r="I21" s="787" t="s">
        <v>665</v>
      </c>
      <c r="J21" s="53">
        <f ca="1">IF(K21="按租金收入计税",ROUND(J7*M21,1),ROUND(C31*F35*0.7,1))</f>
        <v>0</v>
      </c>
      <c r="K21" s="814" t="s">
        <v>666</v>
      </c>
      <c r="L21" s="787" t="s">
        <v>650</v>
      </c>
      <c r="M21" s="812">
        <f>IF(K21="按租金收入计税",'数据-取费表'!B51,'数据-取费表'!B50)</f>
        <v>1.2E-2</v>
      </c>
    </row>
    <row r="22" spans="1:25" s="2065" customFormat="1" ht="18" customHeight="1">
      <c r="A22" s="806" t="s">
        <v>1879</v>
      </c>
      <c r="B22" s="787" t="s">
        <v>667</v>
      </c>
      <c r="C22" s="53">
        <f ca="1">ROUND(C21*F22,0)</f>
        <v>0</v>
      </c>
      <c r="D22" s="815" t="s">
        <v>668</v>
      </c>
      <c r="E22" s="787" t="s">
        <v>650</v>
      </c>
      <c r="F22" s="812">
        <f>'数据-取费表'!B37</f>
        <v>0.02</v>
      </c>
      <c r="G22" s="1595"/>
      <c r="H22" s="1833" t="s">
        <v>1852</v>
      </c>
      <c r="I22" s="1823" t="s">
        <v>669</v>
      </c>
      <c r="J22" s="54">
        <f ca="1">ROUND(M22*M23/10000,0)</f>
        <v>0</v>
      </c>
      <c r="K22" s="817" t="s">
        <v>670</v>
      </c>
      <c r="L22" s="787" t="s">
        <v>671</v>
      </c>
      <c r="M22" s="643">
        <f>'数据-取费表'!B52</f>
        <v>3</v>
      </c>
      <c r="N22" s="2064"/>
      <c r="O22" s="2064"/>
      <c r="P22" s="2064"/>
      <c r="Q22" s="2064"/>
      <c r="R22" s="2064"/>
      <c r="S22" s="2064"/>
      <c r="T22" s="2064"/>
      <c r="U22" s="2064"/>
      <c r="V22" s="2064"/>
      <c r="W22" s="2064"/>
      <c r="X22" s="2064"/>
      <c r="Y22" s="2064"/>
    </row>
    <row r="23" spans="1:25" s="2065" customFormat="1" ht="18" customHeight="1">
      <c r="A23" s="806" t="s">
        <v>1880</v>
      </c>
      <c r="B23" s="787" t="s">
        <v>672</v>
      </c>
      <c r="C23" s="53" t="s">
        <v>1</v>
      </c>
      <c r="D23" s="815" t="s">
        <v>673</v>
      </c>
      <c r="E23" s="787" t="s">
        <v>674</v>
      </c>
      <c r="F23" s="812">
        <f>'数据-取费表'!B38</f>
        <v>0.02</v>
      </c>
      <c r="G23" s="1595"/>
      <c r="H23" s="1834"/>
      <c r="I23" s="1825"/>
      <c r="J23" s="69"/>
      <c r="K23" s="819"/>
      <c r="L23" s="787" t="s">
        <v>675</v>
      </c>
      <c r="M23" s="788">
        <f ca="1">INDIRECT("'数据-取费表'!r"&amp;$G$1)</f>
        <v>0</v>
      </c>
      <c r="N23" s="2064"/>
      <c r="O23" s="2064"/>
      <c r="P23" s="2064"/>
      <c r="Q23" s="2064"/>
      <c r="R23" s="2064"/>
      <c r="S23" s="2064"/>
      <c r="T23" s="2064"/>
      <c r="U23" s="2064"/>
      <c r="V23" s="2064"/>
      <c r="W23" s="2064"/>
      <c r="X23" s="2064"/>
      <c r="Y23" s="2064"/>
    </row>
    <row r="24" spans="1:25" ht="18" customHeight="1">
      <c r="A24" s="806" t="s">
        <v>1881</v>
      </c>
      <c r="B24" s="787" t="s">
        <v>676</v>
      </c>
      <c r="C24" s="53"/>
      <c r="D24" s="2597" t="str">
        <f>IF(F25&lt;=1,"单利计息。","复利计息。")&amp;"建造成本、管理费用、销售费用产生的利息。"</f>
        <v>复利计息。建造成本、管理费用、销售费用产生的利息。</v>
      </c>
      <c r="E24" s="1983"/>
      <c r="F24" s="56"/>
      <c r="G24" s="1594"/>
      <c r="H24" s="1832" t="s">
        <v>2074</v>
      </c>
      <c r="I24" s="787" t="s">
        <v>677</v>
      </c>
      <c r="J24" s="53">
        <f ca="1">ROUND(J16*M24,0)</f>
        <v>0</v>
      </c>
      <c r="K24" s="1978" t="s">
        <v>678</v>
      </c>
      <c r="L24" s="787" t="s">
        <v>650</v>
      </c>
      <c r="M24" s="820">
        <f ca="1">INDIRECT("'数据-取费表'!Ak"&amp;$G$1)</f>
        <v>0</v>
      </c>
    </row>
    <row r="25" spans="1:25" s="2065" customFormat="1" ht="18" customHeight="1">
      <c r="A25" s="806" t="s">
        <v>1877</v>
      </c>
      <c r="B25" s="787" t="s">
        <v>2442</v>
      </c>
      <c r="C25" s="53">
        <f ca="1">ROUND(IF('数据-取费表'!B22&lt;=1,(C21+C22)*F26*F25/2,(C21+C22)*(POWER((1+F26),F25/2)-1)),0)</f>
        <v>0</v>
      </c>
      <c r="D25" s="2596" t="str">
        <f>IF(F25&lt;=1,"(建造成本+管理费用)×利率×(建设周期÷2)","(建造成本+管理费用)×((1+利率)^(建设周期÷2)-1)")</f>
        <v>(建造成本+管理费用)×((1+利率)^(建设周期÷2)-1)</v>
      </c>
      <c r="E25" s="787" t="s">
        <v>679</v>
      </c>
      <c r="F25" s="643">
        <f>'数据-取费表'!B20</f>
        <v>2.5</v>
      </c>
      <c r="G25" s="1595"/>
      <c r="H25" s="806" t="s">
        <v>1880</v>
      </c>
      <c r="I25" s="787" t="s">
        <v>680</v>
      </c>
      <c r="J25" s="53">
        <f ca="1">ROUND(J15*M25,0)</f>
        <v>0</v>
      </c>
      <c r="K25" s="1978" t="s">
        <v>681</v>
      </c>
      <c r="L25" s="787" t="s">
        <v>650</v>
      </c>
      <c r="M25" s="821">
        <f ca="1">INDIRECT("'数据-取费表'!Al"&amp;$G$1)</f>
        <v>0</v>
      </c>
      <c r="N25" s="2064"/>
      <c r="O25" s="2064"/>
      <c r="P25" s="2064"/>
      <c r="Q25" s="2064"/>
      <c r="R25" s="2064"/>
      <c r="S25" s="2064"/>
      <c r="T25" s="2064"/>
      <c r="U25" s="2064"/>
      <c r="V25" s="2064"/>
      <c r="W25" s="2064"/>
      <c r="X25" s="2064"/>
      <c r="Y25" s="2064"/>
    </row>
    <row r="26" spans="1:25" s="2065" customFormat="1" ht="18" customHeight="1">
      <c r="A26" s="806" t="s">
        <v>1851</v>
      </c>
      <c r="B26" s="787" t="s">
        <v>682</v>
      </c>
      <c r="C26" s="53">
        <f ca="1">ROUND(IF('数据-取费表'!B22&lt;=1,F23*F26*F25/2,F23*(POWER((1+F26),F25/2)-1)),4)</f>
        <v>1.1999999999999999E-3</v>
      </c>
      <c r="D26" s="2596"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78" t="s">
        <v>684</v>
      </c>
      <c r="L26" s="787" t="s">
        <v>650</v>
      </c>
      <c r="M26" s="797">
        <f ca="1">INDIRECT("'数据-取费表'!Am"&amp;$G$1)</f>
        <v>0</v>
      </c>
      <c r="N26" s="2064"/>
      <c r="O26" s="2064"/>
      <c r="P26" s="2064"/>
      <c r="Q26" s="2064"/>
      <c r="R26" s="2064"/>
      <c r="S26" s="2064"/>
      <c r="T26" s="2064"/>
      <c r="U26" s="2064"/>
      <c r="V26" s="2064"/>
      <c r="W26" s="2064"/>
      <c r="X26" s="2064"/>
      <c r="Y26" s="2064"/>
    </row>
    <row r="27" spans="1:25" ht="18" customHeight="1">
      <c r="A27" s="806" t="s">
        <v>1883</v>
      </c>
      <c r="B27" s="787" t="s">
        <v>685</v>
      </c>
      <c r="C27" s="53"/>
      <c r="D27" s="261" t="s">
        <v>686</v>
      </c>
      <c r="E27" s="1983"/>
      <c r="F27" s="56"/>
      <c r="G27" s="1594"/>
      <c r="H27" s="800" t="s">
        <v>1830</v>
      </c>
      <c r="I27" s="3038" t="s">
        <v>2829</v>
      </c>
      <c r="J27" s="802">
        <f ca="1">J7-J18</f>
        <v>0</v>
      </c>
      <c r="K27" s="1980" t="s">
        <v>701</v>
      </c>
      <c r="L27" s="1982"/>
      <c r="M27" s="823"/>
    </row>
    <row r="28" spans="1:25" ht="18" customHeight="1">
      <c r="A28" s="806" t="s">
        <v>1877</v>
      </c>
      <c r="B28" s="787" t="s">
        <v>2443</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5"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2830</v>
      </c>
      <c r="C31" s="2569">
        <f ca="1">ROUND((C21+C22+C25+C28)/(1-F23-C26-C29-C30),0)</f>
        <v>0</v>
      </c>
      <c r="D31" s="2570"/>
      <c r="E31" s="2571"/>
      <c r="F31" s="2572"/>
      <c r="G31" s="1595"/>
      <c r="H31" s="826" t="s">
        <v>1874</v>
      </c>
      <c r="I31" s="3039" t="s">
        <v>2831</v>
      </c>
      <c r="J31" s="828">
        <f ca="1">ROUND(J28/(1+F45)^F46,0)</f>
        <v>0</v>
      </c>
      <c r="K31" s="829" t="s">
        <v>689</v>
      </c>
      <c r="L31" s="830"/>
      <c r="M31" s="831">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5">
        <f ca="1">ROUND(C33+C38+C39+C40,0)</f>
        <v>0</v>
      </c>
      <c r="D32" s="1822" t="s">
        <v>653</v>
      </c>
      <c r="E32" s="2512"/>
      <c r="F32" s="2516"/>
      <c r="G32" s="2063"/>
      <c r="H32" s="2066"/>
      <c r="I32" s="2067"/>
      <c r="J32" s="2068"/>
      <c r="K32" s="2069"/>
      <c r="L32" s="2070"/>
      <c r="M32" s="2071"/>
    </row>
    <row r="33" spans="1:18" ht="18" customHeight="1">
      <c r="A33" s="806" t="s">
        <v>1878</v>
      </c>
      <c r="B33" s="787" t="s">
        <v>657</v>
      </c>
      <c r="C33" s="53">
        <f ca="1">ROUND(IF(项目基本情况!B11="自然人",C7*F33,C34+C35+C36),1)</f>
        <v>0</v>
      </c>
      <c r="D33" s="1980" t="s">
        <v>658</v>
      </c>
      <c r="E33" s="1978" t="s">
        <v>691</v>
      </c>
      <c r="F33" s="813" t="str">
        <f ca="1">IF(项目基本情况!B11="企业","",IF(INDIRECT("'数据-取费表'!c"&amp;$G$1)="住宅",5%,IF(F8*F9*F10/12/(1+'数据-取费表'!C42)&gt;20000,12%,7%)))</f>
        <v/>
      </c>
      <c r="G33" s="2063"/>
      <c r="H33" s="2066"/>
      <c r="I33" s="2067"/>
      <c r="J33" s="2068"/>
      <c r="K33" s="2069"/>
      <c r="L33" s="2070"/>
      <c r="M33" s="2071"/>
    </row>
    <row r="34" spans="1:18" ht="18" customHeight="1">
      <c r="A34" s="806" t="s">
        <v>1877</v>
      </c>
      <c r="B34" s="787" t="s">
        <v>661</v>
      </c>
      <c r="C34" s="53">
        <f ca="1">ROUND(C7*F34/1.05,1)</f>
        <v>0</v>
      </c>
      <c r="D34" s="1978" t="s">
        <v>662</v>
      </c>
      <c r="E34" s="787" t="s">
        <v>650</v>
      </c>
      <c r="F34" s="812">
        <f>'数据-取费表'!B41</f>
        <v>5.6000000000000001E-2</v>
      </c>
      <c r="G34" s="2063"/>
      <c r="H34" s="2072"/>
      <c r="I34" s="2073"/>
      <c r="J34" s="2074"/>
      <c r="K34" s="2075"/>
      <c r="L34" s="2076"/>
      <c r="M34" s="2077"/>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3"/>
      <c r="H35" s="2078"/>
      <c r="I35" s="2078"/>
      <c r="J35" s="2078"/>
      <c r="K35" s="2079"/>
      <c r="L35" s="2078"/>
      <c r="M35" s="2078"/>
    </row>
    <row r="36" spans="1:18" ht="18" customHeight="1">
      <c r="A36" s="816" t="s">
        <v>1882</v>
      </c>
      <c r="B36" s="344" t="s">
        <v>669</v>
      </c>
      <c r="C36" s="54">
        <f ca="1">ROUND(F36*F37/10000,1)</f>
        <v>0</v>
      </c>
      <c r="D36" s="817" t="s">
        <v>670</v>
      </c>
      <c r="E36" s="787" t="s">
        <v>671</v>
      </c>
      <c r="F36" s="643">
        <f>'数据-取费表'!B52</f>
        <v>3</v>
      </c>
      <c r="G36" s="2063"/>
      <c r="H36" s="2066"/>
      <c r="I36" s="3446"/>
      <c r="J36" s="2080"/>
      <c r="K36" s="2081"/>
      <c r="L36" s="2080"/>
      <c r="M36" s="2080"/>
    </row>
    <row r="37" spans="1:18" ht="18" customHeight="1">
      <c r="A37" s="818"/>
      <c r="B37" s="796"/>
      <c r="C37" s="69"/>
      <c r="D37" s="819"/>
      <c r="E37" s="787" t="s">
        <v>675</v>
      </c>
      <c r="F37" s="788">
        <f ca="1">INDIRECT("'数据-取费表'!r"&amp;$G$1)</f>
        <v>0</v>
      </c>
      <c r="G37" s="2063"/>
      <c r="H37" s="2066"/>
      <c r="I37" s="3446"/>
      <c r="J37" s="2078"/>
      <c r="K37" s="2079"/>
      <c r="L37" s="2078"/>
      <c r="M37" s="2078"/>
    </row>
    <row r="38" spans="1:18" ht="18" customHeight="1">
      <c r="A38" s="806" t="s">
        <v>1879</v>
      </c>
      <c r="B38" s="787" t="s">
        <v>677</v>
      </c>
      <c r="C38" s="53">
        <f ca="1">ROUND(C31*F38,1)</f>
        <v>0</v>
      </c>
      <c r="D38" s="1978" t="s">
        <v>692</v>
      </c>
      <c r="E38" s="787" t="s">
        <v>650</v>
      </c>
      <c r="F38" s="820">
        <f ca="1">INDIRECT("'数据-取费表'!Ak"&amp;$G$1)</f>
        <v>0</v>
      </c>
      <c r="G38" s="2063"/>
      <c r="H38" s="2078"/>
      <c r="I38" s="2082"/>
      <c r="J38" s="1989"/>
      <c r="K38" s="2083"/>
      <c r="L38" s="2078"/>
      <c r="M38" s="2078"/>
    </row>
    <row r="39" spans="1:18" ht="18" customHeight="1">
      <c r="A39" s="806" t="s">
        <v>1880</v>
      </c>
      <c r="B39" s="787" t="s">
        <v>680</v>
      </c>
      <c r="C39" s="53">
        <f ca="1">ROUND(C15*F39,1)</f>
        <v>0</v>
      </c>
      <c r="D39" s="1978" t="s">
        <v>681</v>
      </c>
      <c r="E39" s="787" t="s">
        <v>650</v>
      </c>
      <c r="F39" s="821">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5"/>
      <c r="D41" s="1356"/>
      <c r="E41" s="1356"/>
      <c r="F41" s="1357"/>
      <c r="G41" s="2063"/>
      <c r="H41" s="2063"/>
      <c r="I41" s="2063"/>
      <c r="J41" s="2063"/>
      <c r="K41" s="2084"/>
      <c r="L41" s="2063"/>
      <c r="M41" s="2063"/>
    </row>
    <row r="42" spans="1:18" ht="18" customHeight="1">
      <c r="A42" s="806" t="s">
        <v>1878</v>
      </c>
      <c r="B42" s="838" t="s">
        <v>694</v>
      </c>
      <c r="C42" s="832">
        <f ca="1">C7-C32</f>
        <v>0</v>
      </c>
      <c r="D42" s="1980" t="s">
        <v>695</v>
      </c>
      <c r="E42" s="1982"/>
      <c r="F42" s="823"/>
      <c r="G42" s="2063"/>
      <c r="H42" s="2063"/>
      <c r="I42" s="2063"/>
      <c r="J42" s="2063"/>
      <c r="K42" s="2084"/>
      <c r="L42" s="2063"/>
      <c r="M42" s="2063"/>
    </row>
    <row r="43" spans="1:18" ht="18" customHeight="1">
      <c r="A43" s="806" t="s">
        <v>1879</v>
      </c>
      <c r="B43" s="838" t="s">
        <v>712</v>
      </c>
      <c r="C43" s="839">
        <f ca="1">ROUND(C15*F43,0)</f>
        <v>0</v>
      </c>
      <c r="D43" s="1358" t="s">
        <v>713</v>
      </c>
      <c r="E43" s="3153" t="s">
        <v>2970</v>
      </c>
      <c r="F43" s="3154">
        <f ca="1">INDIRECT("'数据-取费表'!j"&amp;$G$1)</f>
        <v>0</v>
      </c>
      <c r="G43" s="2063"/>
      <c r="H43" s="2063"/>
      <c r="I43" s="2063"/>
      <c r="J43" s="2063"/>
      <c r="K43" s="2084"/>
      <c r="L43" s="2063"/>
      <c r="M43" s="2063"/>
    </row>
    <row r="44" spans="1:18" ht="18" customHeight="1">
      <c r="A44" s="806" t="s">
        <v>1880</v>
      </c>
      <c r="B44" s="838" t="s">
        <v>714</v>
      </c>
      <c r="C44" s="1359">
        <f ca="1">C42-C43</f>
        <v>0</v>
      </c>
      <c r="D44" s="466" t="s">
        <v>715</v>
      </c>
      <c r="E44" s="467"/>
      <c r="F44" s="468"/>
      <c r="G44" s="2063"/>
      <c r="H44" s="2063"/>
      <c r="I44" s="2063"/>
      <c r="J44" s="2063"/>
      <c r="K44" s="2084"/>
      <c r="L44" s="2063"/>
      <c r="M44" s="2063"/>
    </row>
    <row r="45" spans="1:18" ht="18" customHeight="1">
      <c r="A45" s="806" t="s">
        <v>1881</v>
      </c>
      <c r="B45" s="1358" t="s">
        <v>716</v>
      </c>
      <c r="C45" s="3062">
        <f ca="1">ROUND(-PV(F45,F46,C44,0),0)</f>
        <v>0</v>
      </c>
      <c r="D45" s="1360" t="s">
        <v>717</v>
      </c>
      <c r="E45" s="809" t="s">
        <v>718</v>
      </c>
      <c r="F45" s="833">
        <f ca="1">INDIRECT("'数据-取费表'!h"&amp;$G$1)</f>
        <v>0</v>
      </c>
      <c r="G45" s="2063"/>
      <c r="H45" s="2063"/>
      <c r="I45" s="2063"/>
      <c r="J45" s="2063"/>
      <c r="K45" s="2084"/>
      <c r="L45" s="2063"/>
      <c r="M45" s="2063"/>
    </row>
    <row r="46" spans="1:18" ht="18" customHeight="1" thickBot="1">
      <c r="A46" s="834"/>
      <c r="B46" s="1361"/>
      <c r="C46" s="1362"/>
      <c r="D46" s="1363"/>
      <c r="E46" s="3155" t="s">
        <v>2973</v>
      </c>
      <c r="F46" s="831">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4"/>
      <c r="Q47" s="1606"/>
      <c r="R47" s="1594"/>
    </row>
    <row r="48" spans="1:18" s="2060" customFormat="1" ht="18" customHeight="1" thickBot="1">
      <c r="A48" s="2085"/>
      <c r="C48" s="2088"/>
      <c r="D48" s="2089"/>
      <c r="E48" s="2089"/>
      <c r="F48" s="2090"/>
      <c r="G48" s="2091"/>
      <c r="I48" s="2383" t="s">
        <v>2348</v>
      </c>
      <c r="J48" s="2388"/>
      <c r="K48" s="2389" t="s">
        <v>2354</v>
      </c>
      <c r="L48" s="2390">
        <f ca="1">INDIRECT("'数据-取费表'!d"&amp;$G$1)</f>
        <v>0</v>
      </c>
      <c r="M48" s="3150"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447"/>
      <c r="L54" s="3448"/>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7" t="s">
        <v>2360</v>
      </c>
      <c r="J56" s="3151" t="e">
        <f ca="1">ROUND(IF(J48="钢混",J58/J51,1-(1-2%)*(J51-J58)/J51),3)</f>
        <v>#VALUE!</v>
      </c>
      <c r="K56" s="2402" t="s">
        <v>2361</v>
      </c>
      <c r="L56" s="2403"/>
      <c r="O56" s="2429" t="s">
        <v>2416</v>
      </c>
      <c r="P56" s="1594"/>
      <c r="Q56" s="1606"/>
      <c r="R56" s="1594"/>
    </row>
    <row r="57" spans="1:18" s="2060" customFormat="1" ht="43.5" thickBot="1">
      <c r="A57" s="2097"/>
      <c r="B57" s="2098"/>
      <c r="C57" s="2098"/>
      <c r="I57" s="2404" t="s">
        <v>2362</v>
      </c>
      <c r="J57" s="3150"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29.25" thickBot="1">
      <c r="A59" s="2097"/>
      <c r="B59" s="2098"/>
      <c r="C59" s="2098"/>
      <c r="I59" s="2405" t="s">
        <v>2364</v>
      </c>
      <c r="J59" s="3152"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29" t="s">
        <v>2949</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0">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1">
        <v>0</v>
      </c>
      <c r="O65" s="2429" t="s">
        <v>2420</v>
      </c>
      <c r="P65" s="1594"/>
      <c r="Q65" s="1606"/>
      <c r="R65" s="1594"/>
    </row>
    <row r="66" spans="1:18" s="2060" customFormat="1" ht="15.75" thickBot="1">
      <c r="A66" s="2097"/>
      <c r="B66" s="2098"/>
      <c r="C66" s="2098"/>
      <c r="I66" s="2410" t="s">
        <v>2377</v>
      </c>
      <c r="J66" s="2411">
        <v>40</v>
      </c>
      <c r="K66" s="2411">
        <v>30</v>
      </c>
      <c r="L66" s="2411">
        <v>50</v>
      </c>
      <c r="M66" s="3130">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55" t="s">
        <v>2581</v>
      </c>
      <c r="C1" s="3455"/>
      <c r="D1" s="3455"/>
      <c r="E1" s="3455"/>
      <c r="F1" s="3455"/>
      <c r="G1" s="3454" t="s">
        <v>2582</v>
      </c>
      <c r="H1" s="3454"/>
      <c r="I1" s="3454"/>
      <c r="J1" s="3454"/>
      <c r="K1" s="3454"/>
      <c r="L1" s="3454"/>
      <c r="N1" s="3454" t="s">
        <v>2583</v>
      </c>
      <c r="O1" s="3454"/>
      <c r="P1" s="3454"/>
      <c r="Q1" s="3454"/>
      <c r="R1" s="2680"/>
      <c r="S1" s="3454" t="s">
        <v>2584</v>
      </c>
      <c r="T1" s="3454"/>
      <c r="U1" s="3454"/>
      <c r="V1" s="3454"/>
      <c r="X1" s="3453" t="s">
        <v>2645</v>
      </c>
      <c r="Y1" s="3454"/>
      <c r="Z1" s="3454"/>
      <c r="AA1" s="3454"/>
      <c r="AB1" s="3454"/>
      <c r="AD1" s="3453" t="s">
        <v>2650</v>
      </c>
      <c r="AE1" s="3454"/>
      <c r="AF1" s="3454"/>
      <c r="AG1" s="3454"/>
      <c r="AH1" s="3454"/>
    </row>
    <row r="2" spans="1:34" s="2782" customFormat="1" ht="14.25" thickBot="1">
      <c r="B2" s="2791" t="s">
        <v>2585</v>
      </c>
      <c r="C2" s="2791" t="s">
        <v>2648</v>
      </c>
      <c r="D2" s="2783" t="s">
        <v>1646</v>
      </c>
      <c r="E2" s="2783" t="s">
        <v>1953</v>
      </c>
      <c r="F2" s="2791" t="s">
        <v>2649</v>
      </c>
      <c r="G2" s="2786"/>
      <c r="H2" s="2785"/>
      <c r="I2" s="2791" t="s">
        <v>2964</v>
      </c>
      <c r="J2" s="2783" t="s">
        <v>2966</v>
      </c>
      <c r="K2" s="2783" t="s">
        <v>2967</v>
      </c>
      <c r="L2" s="2791" t="s">
        <v>2968</v>
      </c>
      <c r="N2" s="2791" t="s">
        <v>2585</v>
      </c>
      <c r="O2" s="2783" t="s">
        <v>2965</v>
      </c>
      <c r="P2" s="2783" t="s">
        <v>1953</v>
      </c>
      <c r="Q2" s="2791" t="s">
        <v>2649</v>
      </c>
      <c r="R2" s="2784"/>
      <c r="S2" s="2791" t="s">
        <v>2585</v>
      </c>
      <c r="T2" s="2783" t="s">
        <v>2965</v>
      </c>
      <c r="U2" s="2783" t="s">
        <v>1953</v>
      </c>
      <c r="V2" s="2791" t="s">
        <v>2649</v>
      </c>
      <c r="X2" s="2791" t="s">
        <v>2585</v>
      </c>
      <c r="Y2" s="2791" t="s">
        <v>2648</v>
      </c>
      <c r="Z2" s="2783" t="s">
        <v>1646</v>
      </c>
      <c r="AA2" s="2783" t="s">
        <v>1953</v>
      </c>
      <c r="AB2" s="2791" t="s">
        <v>2649</v>
      </c>
      <c r="AD2" s="2791" t="s">
        <v>2585</v>
      </c>
      <c r="AE2" s="2791" t="s">
        <v>2648</v>
      </c>
      <c r="AF2" s="2783" t="s">
        <v>1646</v>
      </c>
      <c r="AG2" s="2783" t="s">
        <v>1953</v>
      </c>
      <c r="AH2" s="2791" t="s">
        <v>2649</v>
      </c>
    </row>
    <row r="3" spans="1:34" s="2775" customFormat="1" ht="14.25">
      <c r="B3" s="2776"/>
      <c r="C3" s="2776"/>
      <c r="D3" s="2777"/>
      <c r="E3" s="2777"/>
      <c r="F3" s="2776"/>
      <c r="G3" s="2781"/>
      <c r="H3" s="2778"/>
      <c r="I3" s="3161"/>
      <c r="J3" s="3161"/>
      <c r="K3" s="3161"/>
      <c r="L3" s="3161"/>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2976</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9"/>
      <c r="S4" s="2781"/>
      <c r="T4" s="2779"/>
      <c r="U4" s="2779"/>
      <c r="V4" s="2779"/>
      <c r="X4" s="2780"/>
      <c r="Y4" s="2780"/>
      <c r="Z4" s="2780"/>
      <c r="AA4" s="2780"/>
      <c r="AB4" s="2780"/>
      <c r="AD4" s="2700"/>
      <c r="AE4" s="2700"/>
      <c r="AF4" s="2700"/>
      <c r="AG4" s="2700"/>
      <c r="AH4" s="2700"/>
    </row>
    <row r="5" spans="1:34" s="3144" customFormat="1">
      <c r="A5" s="3142" t="s">
        <v>2975</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52">
        <v>2017</v>
      </c>
      <c r="H5" s="3143">
        <v>4</v>
      </c>
      <c r="I5" s="3162">
        <f>ROUND(AVERAGE(I6:I20),2)</f>
        <v>2.4900000000000002</v>
      </c>
      <c r="J5" s="3162">
        <f>ROUND(AVERAGE(J6:J20),2)</f>
        <v>1.64</v>
      </c>
      <c r="K5" s="3162">
        <f>ROUND(AVERAGE(K6:K20),2)</f>
        <v>2.78</v>
      </c>
      <c r="L5" s="3162">
        <f>ROUND(AVERAGE(L6:L20),2)</f>
        <v>1.39</v>
      </c>
      <c r="N5" s="2788">
        <f t="shared" si="7"/>
        <v>2.4900000000000002E-2</v>
      </c>
      <c r="O5" s="2788">
        <f t="shared" ref="O5" si="15">J5/100</f>
        <v>1.6399999999999998E-2</v>
      </c>
      <c r="P5" s="2788">
        <f t="shared" ref="P5" si="16">K5/100</f>
        <v>2.7799999999999998E-2</v>
      </c>
      <c r="Q5" s="2788">
        <f t="shared" ref="Q5" si="17">L5/100</f>
        <v>1.3899999999999999E-2</v>
      </c>
      <c r="R5" s="3145"/>
      <c r="S5" s="3146"/>
      <c r="T5" s="3145"/>
      <c r="U5" s="3145"/>
      <c r="V5" s="3145"/>
      <c r="W5" s="2789" t="s">
        <v>2646</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1" t="s">
        <v>2586</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50"/>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5"/>
      <c r="S6" s="2684"/>
      <c r="T6" s="3158"/>
      <c r="U6" s="3158"/>
      <c r="V6" s="3158"/>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2587</v>
      </c>
      <c r="B7" s="2695">
        <f t="shared" si="18"/>
        <v>419.31181600000002</v>
      </c>
      <c r="C7" s="2695">
        <f t="shared" si="18"/>
        <v>313.95436800000004</v>
      </c>
      <c r="D7" s="2695">
        <f t="shared" si="3"/>
        <v>313.95436800000004</v>
      </c>
      <c r="E7" s="2695">
        <f t="shared" si="19"/>
        <v>596.63028431999999</v>
      </c>
      <c r="F7" s="2695">
        <f t="shared" si="19"/>
        <v>274.74220703999998</v>
      </c>
      <c r="G7" s="3450"/>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2588</v>
      </c>
      <c r="B8" s="2695">
        <f t="shared" si="18"/>
        <v>405.524</v>
      </c>
      <c r="C8" s="2695">
        <f t="shared" si="18"/>
        <v>307.79840000000002</v>
      </c>
      <c r="D8" s="2695">
        <f t="shared" si="3"/>
        <v>307.79840000000002</v>
      </c>
      <c r="E8" s="2695">
        <f t="shared" si="19"/>
        <v>574.67759999999998</v>
      </c>
      <c r="F8" s="2695">
        <f t="shared" si="19"/>
        <v>270.20280000000002</v>
      </c>
      <c r="G8" s="3451"/>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52">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50"/>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50"/>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51"/>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49">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50"/>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50"/>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51"/>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49">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50"/>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50"/>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51"/>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2647</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2589</v>
      </c>
      <c r="B21" s="2687">
        <v>299</v>
      </c>
      <c r="C21" s="2687">
        <v>252</v>
      </c>
      <c r="D21" s="2687">
        <f t="shared" si="28"/>
        <v>252</v>
      </c>
      <c r="E21" s="2687">
        <v>409</v>
      </c>
      <c r="F21" s="2688">
        <v>227</v>
      </c>
      <c r="G21" s="3456">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2590</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57"/>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2591</v>
      </c>
      <c r="B23" s="2695">
        <f t="shared" si="37"/>
        <v>288.2649053828776</v>
      </c>
      <c r="C23" s="2695">
        <f t="shared" si="37"/>
        <v>243.64564425013293</v>
      </c>
      <c r="D23" s="2695">
        <f t="shared" si="28"/>
        <v>243.64564425013293</v>
      </c>
      <c r="E23" s="2695">
        <f t="shared" si="38"/>
        <v>393.31080825986544</v>
      </c>
      <c r="F23" s="2695">
        <f t="shared" si="38"/>
        <v>223.07903790551154</v>
      </c>
      <c r="G23" s="3457"/>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2592</v>
      </c>
      <c r="B24" s="2695">
        <f t="shared" si="37"/>
        <v>282.50186729015837</v>
      </c>
      <c r="C24" s="2695">
        <f t="shared" si="37"/>
        <v>238.09796174155468</v>
      </c>
      <c r="D24" s="2695">
        <f t="shared" si="28"/>
        <v>238.09796174155468</v>
      </c>
      <c r="E24" s="2695">
        <f t="shared" si="38"/>
        <v>385.33438646014054</v>
      </c>
      <c r="F24" s="2695">
        <f t="shared" si="38"/>
        <v>221.55034055567739</v>
      </c>
      <c r="G24" s="3458"/>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2593</v>
      </c>
      <c r="B25" s="2725">
        <v>278</v>
      </c>
      <c r="C25" s="2725">
        <v>234</v>
      </c>
      <c r="D25" s="2725">
        <f t="shared" si="28"/>
        <v>234</v>
      </c>
      <c r="E25" s="2725">
        <v>379</v>
      </c>
      <c r="F25" s="2726">
        <v>220</v>
      </c>
      <c r="G25" s="3449">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2594</v>
      </c>
      <c r="B26" s="2695">
        <f>B25/(1+N25)</f>
        <v>275.49301357645425</v>
      </c>
      <c r="C26" s="2695">
        <f>C25/(1+O25)</f>
        <v>232.41954707985698</v>
      </c>
      <c r="D26" s="2695">
        <f t="shared" si="28"/>
        <v>232.41954707985698</v>
      </c>
      <c r="E26" s="2695">
        <f t="shared" ref="E26:F28" si="39">E25/(1+P25)</f>
        <v>375.32184591008121</v>
      </c>
      <c r="F26" s="2695">
        <f t="shared" si="39"/>
        <v>218.03766105054513</v>
      </c>
      <c r="G26" s="3450"/>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2595</v>
      </c>
      <c r="B27" s="2695">
        <f>B26/(1+N26)</f>
        <v>275.24529281292263</v>
      </c>
      <c r="C27" s="2695">
        <f>C26/(1+O26)</f>
        <v>231.74747938962707</v>
      </c>
      <c r="D27" s="2695">
        <f t="shared" si="28"/>
        <v>231.74747938962707</v>
      </c>
      <c r="E27" s="2695">
        <f t="shared" si="39"/>
        <v>375.35938184826603</v>
      </c>
      <c r="F27" s="2695">
        <f t="shared" si="39"/>
        <v>216.78033510692495</v>
      </c>
      <c r="G27" s="3450"/>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2596</v>
      </c>
      <c r="B28" s="2695">
        <f>B27/(1+N27)</f>
        <v>275.19025476197027</v>
      </c>
      <c r="C28" s="2727">
        <v>232</v>
      </c>
      <c r="D28" s="2727">
        <f t="shared" si="28"/>
        <v>232</v>
      </c>
      <c r="E28" s="2695">
        <f t="shared" si="39"/>
        <v>375.65990977608692</v>
      </c>
      <c r="F28" s="2695">
        <f t="shared" si="39"/>
        <v>214.12518283971252</v>
      </c>
      <c r="G28" s="3451"/>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2597</v>
      </c>
      <c r="B29" s="2687">
        <v>275</v>
      </c>
      <c r="C29" s="2687">
        <v>232</v>
      </c>
      <c r="D29" s="2687">
        <f t="shared" si="28"/>
        <v>232</v>
      </c>
      <c r="E29" s="2687">
        <v>376</v>
      </c>
      <c r="F29" s="2688">
        <v>213</v>
      </c>
      <c r="G29" s="3449">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2598</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50">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2599</v>
      </c>
      <c r="B31" s="2695">
        <f t="shared" si="40"/>
        <v>275.19335084830601</v>
      </c>
      <c r="C31" s="2695">
        <f t="shared" si="40"/>
        <v>230.18088050139744</v>
      </c>
      <c r="D31" s="2695">
        <f t="shared" si="28"/>
        <v>230.18088050139744</v>
      </c>
      <c r="E31" s="2695">
        <f t="shared" si="41"/>
        <v>377.58482925212331</v>
      </c>
      <c r="F31" s="2695">
        <f t="shared" si="41"/>
        <v>210.90687997847917</v>
      </c>
      <c r="G31" s="3450">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2600</v>
      </c>
      <c r="B32" s="2695">
        <f t="shared" si="40"/>
        <v>276.29854502841971</v>
      </c>
      <c r="C32" s="2695">
        <f t="shared" si="40"/>
        <v>229.79023709833027</v>
      </c>
      <c r="D32" s="2695">
        <f t="shared" si="28"/>
        <v>229.79023709833027</v>
      </c>
      <c r="E32" s="2695">
        <f t="shared" si="41"/>
        <v>379.78759731655936</v>
      </c>
      <c r="F32" s="2695">
        <f t="shared" si="41"/>
        <v>211.32953905659235</v>
      </c>
      <c r="G32" s="3451">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2601</v>
      </c>
      <c r="B33" s="2687">
        <v>269</v>
      </c>
      <c r="C33" s="2687">
        <v>221</v>
      </c>
      <c r="D33" s="2687">
        <f t="shared" si="28"/>
        <v>221</v>
      </c>
      <c r="E33" s="2687">
        <v>373</v>
      </c>
      <c r="F33" s="2688">
        <v>196</v>
      </c>
      <c r="G33" s="3449">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2602</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50">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2603</v>
      </c>
      <c r="B35" s="2695">
        <f t="shared" si="42"/>
        <v>242.95398227588385</v>
      </c>
      <c r="C35" s="2695">
        <f t="shared" si="42"/>
        <v>199.59137053614126</v>
      </c>
      <c r="D35" s="2695">
        <f t="shared" si="28"/>
        <v>199.59137053614126</v>
      </c>
      <c r="E35" s="2695">
        <f t="shared" si="43"/>
        <v>335.92189522342125</v>
      </c>
      <c r="F35" s="2695">
        <f t="shared" si="43"/>
        <v>183.10139991109489</v>
      </c>
      <c r="G35" s="3450">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2604</v>
      </c>
      <c r="B36" s="2695">
        <f t="shared" si="42"/>
        <v>232.06990378821649</v>
      </c>
      <c r="C36" s="2695">
        <f t="shared" si="42"/>
        <v>192.74878854286936</v>
      </c>
      <c r="D36" s="2695">
        <f t="shared" si="28"/>
        <v>192.74878854286936</v>
      </c>
      <c r="E36" s="2695">
        <f t="shared" si="43"/>
        <v>319.71247284992984</v>
      </c>
      <c r="F36" s="2695">
        <f t="shared" si="43"/>
        <v>175.67053622862409</v>
      </c>
      <c r="G36" s="3451">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2605</v>
      </c>
      <c r="B37" s="2687">
        <v>220</v>
      </c>
      <c r="C37" s="2687">
        <v>187</v>
      </c>
      <c r="D37" s="2687">
        <f t="shared" si="28"/>
        <v>187</v>
      </c>
      <c r="E37" s="2687">
        <v>301</v>
      </c>
      <c r="F37" s="2688">
        <v>168</v>
      </c>
      <c r="G37" s="3449">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2606</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50">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2607</v>
      </c>
      <c r="B39" s="2695">
        <f t="shared" si="44"/>
        <v>210.630522469011</v>
      </c>
      <c r="C39" s="2695">
        <f t="shared" si="44"/>
        <v>181.69567812247232</v>
      </c>
      <c r="D39" s="2695">
        <f t="shared" si="28"/>
        <v>181.69567812247232</v>
      </c>
      <c r="E39" s="2695">
        <f t="shared" si="45"/>
        <v>286.13517466736738</v>
      </c>
      <c r="F39" s="2695">
        <f t="shared" si="45"/>
        <v>165.47535084591149</v>
      </c>
      <c r="G39" s="3450">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2608</v>
      </c>
      <c r="B40" s="2695">
        <f t="shared" si="44"/>
        <v>208.83454537875372</v>
      </c>
      <c r="C40" s="2695">
        <f t="shared" si="44"/>
        <v>183.77230517090351</v>
      </c>
      <c r="D40" s="2695">
        <f t="shared" si="28"/>
        <v>183.77230517090351</v>
      </c>
      <c r="E40" s="2695">
        <f t="shared" si="45"/>
        <v>281.10342338870947</v>
      </c>
      <c r="F40" s="2695">
        <f t="shared" si="45"/>
        <v>168.97309388942256</v>
      </c>
      <c r="G40" s="3451">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2609</v>
      </c>
      <c r="B41" s="2725">
        <v>214</v>
      </c>
      <c r="C41" s="2725">
        <v>188</v>
      </c>
      <c r="D41" s="2725">
        <f t="shared" si="28"/>
        <v>188</v>
      </c>
      <c r="E41" s="2725">
        <v>289</v>
      </c>
      <c r="F41" s="2726">
        <v>166</v>
      </c>
      <c r="G41" s="3449">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2610</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50">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2611</v>
      </c>
      <c r="B43" s="2695">
        <f t="shared" si="46"/>
        <v>206.31694671589116</v>
      </c>
      <c r="C43" s="2695">
        <f t="shared" si="46"/>
        <v>183.61041121036101</v>
      </c>
      <c r="D43" s="2695">
        <f t="shared" si="28"/>
        <v>183.61041121036101</v>
      </c>
      <c r="E43" s="2695">
        <f t="shared" si="47"/>
        <v>276.66850301795557</v>
      </c>
      <c r="F43" s="2695">
        <f t="shared" si="47"/>
        <v>165.1360938278614</v>
      </c>
      <c r="G43" s="3450">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2612</v>
      </c>
      <c r="B44" s="2728">
        <f t="shared" si="46"/>
        <v>196.62341248059772</v>
      </c>
      <c r="C44" s="2728">
        <f t="shared" si="46"/>
        <v>170.99125648199012</v>
      </c>
      <c r="D44" s="2728">
        <f t="shared" si="28"/>
        <v>170.99125648199012</v>
      </c>
      <c r="E44" s="2728">
        <f t="shared" si="47"/>
        <v>266.07857570490052</v>
      </c>
      <c r="F44" s="2728">
        <f t="shared" si="47"/>
        <v>154.53499328828505</v>
      </c>
      <c r="G44" s="3451">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2613</v>
      </c>
      <c r="B45" s="2687">
        <v>188</v>
      </c>
      <c r="C45" s="2687">
        <v>165</v>
      </c>
      <c r="D45" s="2687">
        <f t="shared" si="28"/>
        <v>165</v>
      </c>
      <c r="E45" s="2687">
        <v>254</v>
      </c>
      <c r="F45" s="2688">
        <v>148</v>
      </c>
      <c r="G45" s="3449">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2614</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50">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2615</v>
      </c>
      <c r="B47" s="2695">
        <f t="shared" si="50"/>
        <v>168.82017748715555</v>
      </c>
      <c r="C47" s="2695">
        <f t="shared" si="50"/>
        <v>148.06267029972753</v>
      </c>
      <c r="D47" s="2695">
        <f t="shared" si="28"/>
        <v>148.06267029972753</v>
      </c>
      <c r="E47" s="2695">
        <f t="shared" si="51"/>
        <v>216.46288379323747</v>
      </c>
      <c r="F47" s="2695">
        <f t="shared" si="51"/>
        <v>134.23529411764704</v>
      </c>
      <c r="G47" s="3450">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2616</v>
      </c>
      <c r="B48" s="2695">
        <f t="shared" si="50"/>
        <v>163.84913591779542</v>
      </c>
      <c r="C48" s="2695">
        <f t="shared" si="50"/>
        <v>145.0283378746594</v>
      </c>
      <c r="D48" s="2695">
        <f t="shared" si="28"/>
        <v>145.0283378746594</v>
      </c>
      <c r="E48" s="2695">
        <f t="shared" si="51"/>
        <v>204.95180722891567</v>
      </c>
      <c r="F48" s="2695">
        <f t="shared" si="51"/>
        <v>125.95920303605313</v>
      </c>
      <c r="G48" s="3451">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2617</v>
      </c>
      <c r="B49" s="2709">
        <v>159</v>
      </c>
      <c r="C49" s="2709">
        <v>141</v>
      </c>
      <c r="D49" s="2709">
        <f t="shared" si="28"/>
        <v>141</v>
      </c>
      <c r="E49" s="2709">
        <v>195</v>
      </c>
      <c r="F49" s="2710">
        <v>122</v>
      </c>
      <c r="G49" s="3449">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2618</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50">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2619</v>
      </c>
      <c r="B51" s="2695">
        <f t="shared" si="54"/>
        <v>146.57412060301507</v>
      </c>
      <c r="C51" s="2695">
        <f t="shared" si="54"/>
        <v>136.46831955922866</v>
      </c>
      <c r="D51" s="2695">
        <f t="shared" si="28"/>
        <v>136.46831955922866</v>
      </c>
      <c r="E51" s="2695">
        <f t="shared" si="55"/>
        <v>166.73864894795128</v>
      </c>
      <c r="F51" s="2695">
        <f t="shared" si="55"/>
        <v>115.05882352941177</v>
      </c>
      <c r="G51" s="3450">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2620</v>
      </c>
      <c r="B52" s="2695">
        <f t="shared" si="54"/>
        <v>144.04145728643215</v>
      </c>
      <c r="C52" s="2695">
        <f t="shared" si="54"/>
        <v>136.12396694214877</v>
      </c>
      <c r="D52" s="2695">
        <f t="shared" si="28"/>
        <v>136.12396694214877</v>
      </c>
      <c r="E52" s="2695">
        <f t="shared" si="55"/>
        <v>158.32225913621264</v>
      </c>
      <c r="F52" s="2695">
        <f t="shared" si="55"/>
        <v>114.04278074866311</v>
      </c>
      <c r="G52" s="3451">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2621</v>
      </c>
      <c r="B53" s="2709">
        <v>138</v>
      </c>
      <c r="C53" s="2709">
        <v>131</v>
      </c>
      <c r="D53" s="2709">
        <f t="shared" si="28"/>
        <v>131</v>
      </c>
      <c r="E53" s="2709">
        <v>155</v>
      </c>
      <c r="F53" s="2710">
        <v>114</v>
      </c>
      <c r="G53" s="3449">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2622</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50">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2623</v>
      </c>
      <c r="B55" s="2695">
        <f t="shared" si="58"/>
        <v>124.29032258064517</v>
      </c>
      <c r="C55" s="2695">
        <f t="shared" si="58"/>
        <v>123.8968609865471</v>
      </c>
      <c r="D55" s="2695">
        <f t="shared" si="28"/>
        <v>123.8968609865471</v>
      </c>
      <c r="E55" s="2695">
        <f t="shared" si="59"/>
        <v>138.00507614213197</v>
      </c>
      <c r="F55" s="2695">
        <f t="shared" si="59"/>
        <v>107.96106557377048</v>
      </c>
      <c r="G55" s="3450">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2624</v>
      </c>
      <c r="B56" s="2695">
        <f t="shared" si="58"/>
        <v>122.57204301075269</v>
      </c>
      <c r="C56" s="2695">
        <f t="shared" si="58"/>
        <v>123.4932735426009</v>
      </c>
      <c r="D56" s="2695">
        <f t="shared" si="28"/>
        <v>123.4932735426009</v>
      </c>
      <c r="E56" s="2695">
        <f t="shared" si="59"/>
        <v>129.82233502538071</v>
      </c>
      <c r="F56" s="2695">
        <f t="shared" si="59"/>
        <v>107.39446721311475</v>
      </c>
      <c r="G56" s="3451">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2625</v>
      </c>
      <c r="B57" s="2725">
        <v>121</v>
      </c>
      <c r="C57" s="2725">
        <v>122</v>
      </c>
      <c r="D57" s="2725">
        <f t="shared" si="28"/>
        <v>122</v>
      </c>
      <c r="E57" s="2725">
        <v>124</v>
      </c>
      <c r="F57" s="2726">
        <v>107</v>
      </c>
      <c r="G57" s="3449">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2626</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50">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2627</v>
      </c>
      <c r="B59" s="2695">
        <f t="shared" si="62"/>
        <v>116.99099099099099</v>
      </c>
      <c r="C59" s="2695">
        <f t="shared" si="62"/>
        <v>118.84848484848486</v>
      </c>
      <c r="D59" s="2695">
        <f t="shared" si="28"/>
        <v>118.84848484848486</v>
      </c>
      <c r="E59" s="2695">
        <f t="shared" si="63"/>
        <v>117.60960960960961</v>
      </c>
      <c r="F59" s="2695">
        <f t="shared" si="63"/>
        <v>104</v>
      </c>
      <c r="G59" s="3450">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2628</v>
      </c>
      <c r="B60" s="2728">
        <f t="shared" si="62"/>
        <v>112.48648648648648</v>
      </c>
      <c r="C60" s="2728">
        <f t="shared" si="62"/>
        <v>115.21212121212122</v>
      </c>
      <c r="D60" s="2728">
        <f t="shared" si="28"/>
        <v>115.21212121212122</v>
      </c>
      <c r="E60" s="2728">
        <f t="shared" si="63"/>
        <v>110.4024024024024</v>
      </c>
      <c r="F60" s="2728">
        <f t="shared" si="63"/>
        <v>104</v>
      </c>
      <c r="G60" s="3451">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2629</v>
      </c>
      <c r="B61" s="2746">
        <v>111</v>
      </c>
      <c r="C61" s="2746">
        <v>114</v>
      </c>
      <c r="D61" s="2746">
        <f t="shared" si="28"/>
        <v>114</v>
      </c>
      <c r="E61" s="2746">
        <v>108</v>
      </c>
      <c r="F61" s="2747">
        <v>104</v>
      </c>
      <c r="G61" s="3449">
        <v>2003</v>
      </c>
      <c r="H61" s="2736">
        <v>4</v>
      </c>
      <c r="I61" s="2748"/>
      <c r="J61" s="2748"/>
      <c r="K61" s="2748"/>
      <c r="L61" s="2748"/>
      <c r="N61" s="2749"/>
      <c r="O61" s="2748"/>
      <c r="P61" s="2748"/>
      <c r="Q61" s="2748"/>
      <c r="S61" s="2749"/>
      <c r="T61" s="2748"/>
      <c r="U61" s="2748"/>
      <c r="V61" s="2748"/>
      <c r="X61" s="2740"/>
      <c r="Y61" s="2740"/>
      <c r="Z61" s="2740"/>
    </row>
    <row r="62" spans="1:26">
      <c r="A62" s="2681" t="s">
        <v>2630</v>
      </c>
      <c r="B62" s="2750">
        <f t="shared" ref="B62:C64" si="64">B63+(B$61-B$65)/4</f>
        <v>109.75</v>
      </c>
      <c r="C62" s="2750">
        <f t="shared" si="64"/>
        <v>112.25</v>
      </c>
      <c r="D62" s="2750">
        <f t="shared" si="28"/>
        <v>112.25</v>
      </c>
      <c r="E62" s="2750">
        <f t="shared" ref="E62:F64" si="65">E63+(E$61-E$65)/4</f>
        <v>107.25</v>
      </c>
      <c r="F62" s="2750">
        <f t="shared" si="65"/>
        <v>103.5</v>
      </c>
      <c r="G62" s="3450">
        <v>2003</v>
      </c>
      <c r="H62" s="2706">
        <v>3</v>
      </c>
      <c r="I62" s="2748"/>
      <c r="J62" s="2748"/>
      <c r="K62" s="2748"/>
      <c r="L62" s="2748"/>
      <c r="X62" s="2740"/>
      <c r="Y62" s="2740"/>
      <c r="Z62" s="2740"/>
    </row>
    <row r="63" spans="1:26">
      <c r="A63" s="2681" t="s">
        <v>2631</v>
      </c>
      <c r="B63" s="2750">
        <f t="shared" si="64"/>
        <v>108.5</v>
      </c>
      <c r="C63" s="2750">
        <f t="shared" si="64"/>
        <v>110.5</v>
      </c>
      <c r="D63" s="2750">
        <f t="shared" si="28"/>
        <v>110.5</v>
      </c>
      <c r="E63" s="2750">
        <f t="shared" si="65"/>
        <v>106.5</v>
      </c>
      <c r="F63" s="2750">
        <f t="shared" si="65"/>
        <v>103</v>
      </c>
      <c r="G63" s="3450">
        <v>2003</v>
      </c>
      <c r="H63" s="2686">
        <v>2</v>
      </c>
      <c r="I63" s="2748"/>
      <c r="J63" s="2748"/>
      <c r="K63" s="2748"/>
      <c r="L63" s="2748"/>
      <c r="X63" s="2740"/>
      <c r="Y63" s="2740"/>
      <c r="Z63" s="2740"/>
    </row>
    <row r="64" spans="1:26" ht="13.5" thickBot="1">
      <c r="A64" s="2681" t="s">
        <v>2632</v>
      </c>
      <c r="B64" s="2750">
        <f t="shared" si="64"/>
        <v>107.25</v>
      </c>
      <c r="C64" s="2750">
        <f t="shared" si="64"/>
        <v>108.75</v>
      </c>
      <c r="D64" s="2750">
        <f t="shared" si="28"/>
        <v>108.75</v>
      </c>
      <c r="E64" s="2750">
        <f t="shared" si="65"/>
        <v>105.75</v>
      </c>
      <c r="F64" s="2750">
        <f t="shared" si="65"/>
        <v>102.5</v>
      </c>
      <c r="G64" s="3451">
        <v>2003</v>
      </c>
      <c r="H64" s="2751">
        <v>1</v>
      </c>
      <c r="I64" s="2748"/>
      <c r="J64" s="2748"/>
      <c r="K64" s="2748"/>
      <c r="L64" s="2748"/>
      <c r="S64" s="2690"/>
      <c r="T64" s="2691"/>
      <c r="U64" s="2691"/>
      <c r="X64" s="2740"/>
      <c r="Y64" s="2740"/>
      <c r="Z64" s="2740"/>
    </row>
    <row r="65" spans="1:26" ht="13.5" thickBot="1">
      <c r="A65" s="2681" t="s">
        <v>2633</v>
      </c>
      <c r="B65" s="2752">
        <v>106</v>
      </c>
      <c r="C65" s="2752">
        <v>107</v>
      </c>
      <c r="D65" s="2752">
        <f t="shared" si="28"/>
        <v>107</v>
      </c>
      <c r="E65" s="2752">
        <v>105</v>
      </c>
      <c r="F65" s="2753">
        <v>102</v>
      </c>
      <c r="G65" s="3449">
        <v>2002</v>
      </c>
      <c r="H65" s="2701">
        <v>4</v>
      </c>
      <c r="I65" s="2748"/>
      <c r="J65" s="2748"/>
      <c r="K65" s="2748"/>
      <c r="L65" s="2748"/>
      <c r="N65" s="2749"/>
      <c r="O65" s="2748"/>
      <c r="P65" s="2748"/>
      <c r="Q65" s="2748"/>
      <c r="S65" s="2749"/>
      <c r="T65" s="2748"/>
      <c r="U65" s="2748"/>
      <c r="V65" s="2748"/>
      <c r="X65" s="2740"/>
      <c r="Y65" s="2740"/>
      <c r="Z65" s="2740"/>
    </row>
    <row r="66" spans="1:26">
      <c r="A66" s="2681" t="s">
        <v>2634</v>
      </c>
      <c r="B66" s="2750">
        <f t="shared" ref="B66:C68" si="66">B67+(B$65-B$69)/4</f>
        <v>105</v>
      </c>
      <c r="C66" s="2750">
        <f t="shared" si="66"/>
        <v>106</v>
      </c>
      <c r="D66" s="2750">
        <f t="shared" si="28"/>
        <v>106</v>
      </c>
      <c r="E66" s="2750">
        <f t="shared" ref="E66:F68" si="67">E67+(E$65-E$69)/4</f>
        <v>104.5</v>
      </c>
      <c r="F66" s="2750">
        <f t="shared" si="67"/>
        <v>101.5</v>
      </c>
      <c r="G66" s="3450">
        <v>2002</v>
      </c>
      <c r="H66" s="2706">
        <v>3</v>
      </c>
      <c r="I66" s="2748"/>
      <c r="J66" s="2748"/>
      <c r="K66" s="2748"/>
      <c r="L66" s="2748"/>
      <c r="X66" s="2740"/>
      <c r="Y66" s="2740"/>
      <c r="Z66" s="2740"/>
    </row>
    <row r="67" spans="1:26">
      <c r="A67" s="2681" t="s">
        <v>2635</v>
      </c>
      <c r="B67" s="2750">
        <f t="shared" si="66"/>
        <v>104</v>
      </c>
      <c r="C67" s="2750">
        <f t="shared" si="66"/>
        <v>105</v>
      </c>
      <c r="D67" s="2750">
        <f t="shared" si="28"/>
        <v>105</v>
      </c>
      <c r="E67" s="2750">
        <f t="shared" si="67"/>
        <v>104</v>
      </c>
      <c r="F67" s="2750">
        <f t="shared" si="67"/>
        <v>101</v>
      </c>
      <c r="G67" s="3450">
        <v>2002</v>
      </c>
      <c r="H67" s="2686">
        <v>2</v>
      </c>
      <c r="I67" s="2748"/>
      <c r="J67" s="2748"/>
      <c r="K67" s="2748"/>
      <c r="L67" s="2748"/>
      <c r="X67" s="2740"/>
      <c r="Y67" s="2740"/>
      <c r="Z67" s="2740"/>
    </row>
    <row r="68" spans="1:26" s="2717" customFormat="1" ht="13.5" thickBot="1">
      <c r="A68" s="2713" t="s">
        <v>2636</v>
      </c>
      <c r="B68" s="2754">
        <f t="shared" si="66"/>
        <v>103</v>
      </c>
      <c r="C68" s="2754">
        <f t="shared" si="66"/>
        <v>104</v>
      </c>
      <c r="D68" s="2754">
        <f t="shared" si="28"/>
        <v>104</v>
      </c>
      <c r="E68" s="2754">
        <f t="shared" si="67"/>
        <v>103.5</v>
      </c>
      <c r="F68" s="2754">
        <f t="shared" si="67"/>
        <v>100.5</v>
      </c>
      <c r="G68" s="3451">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2637</v>
      </c>
      <c r="G71" s="2764"/>
      <c r="N71" s="2764"/>
      <c r="S71" s="2764"/>
    </row>
    <row r="72" spans="1:26" s="2763" customFormat="1">
      <c r="A72" s="2763" t="s">
        <v>2638</v>
      </c>
      <c r="G72" s="2764"/>
      <c r="N72" s="2764"/>
      <c r="S72" s="2764"/>
    </row>
    <row r="73" spans="1:26" s="2763" customFormat="1">
      <c r="A73" s="2763" t="s">
        <v>2639</v>
      </c>
      <c r="G73" s="2764"/>
      <c r="I73" s="2765"/>
      <c r="J73" s="2765"/>
      <c r="K73" s="2765"/>
      <c r="L73" s="2765"/>
      <c r="N73" s="2766"/>
      <c r="O73" s="2765"/>
      <c r="P73" s="2765"/>
      <c r="Q73" s="2765"/>
      <c r="S73" s="2766"/>
      <c r="T73" s="2765"/>
      <c r="U73" s="2765"/>
      <c r="V73" s="2765"/>
    </row>
    <row r="74" spans="1:26" s="2763" customFormat="1">
      <c r="A74" s="2763" t="s">
        <v>2640</v>
      </c>
      <c r="G74" s="2764"/>
      <c r="N74" s="2764"/>
      <c r="S74" s="2764"/>
    </row>
    <row r="81" spans="7:22" ht="13.5" thickBot="1"/>
    <row r="82" spans="7:22">
      <c r="G82" s="2689"/>
      <c r="S82" s="2767" t="s">
        <v>2641</v>
      </c>
      <c r="T82" s="2768" t="s">
        <v>2642</v>
      </c>
      <c r="U82" s="2768" t="s">
        <v>2643</v>
      </c>
      <c r="V82" s="2768" t="s">
        <v>2644</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2476</v>
      </c>
      <c r="B1" s="3460"/>
      <c r="C1" s="3461"/>
      <c r="D1" s="3462">
        <f>SUM(I10,I15,I20,I21,I23)</f>
        <v>0</v>
      </c>
      <c r="E1" s="3462"/>
      <c r="F1" s="3462"/>
      <c r="G1" s="3462"/>
      <c r="H1" s="3462"/>
      <c r="I1" s="3463"/>
    </row>
    <row r="2" spans="1:9">
      <c r="A2" s="3464" t="s">
        <v>2477</v>
      </c>
      <c r="B2" s="3465" t="s">
        <v>2478</v>
      </c>
      <c r="C2" s="3465"/>
      <c r="D2" s="2532" t="s">
        <v>2479</v>
      </c>
      <c r="E2" s="2532" t="s">
        <v>2480</v>
      </c>
      <c r="F2" s="2532" t="s">
        <v>2481</v>
      </c>
      <c r="G2" s="2532" t="s">
        <v>2482</v>
      </c>
      <c r="H2" s="2532" t="s">
        <v>2483</v>
      </c>
      <c r="I2" s="2533" t="s">
        <v>2484</v>
      </c>
    </row>
    <row r="3" spans="1:9">
      <c r="A3" s="3464"/>
      <c r="B3" s="3465" t="s">
        <v>2485</v>
      </c>
      <c r="C3" s="3465"/>
      <c r="D3" s="2534"/>
      <c r="E3" s="2532"/>
      <c r="F3" s="2535"/>
      <c r="G3" s="2535"/>
      <c r="H3" s="2536"/>
      <c r="I3" s="2537">
        <f>ROUND(D3*E3*F3*G3*H3/10000,0)</f>
        <v>0</v>
      </c>
    </row>
    <row r="4" spans="1:9">
      <c r="A4" s="3464"/>
      <c r="B4" s="3465" t="s">
        <v>2486</v>
      </c>
      <c r="C4" s="3465"/>
      <c r="D4" s="2534"/>
      <c r="E4" s="2532"/>
      <c r="F4" s="2535"/>
      <c r="G4" s="2535"/>
      <c r="H4" s="2536"/>
      <c r="I4" s="2537">
        <f t="shared" ref="I4:I9" si="0">ROUND(D4*E4*F4*G4*H4/10000,0)</f>
        <v>0</v>
      </c>
    </row>
    <row r="5" spans="1:9">
      <c r="A5" s="3464"/>
      <c r="B5" s="3465" t="s">
        <v>2487</v>
      </c>
      <c r="C5" s="3465"/>
      <c r="D5" s="2534"/>
      <c r="E5" s="2532"/>
      <c r="F5" s="2535"/>
      <c r="G5" s="2535"/>
      <c r="H5" s="2536"/>
      <c r="I5" s="2537">
        <f t="shared" si="0"/>
        <v>0</v>
      </c>
    </row>
    <row r="6" spans="1:9">
      <c r="A6" s="3464"/>
      <c r="B6" s="3465" t="s">
        <v>2488</v>
      </c>
      <c r="C6" s="3465"/>
      <c r="D6" s="2534"/>
      <c r="E6" s="2532"/>
      <c r="F6" s="2535"/>
      <c r="G6" s="2535"/>
      <c r="H6" s="2536"/>
      <c r="I6" s="2537">
        <f t="shared" si="0"/>
        <v>0</v>
      </c>
    </row>
    <row r="7" spans="1:9">
      <c r="A7" s="3464"/>
      <c r="B7" s="3465" t="s">
        <v>2489</v>
      </c>
      <c r="C7" s="3465"/>
      <c r="D7" s="2534"/>
      <c r="E7" s="2532"/>
      <c r="F7" s="2535"/>
      <c r="G7" s="2535"/>
      <c r="H7" s="2536"/>
      <c r="I7" s="2537">
        <f t="shared" si="0"/>
        <v>0</v>
      </c>
    </row>
    <row r="8" spans="1:9">
      <c r="A8" s="3464"/>
      <c r="B8" s="3465" t="s">
        <v>2490</v>
      </c>
      <c r="C8" s="3465"/>
      <c r="D8" s="2534"/>
      <c r="E8" s="2532"/>
      <c r="F8" s="2535"/>
      <c r="G8" s="2535"/>
      <c r="H8" s="2536"/>
      <c r="I8" s="2537">
        <f t="shared" si="0"/>
        <v>0</v>
      </c>
    </row>
    <row r="9" spans="1:9">
      <c r="A9" s="3464"/>
      <c r="B9" s="3465" t="s">
        <v>2491</v>
      </c>
      <c r="C9" s="3465"/>
      <c r="D9" s="2534"/>
      <c r="E9" s="2532"/>
      <c r="F9" s="2535"/>
      <c r="G9" s="2535"/>
      <c r="H9" s="2536"/>
      <c r="I9" s="2537">
        <f t="shared" si="0"/>
        <v>0</v>
      </c>
    </row>
    <row r="10" spans="1:9">
      <c r="A10" s="3464"/>
      <c r="B10" s="3466" t="s">
        <v>2492</v>
      </c>
      <c r="C10" s="3466"/>
      <c r="D10" s="2538">
        <v>527</v>
      </c>
      <c r="E10" s="2538" t="e">
        <f>ROUND(D1*10000/D10/H9,0)</f>
        <v>#DIV/0!</v>
      </c>
      <c r="F10" s="2539"/>
      <c r="G10" s="2539"/>
      <c r="H10" s="2540"/>
      <c r="I10" s="2541">
        <f>SUM(I3:I9)</f>
        <v>0</v>
      </c>
    </row>
    <row r="11" spans="1:9" ht="14.25">
      <c r="A11" s="3464" t="s">
        <v>2493</v>
      </c>
      <c r="B11" s="3465" t="s">
        <v>2494</v>
      </c>
      <c r="C11" s="3465"/>
      <c r="D11" s="2534" t="s">
        <v>2495</v>
      </c>
      <c r="E11" s="2534" t="s">
        <v>2496</v>
      </c>
      <c r="F11" s="2535" t="s">
        <v>2497</v>
      </c>
      <c r="G11" s="2535" t="s">
        <v>2498</v>
      </c>
      <c r="H11" s="2542" t="s">
        <v>2499</v>
      </c>
      <c r="I11" s="2533" t="s">
        <v>2500</v>
      </c>
    </row>
    <row r="12" spans="1:9">
      <c r="A12" s="3464"/>
      <c r="B12" s="3465" t="s">
        <v>2501</v>
      </c>
      <c r="C12" s="3465"/>
      <c r="D12" s="2534"/>
      <c r="E12" s="2534"/>
      <c r="F12" s="2535"/>
      <c r="G12" s="2536"/>
      <c r="H12" s="2543"/>
      <c r="I12" s="2533">
        <f>ROUND(D12*E12*F12*G12/10000,0)</f>
        <v>0</v>
      </c>
    </row>
    <row r="13" spans="1:9">
      <c r="A13" s="3464"/>
      <c r="B13" s="3465" t="s">
        <v>2502</v>
      </c>
      <c r="C13" s="3465"/>
      <c r="D13" s="2534"/>
      <c r="E13" s="2534"/>
      <c r="F13" s="2535"/>
      <c r="G13" s="2536"/>
      <c r="H13" s="2543"/>
      <c r="I13" s="2533">
        <f>ROUND(D13*E13*F13*G13/10000,0)</f>
        <v>0</v>
      </c>
    </row>
    <row r="14" spans="1:9">
      <c r="A14" s="3464"/>
      <c r="B14" s="3465" t="s">
        <v>2503</v>
      </c>
      <c r="C14" s="3465"/>
      <c r="D14" s="2534"/>
      <c r="E14" s="2534"/>
      <c r="F14" s="2535"/>
      <c r="G14" s="2536"/>
      <c r="H14" s="2543"/>
      <c r="I14" s="2533">
        <f>ROUND(D14*E14*F14*G14/10000,0)</f>
        <v>0</v>
      </c>
    </row>
    <row r="15" spans="1:9">
      <c r="A15" s="3464"/>
      <c r="B15" s="3466" t="s">
        <v>2492</v>
      </c>
      <c r="C15" s="3466"/>
      <c r="D15" s="2538"/>
      <c r="E15" s="2538">
        <f>SUM(E12:E14)</f>
        <v>0</v>
      </c>
      <c r="F15" s="2539"/>
      <c r="G15" s="2536"/>
      <c r="H15" s="2543"/>
      <c r="I15" s="2544">
        <f>SUM(I12:I14)</f>
        <v>0</v>
      </c>
    </row>
    <row r="16" spans="1:9" ht="24">
      <c r="A16" s="3464" t="s">
        <v>2504</v>
      </c>
      <c r="B16" s="3465" t="s">
        <v>2505</v>
      </c>
      <c r="C16" s="3465"/>
      <c r="D16" s="2534" t="s">
        <v>2506</v>
      </c>
      <c r="E16" s="2545" t="s">
        <v>2507</v>
      </c>
      <c r="F16" s="2535" t="s">
        <v>2508</v>
      </c>
      <c r="G16" s="2536" t="s">
        <v>2498</v>
      </c>
      <c r="H16" s="2542" t="s">
        <v>2499</v>
      </c>
      <c r="I16" s="2533" t="s">
        <v>2500</v>
      </c>
    </row>
    <row r="17" spans="1:9" ht="14.25">
      <c r="A17" s="3464"/>
      <c r="B17" s="3465" t="s">
        <v>2509</v>
      </c>
      <c r="C17" s="3465"/>
      <c r="D17" s="2534"/>
      <c r="E17" s="2534"/>
      <c r="F17" s="2535"/>
      <c r="G17" s="2536"/>
      <c r="H17" s="2546"/>
      <c r="I17" s="2547">
        <f>ROUND(D17*E17*F17*G17/10000,0)</f>
        <v>0</v>
      </c>
    </row>
    <row r="18" spans="1:9" ht="14.25">
      <c r="A18" s="3464"/>
      <c r="B18" s="3465" t="s">
        <v>2510</v>
      </c>
      <c r="C18" s="3465"/>
      <c r="D18" s="2534"/>
      <c r="E18" s="2534"/>
      <c r="F18" s="2535"/>
      <c r="G18" s="2536"/>
      <c r="H18" s="2546"/>
      <c r="I18" s="2547">
        <f>ROUND(D18*E18*F18*G18/10000,0)</f>
        <v>0</v>
      </c>
    </row>
    <row r="19" spans="1:9" ht="14.25">
      <c r="A19" s="3464"/>
      <c r="B19" s="3465" t="s">
        <v>2511</v>
      </c>
      <c r="C19" s="3465"/>
      <c r="D19" s="2534"/>
      <c r="E19" s="2534"/>
      <c r="F19" s="2535"/>
      <c r="G19" s="2536"/>
      <c r="H19" s="2546"/>
      <c r="I19" s="2547">
        <f>ROUND(D19*E19*F19*G19/10000,0)</f>
        <v>0</v>
      </c>
    </row>
    <row r="20" spans="1:9">
      <c r="A20" s="3464"/>
      <c r="B20" s="3466" t="s">
        <v>2492</v>
      </c>
      <c r="C20" s="3466"/>
      <c r="D20" s="2538">
        <f>SUM(D17:D19)</f>
        <v>0</v>
      </c>
      <c r="E20" s="2538"/>
      <c r="F20" s="2539"/>
      <c r="G20" s="2536"/>
      <c r="H20" s="2543"/>
      <c r="I20" s="2544">
        <f>SUM(I17:I19)</f>
        <v>0</v>
      </c>
    </row>
    <row r="21" spans="1:9">
      <c r="A21" s="3464" t="s">
        <v>2512</v>
      </c>
      <c r="B21" s="3468"/>
      <c r="C21" s="3468"/>
      <c r="D21" s="3468"/>
      <c r="E21" s="3468"/>
      <c r="F21" s="3468"/>
      <c r="G21" s="3468"/>
      <c r="H21" s="2548">
        <v>0.1</v>
      </c>
      <c r="I21" s="2541">
        <f>ROUND(I10*H21,0)</f>
        <v>0</v>
      </c>
    </row>
    <row r="22" spans="1:9" ht="14.25">
      <c r="A22" s="3469" t="s">
        <v>2513</v>
      </c>
      <c r="B22" s="3470"/>
      <c r="C22" s="3471"/>
      <c r="D22" s="2549" t="s">
        <v>2514</v>
      </c>
      <c r="E22" s="2549" t="s">
        <v>2515</v>
      </c>
      <c r="F22" s="2550" t="s">
        <v>2516</v>
      </c>
      <c r="G22" s="2550" t="s">
        <v>2517</v>
      </c>
      <c r="H22" s="2542" t="s">
        <v>2518</v>
      </c>
      <c r="I22" s="2533" t="s">
        <v>2519</v>
      </c>
    </row>
    <row r="23" spans="1:9" ht="14.25" thickBot="1">
      <c r="A23" s="3472"/>
      <c r="B23" s="3473"/>
      <c r="C23" s="3474"/>
      <c r="D23" s="2551"/>
      <c r="E23" s="2551"/>
      <c r="F23" s="2551"/>
      <c r="G23" s="2552"/>
      <c r="H23" s="2553"/>
      <c r="I23" s="2554">
        <f>ROUND(E23*D23*F23*(1-G23)/10000,0)</f>
        <v>0</v>
      </c>
    </row>
    <row r="26" spans="1:9">
      <c r="A26" s="2555" t="s">
        <v>2520</v>
      </c>
      <c r="B26" s="2555"/>
      <c r="C26" s="2555"/>
      <c r="D26" s="2555"/>
      <c r="E26" s="3475">
        <f>C27-C30-C31-C32</f>
        <v>0</v>
      </c>
      <c r="F26" s="3475"/>
      <c r="G26" s="3475"/>
      <c r="H26" s="3068" t="s">
        <v>2850</v>
      </c>
    </row>
    <row r="27" spans="1:9">
      <c r="A27" s="2556">
        <v>1</v>
      </c>
      <c r="B27" s="2557" t="s">
        <v>2521</v>
      </c>
      <c r="C27" s="2557"/>
      <c r="D27" s="2557"/>
      <c r="E27" s="3476"/>
      <c r="F27" s="3476"/>
      <c r="G27" s="3476"/>
    </row>
    <row r="28" spans="1:9">
      <c r="A28" s="2558" t="s">
        <v>2522</v>
      </c>
      <c r="B28" s="2557" t="s">
        <v>2523</v>
      </c>
      <c r="C28" s="2557"/>
      <c r="D28" s="2557"/>
      <c r="E28" s="3476"/>
      <c r="F28" s="3476"/>
      <c r="G28" s="3476"/>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67"/>
      <c r="F32" s="3467"/>
      <c r="G32" s="3467"/>
    </row>
    <row r="33" spans="1:7" hidden="1">
      <c r="A33" s="3477" t="s">
        <v>2531</v>
      </c>
      <c r="B33" s="3478"/>
      <c r="C33" s="3478"/>
      <c r="D33" s="3479"/>
      <c r="E33" s="3475"/>
      <c r="F33" s="3475"/>
      <c r="G33" s="3475"/>
    </row>
    <row r="34" spans="1:7" hidden="1">
      <c r="A34" s="2560">
        <v>1</v>
      </c>
      <c r="B34" s="2557" t="s">
        <v>2532</v>
      </c>
      <c r="C34" s="2557"/>
      <c r="D34" s="2557"/>
      <c r="E34" s="3476"/>
      <c r="F34" s="3476"/>
      <c r="G34" s="3476"/>
    </row>
    <row r="35" spans="1:7" hidden="1">
      <c r="A35" s="2560">
        <v>2</v>
      </c>
      <c r="B35" s="2557" t="s">
        <v>2533</v>
      </c>
      <c r="C35" s="2557"/>
      <c r="D35" s="2557"/>
      <c r="E35" s="3476"/>
      <c r="F35" s="3476"/>
      <c r="G35" s="3476"/>
    </row>
    <row r="36" spans="1:7" hidden="1">
      <c r="A36" s="2560">
        <v>3</v>
      </c>
      <c r="B36" s="2557" t="s">
        <v>2534</v>
      </c>
      <c r="C36" s="2557"/>
      <c r="D36" s="2557"/>
      <c r="E36" s="3476"/>
      <c r="F36" s="3476"/>
      <c r="G36" s="3476"/>
    </row>
    <row r="37" spans="1:7" hidden="1">
      <c r="A37" s="2560">
        <v>4</v>
      </c>
      <c r="B37" s="2557" t="s">
        <v>2535</v>
      </c>
      <c r="C37" s="2557"/>
      <c r="D37" s="2557"/>
      <c r="E37" s="3476"/>
      <c r="F37" s="3476"/>
      <c r="G37" s="3476"/>
    </row>
    <row r="38" spans="1:7" hidden="1">
      <c r="A38" s="3477" t="s">
        <v>2536</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4" t="s">
        <v>604</v>
      </c>
      <c r="B1" s="745"/>
      <c r="C1" s="2183"/>
      <c r="D1" s="2183"/>
      <c r="E1" s="2183"/>
      <c r="F1" s="2183"/>
      <c r="G1" s="2109"/>
    </row>
    <row r="2" spans="1:25" s="2060" customFormat="1" ht="18" customHeight="1">
      <c r="A2" s="426" t="s">
        <v>467</v>
      </c>
      <c r="B2" s="428">
        <f ca="1">C23</f>
        <v>0</v>
      </c>
      <c r="C2" s="2109"/>
      <c r="D2" s="2109"/>
      <c r="E2" s="2109"/>
      <c r="F2" s="2109"/>
      <c r="G2" s="2109"/>
    </row>
    <row r="3" spans="1:25" s="2060" customFormat="1" ht="18" customHeight="1">
      <c r="A3" s="1381" t="s">
        <v>1687</v>
      </c>
      <c r="B3" s="428">
        <f ca="1">ROUND(B2*10000/'数据-汇总表'!E3,0)</f>
        <v>0</v>
      </c>
      <c r="C3" s="2109"/>
      <c r="D3" s="2109"/>
      <c r="E3" s="2109"/>
      <c r="F3" s="2109"/>
      <c r="G3" s="2109"/>
    </row>
    <row r="4" spans="1:25" s="2060" customFormat="1" ht="18" customHeight="1">
      <c r="A4" s="429" t="s">
        <v>468</v>
      </c>
      <c r="B4" s="430">
        <f ca="1">ROUND(B2*10000/'数据-汇总表'!D3,0)</f>
        <v>0</v>
      </c>
      <c r="C4" s="2062"/>
      <c r="D4" s="2109"/>
      <c r="E4" s="2109"/>
      <c r="F4" s="2109"/>
      <c r="G4" s="2109"/>
    </row>
    <row r="5" spans="1:25" s="2060" customFormat="1" ht="18" customHeight="1" thickBot="1">
      <c r="A5" s="432"/>
      <c r="B5" s="433">
        <f ca="1">ROUND(B2/('数据-汇总表'!D3/666.67),0)</f>
        <v>0</v>
      </c>
      <c r="C5" s="434" t="s">
        <v>469</v>
      </c>
      <c r="D5" s="2109"/>
      <c r="E5" s="2109"/>
      <c r="F5" s="2109"/>
      <c r="G5" s="2109"/>
    </row>
    <row r="6" spans="1:25" s="2184" customFormat="1" ht="13.5" customHeight="1">
      <c r="A6" s="746"/>
      <c r="B6" s="747" t="s">
        <v>605</v>
      </c>
      <c r="C6" s="748" t="s">
        <v>606</v>
      </c>
      <c r="D6" s="748" t="s">
        <v>607</v>
      </c>
      <c r="E6" s="749" t="s">
        <v>608</v>
      </c>
      <c r="F6" s="749" t="s">
        <v>609</v>
      </c>
      <c r="G6" s="750"/>
    </row>
    <row r="7" spans="1:25" s="2184" customFormat="1" ht="13.5" customHeight="1">
      <c r="A7" s="2494">
        <v>1</v>
      </c>
      <c r="B7" s="751" t="s">
        <v>610</v>
      </c>
      <c r="C7" s="752">
        <f>C8+C9</f>
        <v>0</v>
      </c>
      <c r="D7" s="752"/>
      <c r="E7" s="753"/>
      <c r="F7" s="753"/>
      <c r="G7" s="2504"/>
    </row>
    <row r="8" spans="1:25" s="2184" customFormat="1" ht="13.5" customHeight="1">
      <c r="A8" s="2494" t="s">
        <v>2444</v>
      </c>
      <c r="B8" s="2497" t="s">
        <v>2446</v>
      </c>
      <c r="C8" s="2498"/>
      <c r="D8" s="752"/>
      <c r="E8" s="753"/>
      <c r="F8" s="753"/>
      <c r="G8" s="754"/>
    </row>
    <row r="9" spans="1:25" s="2184" customFormat="1" ht="13.5" customHeight="1">
      <c r="A9" s="2494" t="s">
        <v>2445</v>
      </c>
      <c r="B9" s="2497" t="s">
        <v>2447</v>
      </c>
      <c r="C9" s="2498"/>
      <c r="D9" s="752"/>
      <c r="E9" s="753"/>
      <c r="F9" s="753"/>
      <c r="G9" s="754"/>
    </row>
    <row r="10" spans="1:25" s="2184" customFormat="1" ht="36">
      <c r="A10" s="2494">
        <v>2</v>
      </c>
      <c r="B10" s="751" t="s">
        <v>614</v>
      </c>
      <c r="C10" s="752">
        <f>C11+C14+C15</f>
        <v>0</v>
      </c>
      <c r="D10" s="763">
        <f>'数据-汇总表'!E3</f>
        <v>331165.86</v>
      </c>
      <c r="E10" s="752">
        <f>'数据-取费表'!B31</f>
        <v>100</v>
      </c>
      <c r="F10" s="764"/>
      <c r="G10" s="762" t="s">
        <v>615</v>
      </c>
    </row>
    <row r="11" spans="1:25" s="2184" customFormat="1" ht="13.5" customHeight="1">
      <c r="A11" s="2494" t="s">
        <v>2444</v>
      </c>
      <c r="B11" s="755" t="s">
        <v>611</v>
      </c>
      <c r="C11" s="756">
        <f>'数据-取费表'!B29</f>
        <v>0</v>
      </c>
      <c r="D11" s="757"/>
      <c r="E11" s="756"/>
      <c r="F11" s="758"/>
      <c r="G11" s="2503" t="s">
        <v>2455</v>
      </c>
    </row>
    <row r="12" spans="1:25" s="2184" customFormat="1" ht="13.5" customHeight="1">
      <c r="A12" s="2501" t="s">
        <v>2452</v>
      </c>
      <c r="B12" s="759" t="s">
        <v>612</v>
      </c>
      <c r="C12" s="760">
        <f>ROUND(D12*E12/10000,0)</f>
        <v>3709</v>
      </c>
      <c r="D12" s="761">
        <f>'数据-汇总表'!E5</f>
        <v>218152</v>
      </c>
      <c r="E12" s="760">
        <f>'数据-取费表'!B27</f>
        <v>170</v>
      </c>
      <c r="F12" s="758"/>
      <c r="G12" s="762"/>
    </row>
    <row r="13" spans="1:25" s="2184" customFormat="1" ht="13.5" customHeight="1">
      <c r="A13" s="2501" t="s">
        <v>2451</v>
      </c>
      <c r="B13" s="759" t="s">
        <v>613</v>
      </c>
      <c r="C13" s="760">
        <f>ROUND(D13*E13/10000,0)</f>
        <v>1921</v>
      </c>
      <c r="D13" s="761">
        <f>'数据-汇总表'!E6</f>
        <v>113013.85999999999</v>
      </c>
      <c r="E13" s="760">
        <f>'数据-取费表'!B28</f>
        <v>170</v>
      </c>
      <c r="F13" s="758"/>
      <c r="G13" s="762"/>
    </row>
    <row r="14" spans="1:25" s="2184" customFormat="1" ht="13.5" customHeight="1">
      <c r="A14" s="2494" t="s">
        <v>2445</v>
      </c>
      <c r="B14" s="2500" t="s">
        <v>2448</v>
      </c>
      <c r="C14" s="2498"/>
      <c r="D14" s="761"/>
      <c r="E14" s="760"/>
      <c r="F14" s="2499"/>
      <c r="G14" s="2502" t="s">
        <v>2453</v>
      </c>
    </row>
    <row r="15" spans="1:25" s="2184" customFormat="1" ht="13.5" customHeight="1">
      <c r="A15" s="2494" t="s">
        <v>2450</v>
      </c>
      <c r="B15" s="2500" t="s">
        <v>2449</v>
      </c>
      <c r="C15" s="2498"/>
      <c r="D15" s="761"/>
      <c r="E15" s="760"/>
      <c r="F15" s="2499"/>
      <c r="G15" s="2502" t="s">
        <v>2454</v>
      </c>
    </row>
    <row r="16" spans="1:25" s="2185" customFormat="1" ht="48">
      <c r="A16" s="2494">
        <v>3</v>
      </c>
      <c r="B16" s="751" t="s">
        <v>616</v>
      </c>
      <c r="C16" s="2498"/>
      <c r="D16" s="763"/>
      <c r="E16" s="752"/>
      <c r="F16" s="764"/>
      <c r="G16" s="762"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51" t="s">
        <v>617</v>
      </c>
      <c r="C17" s="259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51" t="s">
        <v>618</v>
      </c>
      <c r="C18" s="752">
        <f>ROUND((C7+C10+C16)*F18,0)</f>
        <v>0</v>
      </c>
      <c r="D18" s="765"/>
      <c r="E18" s="766"/>
      <c r="F18" s="764">
        <f>'数据-取费表'!Q16</f>
        <v>0.09</v>
      </c>
      <c r="G18" s="768"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51" t="s">
        <v>620</v>
      </c>
      <c r="C19" s="752">
        <f ca="1">C7+C10+C16+C17+C18</f>
        <v>0</v>
      </c>
      <c r="D19" s="763"/>
      <c r="E19" s="752"/>
      <c r="F19" s="764"/>
      <c r="G19" s="768"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51" t="s">
        <v>622</v>
      </c>
      <c r="C20" s="752">
        <f ca="1">ROUND(C19*F20,0)</f>
        <v>0</v>
      </c>
      <c r="D20" s="763"/>
      <c r="E20" s="752"/>
      <c r="F20" s="1351"/>
      <c r="G20" s="768"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51" t="s">
        <v>624</v>
      </c>
      <c r="C21" s="752">
        <f ca="1">C19+C20</f>
        <v>0</v>
      </c>
      <c r="D21" s="763"/>
      <c r="E21" s="752"/>
      <c r="F21" s="764"/>
      <c r="G21" s="768"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51" t="s">
        <v>626</v>
      </c>
      <c r="C22" s="752">
        <f ca="1">ROUND(C21*F22,0)</f>
        <v>0</v>
      </c>
      <c r="D22" s="763"/>
      <c r="E22" s="752"/>
      <c r="F22" s="769">
        <f>'数据-取费表'!AP16</f>
        <v>0.81799999999999995</v>
      </c>
      <c r="G22" s="768"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70" t="s">
        <v>628</v>
      </c>
      <c r="C23" s="771">
        <f ca="1">C22</f>
        <v>0</v>
      </c>
      <c r="D23" s="772"/>
      <c r="E23" s="771"/>
      <c r="F23" s="773"/>
      <c r="G23" s="774"/>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1"/>
      <c r="E1" s="509"/>
      <c r="F1" s="2834"/>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8"/>
      <c r="D2" s="2128"/>
      <c r="E2" s="2062"/>
      <c r="F2" s="2130"/>
      <c r="G2" s="2129"/>
      <c r="H2" s="2129"/>
      <c r="I2" s="2129"/>
      <c r="J2" s="2129"/>
      <c r="K2" s="2129"/>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2"/>
      <c r="F3" s="2130"/>
      <c r="G3" s="2129"/>
      <c r="H3" s="2129"/>
      <c r="I3" s="2129"/>
      <c r="J3" s="2129"/>
      <c r="K3" s="2131"/>
      <c r="L3" s="2132"/>
      <c r="M3" s="2133"/>
      <c r="N3" s="2133"/>
      <c r="O3" s="2133"/>
      <c r="P3" s="1566"/>
      <c r="Q3" s="1566"/>
      <c r="R3" s="1566"/>
      <c r="S3" s="1566"/>
      <c r="T3" s="1566"/>
      <c r="U3" s="1566"/>
      <c r="V3" s="1566"/>
      <c r="W3" s="1566"/>
      <c r="X3" s="1566"/>
      <c r="Y3" s="1566"/>
      <c r="Z3" s="1566"/>
      <c r="AA3" s="1566"/>
      <c r="AB3" s="1566"/>
      <c r="AC3" s="431"/>
    </row>
    <row r="4" spans="1:29" ht="15">
      <c r="A4" s="515" t="s">
        <v>522</v>
      </c>
      <c r="B4" s="516"/>
      <c r="C4" s="3366" t="s">
        <v>523</v>
      </c>
      <c r="D4" s="3367"/>
      <c r="E4" s="3400" t="s">
        <v>524</v>
      </c>
      <c r="F4" s="3401"/>
      <c r="G4" s="3366" t="s">
        <v>525</v>
      </c>
      <c r="H4" s="3367"/>
      <c r="I4" s="3366" t="s">
        <v>526</v>
      </c>
      <c r="J4" s="3367"/>
      <c r="K4" s="517" t="s">
        <v>527</v>
      </c>
      <c r="L4" s="2134"/>
      <c r="M4" s="2135"/>
      <c r="N4" s="2135"/>
      <c r="O4" s="2135"/>
      <c r="P4" s="3368" t="s">
        <v>528</v>
      </c>
      <c r="Q4" s="3369"/>
      <c r="R4" s="3374" t="s">
        <v>524</v>
      </c>
      <c r="S4" s="3375"/>
      <c r="T4" s="3374" t="s">
        <v>525</v>
      </c>
      <c r="U4" s="3375"/>
      <c r="V4" s="3361" t="s">
        <v>526</v>
      </c>
      <c r="W4" s="3361"/>
      <c r="X4" s="1569"/>
      <c r="Y4" s="3374" t="s">
        <v>528</v>
      </c>
      <c r="Z4" s="3375"/>
      <c r="AA4" s="3363" t="s">
        <v>524</v>
      </c>
      <c r="AB4" s="3361" t="s">
        <v>525</v>
      </c>
      <c r="AC4" s="3363" t="s">
        <v>526</v>
      </c>
    </row>
    <row r="5" spans="1:29" ht="15">
      <c r="A5" s="518"/>
      <c r="B5" s="519"/>
      <c r="C5" s="3384" t="s">
        <v>2934</v>
      </c>
      <c r="D5" s="3383"/>
      <c r="E5" s="3417" t="s">
        <v>2935</v>
      </c>
      <c r="F5" s="3403"/>
      <c r="G5" s="3384" t="s">
        <v>2936</v>
      </c>
      <c r="H5" s="3383"/>
      <c r="I5" s="3384" t="s">
        <v>2937</v>
      </c>
      <c r="J5" s="3383"/>
      <c r="K5" s="517"/>
      <c r="L5" s="2134"/>
      <c r="M5" s="2135"/>
      <c r="N5" s="2135"/>
      <c r="O5" s="2135"/>
      <c r="P5" s="3370"/>
      <c r="Q5" s="3371"/>
      <c r="R5" s="3376"/>
      <c r="S5" s="3377"/>
      <c r="T5" s="3376"/>
      <c r="U5" s="3377"/>
      <c r="V5" s="3361"/>
      <c r="W5" s="3361"/>
      <c r="X5" s="1569"/>
      <c r="Y5" s="3376"/>
      <c r="Z5" s="3377"/>
      <c r="AA5" s="3364"/>
      <c r="AB5" s="3361"/>
      <c r="AC5" s="3364"/>
    </row>
    <row r="6" spans="1:29" ht="15.75" thickBot="1">
      <c r="A6" s="520"/>
      <c r="B6" s="521"/>
      <c r="C6" s="3404" t="s">
        <v>2938</v>
      </c>
      <c r="D6" s="3381"/>
      <c r="E6" s="3416" t="s">
        <v>2938</v>
      </c>
      <c r="F6" s="3406"/>
      <c r="G6" s="3404" t="s">
        <v>2938</v>
      </c>
      <c r="H6" s="3381"/>
      <c r="I6" s="3404" t="s">
        <v>2938</v>
      </c>
      <c r="J6" s="3381"/>
      <c r="K6" s="517" t="s">
        <v>529</v>
      </c>
      <c r="L6" s="2134"/>
      <c r="M6" s="2135"/>
      <c r="N6" s="2135"/>
      <c r="O6" s="2135"/>
      <c r="P6" s="3372"/>
      <c r="Q6" s="3373"/>
      <c r="R6" s="3376"/>
      <c r="S6" s="3377"/>
      <c r="T6" s="3378"/>
      <c r="U6" s="3379"/>
      <c r="V6" s="3361"/>
      <c r="W6" s="3361"/>
      <c r="X6" s="1569"/>
      <c r="Y6" s="3378"/>
      <c r="Z6" s="3379"/>
      <c r="AA6" s="3365"/>
      <c r="AB6" s="3361"/>
      <c r="AC6" s="3365"/>
    </row>
    <row r="7" spans="1:29" s="1222" customFormat="1" ht="15.75" thickBot="1">
      <c r="A7" s="2939"/>
      <c r="B7" s="2946" t="s">
        <v>530</v>
      </c>
      <c r="C7" s="522">
        <f>'数据-取费表'!B2</f>
        <v>43025</v>
      </c>
      <c r="D7" s="523">
        <v>100</v>
      </c>
      <c r="E7" s="524"/>
      <c r="F7" s="525">
        <f>SUMIF(58:58,YEAR(E7)&amp;"-"&amp;MONTH(E7),59:59)</f>
        <v>0</v>
      </c>
      <c r="G7" s="524"/>
      <c r="H7" s="523">
        <f>SUMIF(58:58,YEAR(G7)&amp;"-"&amp;MONTH(G7),59:59)</f>
        <v>0</v>
      </c>
      <c r="I7" s="524"/>
      <c r="J7" s="523">
        <f>SUMIF(58:58,YEAR(I7)&amp;"-"&amp;MONTH(I7),59:59)</f>
        <v>0</v>
      </c>
      <c r="K7" s="527"/>
      <c r="L7" s="2136"/>
      <c r="M7" s="2137"/>
      <c r="N7" s="2137"/>
      <c r="O7" s="2137"/>
      <c r="P7" s="3393" t="s">
        <v>531</v>
      </c>
      <c r="Q7" s="3395"/>
      <c r="R7" s="1570" t="s">
        <v>8</v>
      </c>
      <c r="S7" s="1571">
        <f t="shared" ref="S7:S15" si="0">F7</f>
        <v>0</v>
      </c>
      <c r="T7" s="1570" t="s">
        <v>8</v>
      </c>
      <c r="U7" s="1571">
        <f t="shared" ref="U7:U15" si="1">H7</f>
        <v>0</v>
      </c>
      <c r="V7" s="1570" t="s">
        <v>8</v>
      </c>
      <c r="W7" s="1571">
        <f t="shared" ref="W7:W15"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SUMIF(61:61,E8,62:62)-SUMIF(61:61,C8,62:62)+100</f>
        <v>0</v>
      </c>
      <c r="G8" s="528"/>
      <c r="H8" s="523">
        <f>SUMIF(61:61,G8,62:62)-SUMIF(61:61,C8,62:62)+100</f>
        <v>0</v>
      </c>
      <c r="I8" s="528"/>
      <c r="J8" s="523">
        <f>SUMIF(61:61,I8,62:62)-SUMIF(61:61,C8,62:62)+100</f>
        <v>0</v>
      </c>
      <c r="K8" s="527"/>
      <c r="L8" s="2136"/>
      <c r="M8" s="2137"/>
      <c r="N8" s="2137"/>
      <c r="O8" s="2137"/>
      <c r="P8" s="3393" t="s">
        <v>534</v>
      </c>
      <c r="Q8" s="3394"/>
      <c r="R8" s="1570" t="s">
        <v>8</v>
      </c>
      <c r="S8" s="1571">
        <f t="shared" si="0"/>
        <v>0</v>
      </c>
      <c r="T8" s="1570" t="s">
        <v>8</v>
      </c>
      <c r="U8" s="1571">
        <f t="shared" si="1"/>
        <v>0</v>
      </c>
      <c r="V8" s="1570" t="s">
        <v>8</v>
      </c>
      <c r="W8" s="1571">
        <f t="shared" si="2"/>
        <v>0</v>
      </c>
      <c r="X8" s="1572"/>
      <c r="Y8" s="3393" t="s">
        <v>534</v>
      </c>
      <c r="Z8" s="3394"/>
      <c r="AA8" s="1573" t="e">
        <f t="shared" ref="AA8:AA46" si="3">D8/F8</f>
        <v>#DIV/0!</v>
      </c>
      <c r="AB8" s="1573" t="e">
        <f t="shared" ref="AB8:AB46" si="4">D8/H8</f>
        <v>#DIV/0!</v>
      </c>
      <c r="AC8" s="1573" t="e">
        <f t="shared" ref="AC8:AC46" si="5">D8/J8</f>
        <v>#DIV/0!</v>
      </c>
    </row>
    <row r="9" spans="1:29" s="1222" customFormat="1" ht="15">
      <c r="A9" s="2941"/>
      <c r="B9" s="2948" t="s">
        <v>2763</v>
      </c>
      <c r="C9" s="860"/>
      <c r="D9" s="254">
        <v>100</v>
      </c>
      <c r="E9" s="863"/>
      <c r="F9" s="254">
        <f>SUMIF(63:63,E9,64:64)-SUMIF(63:63,C9,64:64)+100</f>
        <v>100</v>
      </c>
      <c r="G9" s="861"/>
      <c r="H9" s="254">
        <f>SUMIF(63:63,G9,64:64)-SUMIF(63:63,C9,64:64)+100</f>
        <v>100</v>
      </c>
      <c r="I9" s="861"/>
      <c r="J9" s="254">
        <f>SUMIF(63:63,I9,64:64)-SUMIF(63:63,C9,64:64)+100</f>
        <v>100</v>
      </c>
      <c r="K9" s="527"/>
      <c r="L9" s="2136"/>
      <c r="M9" s="2137"/>
      <c r="N9" s="2137"/>
      <c r="O9" s="2138"/>
      <c r="P9" s="3360" t="s">
        <v>536</v>
      </c>
      <c r="Q9" s="1153" t="str">
        <f t="shared" ref="Q9:Q15" si="6">B9</f>
        <v>用途</v>
      </c>
      <c r="R9" s="1570" t="s">
        <v>8</v>
      </c>
      <c r="S9" s="1571">
        <f t="shared" si="0"/>
        <v>100</v>
      </c>
      <c r="T9" s="1570" t="s">
        <v>8</v>
      </c>
      <c r="U9" s="1571">
        <f t="shared" si="1"/>
        <v>100</v>
      </c>
      <c r="V9" s="1570" t="s">
        <v>8</v>
      </c>
      <c r="W9" s="1571">
        <f t="shared" si="2"/>
        <v>100</v>
      </c>
      <c r="X9" s="1572"/>
      <c r="Y9" s="3306"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SUMIF(65:65,E10,66:66)-SUMIF(65:65,C10,66:66)+100</f>
        <v>100</v>
      </c>
      <c r="G10" s="865"/>
      <c r="H10" s="255">
        <f>SUMIF(65:65,G10,66:66)-SUMIF(65:65,C10,66:66)+100</f>
        <v>100</v>
      </c>
      <c r="I10" s="864"/>
      <c r="J10" s="255">
        <f>SUMIF(65:65,I10,66:66)-SUMIF(65:65,C10,66:66)+100</f>
        <v>100</v>
      </c>
      <c r="K10" s="587"/>
      <c r="L10" s="2139"/>
      <c r="M10" s="2179"/>
      <c r="N10" s="2179"/>
      <c r="O10" s="2140"/>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1"/>
      <c r="M11" s="2135"/>
      <c r="N11" s="2135"/>
      <c r="O11" s="2142"/>
      <c r="P11" s="3360"/>
      <c r="Q11" s="1153" t="str">
        <f t="shared" si="6"/>
        <v>容积率</v>
      </c>
      <c r="R11" s="1570" t="s">
        <v>8</v>
      </c>
      <c r="S11" s="1571" t="e">
        <f t="shared" si="0"/>
        <v>#N/A</v>
      </c>
      <c r="T11" s="1570" t="s">
        <v>8</v>
      </c>
      <c r="U11" s="1571" t="e">
        <f t="shared" si="1"/>
        <v>#N/A</v>
      </c>
      <c r="V11" s="1570" t="s">
        <v>8</v>
      </c>
      <c r="W11" s="1571" t="e">
        <f t="shared" si="2"/>
        <v>#N/A</v>
      </c>
      <c r="X11" s="1572"/>
      <c r="Y11" s="3306"/>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42"/>
      <c r="F12" s="255">
        <f>SUMIF(70:70,E12,71:71)-SUMIF(70:70,C12,71:71)+100</f>
        <v>100</v>
      </c>
      <c r="G12" s="914"/>
      <c r="H12" s="255">
        <f>SUMIF(70:70,G12,71:71)-SUMIF(70:70,C12,71:71)+100</f>
        <v>100</v>
      </c>
      <c r="I12" s="542"/>
      <c r="J12" s="255">
        <f>SUMIF(70:70,I12,71:71)-SUMIF(70:70,C12,71:71)+100</f>
        <v>100</v>
      </c>
      <c r="K12" s="584"/>
      <c r="L12" s="2136"/>
      <c r="M12" s="2137"/>
      <c r="N12" s="2137"/>
      <c r="O12" s="2138"/>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
      <c r="A13" s="2944"/>
      <c r="B13" s="2950">
        <v>111</v>
      </c>
      <c r="C13" s="542"/>
      <c r="D13" s="543">
        <v>100</v>
      </c>
      <c r="E13" s="542"/>
      <c r="F13" s="255">
        <f>SUMIF(72:72,E13,73:73)-SUMIF(72:72,C13,73:73)+100</f>
        <v>100</v>
      </c>
      <c r="G13" s="914"/>
      <c r="H13" s="543">
        <f>SUMIF(72:72,G13,73:73)-SUMIF(72:72,C13,73:73)+100</f>
        <v>100</v>
      </c>
      <c r="I13" s="542"/>
      <c r="J13" s="543">
        <f>SUMIF(72:72,I13,73:73)-SUMIF(72:72,C13,73:73)+100</f>
        <v>100</v>
      </c>
      <c r="K13" s="584"/>
      <c r="L13" s="2143"/>
      <c r="M13" s="2135"/>
      <c r="N13" s="2135"/>
      <c r="O13" s="2142"/>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15.75" thickBot="1">
      <c r="A14" s="2945"/>
      <c r="B14" s="2951">
        <v>111</v>
      </c>
      <c r="C14" s="548"/>
      <c r="D14" s="549">
        <v>100</v>
      </c>
      <c r="E14" s="548"/>
      <c r="F14" s="549">
        <f>SUMIF(74:74,E14,75:75)-SUMIF(74:74,C14,75:75)+100</f>
        <v>100</v>
      </c>
      <c r="G14" s="914"/>
      <c r="H14" s="549">
        <f>SUMIF(74:74,G14,75:75)-SUMIF(74:74,C14,75:75)+100</f>
        <v>100</v>
      </c>
      <c r="I14" s="542"/>
      <c r="J14" s="549">
        <f>SUMIF(74:74,I14,75:75)-SUMIF(74:74,C14,75:75)+100</f>
        <v>100</v>
      </c>
      <c r="K14" s="584"/>
      <c r="L14" s="2143"/>
      <c r="M14" s="2135"/>
      <c r="N14" s="2135"/>
      <c r="O14" s="2142"/>
      <c r="P14" s="3360"/>
      <c r="Q14" s="1153">
        <f t="shared" si="6"/>
        <v>111</v>
      </c>
      <c r="R14" s="1570" t="s">
        <v>8</v>
      </c>
      <c r="S14" s="1571">
        <f t="shared" si="0"/>
        <v>100</v>
      </c>
      <c r="T14" s="1570" t="s">
        <v>8</v>
      </c>
      <c r="U14" s="1571">
        <f t="shared" si="1"/>
        <v>100</v>
      </c>
      <c r="V14" s="1570" t="s">
        <v>8</v>
      </c>
      <c r="W14" s="1571">
        <f t="shared" si="2"/>
        <v>100</v>
      </c>
      <c r="X14" s="1572"/>
      <c r="Y14" s="3306"/>
      <c r="Z14" s="1152">
        <f t="shared" si="7"/>
        <v>111</v>
      </c>
      <c r="AA14" s="1573">
        <f t="shared" si="3"/>
        <v>1</v>
      </c>
      <c r="AB14" s="1573">
        <f t="shared" si="4"/>
        <v>1</v>
      </c>
      <c r="AC14" s="1573">
        <f t="shared" si="5"/>
        <v>1</v>
      </c>
    </row>
    <row r="15" spans="1:29" ht="71.25">
      <c r="A15" s="2937"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3"/>
      <c r="M15" s="2135"/>
      <c r="N15" s="2135"/>
      <c r="O15" s="2142"/>
      <c r="P15" s="3396" t="s">
        <v>541</v>
      </c>
      <c r="Q15" s="1574" t="str">
        <f t="shared" si="6"/>
        <v>商业繁华度</v>
      </c>
      <c r="R15" s="1575" t="s">
        <v>8</v>
      </c>
      <c r="S15" s="1576">
        <f t="shared" si="0"/>
        <v>100</v>
      </c>
      <c r="T15" s="1575" t="s">
        <v>8</v>
      </c>
      <c r="U15" s="1576">
        <f t="shared" si="1"/>
        <v>100</v>
      </c>
      <c r="V15" s="1575" t="s">
        <v>8</v>
      </c>
      <c r="W15" s="1576">
        <f t="shared" si="2"/>
        <v>100</v>
      </c>
      <c r="X15" s="1569"/>
      <c r="Y15" s="3396"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3"/>
      <c r="M16" s="2135"/>
      <c r="N16" s="2135"/>
      <c r="O16" s="2142"/>
      <c r="P16" s="3397"/>
      <c r="Q16" s="1574"/>
      <c r="R16" s="1575"/>
      <c r="S16" s="1576"/>
      <c r="T16" s="1575"/>
      <c r="U16" s="1576"/>
      <c r="V16" s="1575"/>
      <c r="W16" s="1576"/>
      <c r="X16" s="1569"/>
      <c r="Y16" s="3397"/>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3"/>
      <c r="M17" s="2135"/>
      <c r="N17" s="2135"/>
      <c r="O17" s="2142"/>
      <c r="P17" s="3397"/>
      <c r="Q17" s="1574" t="str">
        <f>B17</f>
        <v>交通便捷度</v>
      </c>
      <c r="R17" s="1575" t="s">
        <v>8</v>
      </c>
      <c r="S17" s="1576">
        <f>F17</f>
        <v>100</v>
      </c>
      <c r="T17" s="1575" t="s">
        <v>8</v>
      </c>
      <c r="U17" s="1576">
        <f>H17</f>
        <v>100</v>
      </c>
      <c r="V17" s="1575" t="s">
        <v>8</v>
      </c>
      <c r="W17" s="1576">
        <f>J17</f>
        <v>100</v>
      </c>
      <c r="X17" s="1569"/>
      <c r="Y17" s="3397"/>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3"/>
      <c r="M18" s="2135"/>
      <c r="N18" s="2135"/>
      <c r="O18" s="2142"/>
      <c r="P18" s="3397"/>
      <c r="Q18" s="1574"/>
      <c r="R18" s="1575"/>
      <c r="S18" s="1576"/>
      <c r="T18" s="1575"/>
      <c r="U18" s="1576"/>
      <c r="V18" s="1575"/>
      <c r="W18" s="1576"/>
      <c r="X18" s="1569"/>
      <c r="Y18" s="3397"/>
      <c r="Z18" s="1577"/>
      <c r="AA18" s="1578">
        <v>1</v>
      </c>
      <c r="AB18" s="1578">
        <v>1</v>
      </c>
      <c r="AC18" s="1578">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43"/>
      <c r="M19" s="2135"/>
      <c r="N19" s="2135"/>
      <c r="O19" s="2142"/>
      <c r="P19" s="3397"/>
      <c r="Q19" s="1574" t="str">
        <f>B19</f>
        <v>公共配套设施</v>
      </c>
      <c r="R19" s="1575" t="s">
        <v>8</v>
      </c>
      <c r="S19" s="1576">
        <f>F19</f>
        <v>100</v>
      </c>
      <c r="T19" s="1575" t="s">
        <v>8</v>
      </c>
      <c r="U19" s="1576">
        <f>H19</f>
        <v>100</v>
      </c>
      <c r="V19" s="1575" t="s">
        <v>8</v>
      </c>
      <c r="W19" s="1576">
        <f>J19</f>
        <v>100</v>
      </c>
      <c r="X19" s="1569"/>
      <c r="Y19" s="3397"/>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3"/>
      <c r="M20" s="2135"/>
      <c r="N20" s="2135"/>
      <c r="O20" s="2142"/>
      <c r="P20" s="3397"/>
      <c r="Q20" s="1574"/>
      <c r="R20" s="1575"/>
      <c r="S20" s="1576"/>
      <c r="T20" s="1575"/>
      <c r="U20" s="1576"/>
      <c r="V20" s="1575"/>
      <c r="W20" s="1576"/>
      <c r="X20" s="1569"/>
      <c r="Y20" s="3397"/>
      <c r="Z20" s="1577"/>
      <c r="AA20" s="1578">
        <v>1</v>
      </c>
      <c r="AB20" s="1578">
        <v>1</v>
      </c>
      <c r="AC20" s="1578">
        <v>1</v>
      </c>
    </row>
    <row r="21" spans="1:29" ht="28.5">
      <c r="A21" s="535"/>
      <c r="B21" s="2618"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43"/>
      <c r="M21" s="2135"/>
      <c r="N21" s="2135"/>
      <c r="O21" s="2142"/>
      <c r="P21" s="3397"/>
      <c r="Q21" s="2604" t="str">
        <f>B21</f>
        <v>基础设施水平</v>
      </c>
      <c r="R21" s="1575" t="s">
        <v>8</v>
      </c>
      <c r="S21" s="1576">
        <f>F21</f>
        <v>100</v>
      </c>
      <c r="T21" s="1575" t="s">
        <v>8</v>
      </c>
      <c r="U21" s="1576">
        <f>H21</f>
        <v>100</v>
      </c>
      <c r="V21" s="1575" t="s">
        <v>8</v>
      </c>
      <c r="W21" s="1576">
        <f>J21</f>
        <v>100</v>
      </c>
      <c r="X21" s="2606"/>
      <c r="Y21" s="3397"/>
      <c r="Z21" s="2605"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7"/>
      <c r="L22" s="2143"/>
      <c r="M22" s="2135"/>
      <c r="N22" s="2135"/>
      <c r="O22" s="2142"/>
      <c r="P22" s="3397"/>
      <c r="Q22" s="2604"/>
      <c r="R22" s="1575"/>
      <c r="S22" s="1576"/>
      <c r="T22" s="1575"/>
      <c r="U22" s="1576"/>
      <c r="V22" s="1575"/>
      <c r="W22" s="1576"/>
      <c r="X22" s="2606"/>
      <c r="Y22" s="3397"/>
      <c r="Z22" s="2605"/>
      <c r="AA22" s="1578">
        <v>1</v>
      </c>
      <c r="AB22" s="1578">
        <v>1</v>
      </c>
      <c r="AC22" s="1578">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3"/>
      <c r="M23" s="2135"/>
      <c r="N23" s="2135"/>
      <c r="O23" s="2142"/>
      <c r="P23" s="3397"/>
      <c r="Q23" s="1574" t="str">
        <f>B23</f>
        <v>自然及人文环境</v>
      </c>
      <c r="R23" s="1575" t="s">
        <v>8</v>
      </c>
      <c r="S23" s="1576">
        <f>F23</f>
        <v>100</v>
      </c>
      <c r="T23" s="1575" t="s">
        <v>8</v>
      </c>
      <c r="U23" s="1576">
        <f>H23</f>
        <v>100</v>
      </c>
      <c r="V23" s="1575" t="s">
        <v>8</v>
      </c>
      <c r="W23" s="1576">
        <f>J23</f>
        <v>100</v>
      </c>
      <c r="X23" s="1569"/>
      <c r="Y23" s="3397"/>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3"/>
      <c r="M24" s="2135"/>
      <c r="N24" s="2135"/>
      <c r="O24" s="2142"/>
      <c r="P24" s="3397"/>
      <c r="Q24" s="1574"/>
      <c r="R24" s="1575"/>
      <c r="S24" s="1576"/>
      <c r="T24" s="1575"/>
      <c r="U24" s="1576"/>
      <c r="V24" s="1575"/>
      <c r="W24" s="1576"/>
      <c r="X24" s="1569"/>
      <c r="Y24" s="3397"/>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3"/>
      <c r="M25" s="2135"/>
      <c r="N25" s="2135"/>
      <c r="O25" s="2142"/>
      <c r="P25" s="3397"/>
      <c r="Q25" s="1574" t="str">
        <f t="shared" ref="Q25:Q46" si="11">B25</f>
        <v>临街状况</v>
      </c>
      <c r="R25" s="1575" t="s">
        <v>8</v>
      </c>
      <c r="S25" s="1576">
        <f>F25</f>
        <v>100</v>
      </c>
      <c r="T25" s="1575" t="s">
        <v>8</v>
      </c>
      <c r="U25" s="1576">
        <f>H25</f>
        <v>100</v>
      </c>
      <c r="V25" s="1575" t="s">
        <v>8</v>
      </c>
      <c r="W25" s="1576">
        <f>J25</f>
        <v>100</v>
      </c>
      <c r="X25" s="1569"/>
      <c r="Y25" s="3397"/>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3"/>
      <c r="M26" s="2135"/>
      <c r="N26" s="2135"/>
      <c r="O26" s="2142"/>
      <c r="P26" s="3397"/>
      <c r="Q26" s="1574" t="str">
        <f t="shared" si="11"/>
        <v>平面位置/可视性</v>
      </c>
      <c r="R26" s="1575" t="s">
        <v>8</v>
      </c>
      <c r="S26" s="1576">
        <f>F26</f>
        <v>100</v>
      </c>
      <c r="T26" s="1575" t="s">
        <v>8</v>
      </c>
      <c r="U26" s="1576">
        <f>H26</f>
        <v>100</v>
      </c>
      <c r="V26" s="1575" t="s">
        <v>8</v>
      </c>
      <c r="W26" s="1576">
        <f>J26</f>
        <v>100</v>
      </c>
      <c r="X26" s="1569"/>
      <c r="Y26" s="3397"/>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6"/>
      <c r="M27" s="2137"/>
      <c r="N27" s="2137"/>
      <c r="O27" s="2138"/>
      <c r="P27" s="3397"/>
      <c r="Q27" s="1153" t="str">
        <f t="shared" si="11"/>
        <v>人流量</v>
      </c>
      <c r="R27" s="1570" t="s">
        <v>8</v>
      </c>
      <c r="S27" s="1571">
        <f>F27</f>
        <v>100</v>
      </c>
      <c r="T27" s="1570" t="s">
        <v>8</v>
      </c>
      <c r="U27" s="1571">
        <f>H27</f>
        <v>100</v>
      </c>
      <c r="V27" s="1570" t="s">
        <v>8</v>
      </c>
      <c r="W27" s="1571">
        <f>J27</f>
        <v>100</v>
      </c>
      <c r="X27" s="1572"/>
      <c r="Y27" s="3397"/>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3"/>
      <c r="M28" s="2135"/>
      <c r="N28" s="2135"/>
      <c r="O28" s="2142"/>
      <c r="P28" s="3397"/>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97"/>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3"/>
      <c r="M29" s="2135"/>
      <c r="N29" s="2135"/>
      <c r="O29" s="2142"/>
      <c r="P29" s="3397"/>
      <c r="Q29" s="1574">
        <f t="shared" si="11"/>
        <v>111</v>
      </c>
      <c r="R29" s="1575" t="s">
        <v>8</v>
      </c>
      <c r="S29" s="1576">
        <f t="shared" si="12"/>
        <v>100</v>
      </c>
      <c r="T29" s="1575" t="s">
        <v>8</v>
      </c>
      <c r="U29" s="1576">
        <f t="shared" si="13"/>
        <v>100</v>
      </c>
      <c r="V29" s="1575" t="s">
        <v>8</v>
      </c>
      <c r="W29" s="1576">
        <f t="shared" si="14"/>
        <v>100</v>
      </c>
      <c r="X29" s="1569"/>
      <c r="Y29" s="3397"/>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3"/>
      <c r="M30" s="2135"/>
      <c r="N30" s="2135"/>
      <c r="O30" s="2142"/>
      <c r="P30" s="3397"/>
      <c r="Q30" s="1574">
        <f t="shared" si="11"/>
        <v>111</v>
      </c>
      <c r="R30" s="1575" t="s">
        <v>8</v>
      </c>
      <c r="S30" s="1576">
        <f t="shared" si="12"/>
        <v>100</v>
      </c>
      <c r="T30" s="1575" t="s">
        <v>8</v>
      </c>
      <c r="U30" s="1576">
        <f t="shared" si="13"/>
        <v>100</v>
      </c>
      <c r="V30" s="1575" t="s">
        <v>8</v>
      </c>
      <c r="W30" s="1576">
        <f t="shared" si="14"/>
        <v>100</v>
      </c>
      <c r="X30" s="1569"/>
      <c r="Y30" s="3397"/>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3"/>
      <c r="M31" s="2135"/>
      <c r="N31" s="2135"/>
      <c r="O31" s="2142"/>
      <c r="P31" s="3397"/>
      <c r="Q31" s="1574">
        <f t="shared" si="11"/>
        <v>111</v>
      </c>
      <c r="R31" s="1575" t="s">
        <v>8</v>
      </c>
      <c r="S31" s="1576">
        <f t="shared" si="12"/>
        <v>100</v>
      </c>
      <c r="T31" s="1575" t="s">
        <v>8</v>
      </c>
      <c r="U31" s="1576">
        <f t="shared" si="13"/>
        <v>100</v>
      </c>
      <c r="V31" s="1575" t="s">
        <v>8</v>
      </c>
      <c r="W31" s="1576">
        <f t="shared" si="14"/>
        <v>100</v>
      </c>
      <c r="X31" s="1569"/>
      <c r="Y31" s="3397"/>
      <c r="Z31" s="1577">
        <f t="shared" si="15"/>
        <v>111</v>
      </c>
      <c r="AA31" s="1578">
        <f t="shared" si="3"/>
        <v>1</v>
      </c>
      <c r="AB31" s="1578">
        <f t="shared" si="4"/>
        <v>1</v>
      </c>
      <c r="AC31" s="1578">
        <f t="shared" si="5"/>
        <v>1</v>
      </c>
    </row>
    <row r="32" spans="1:29" ht="15">
      <c r="A32" s="2934"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3"/>
      <c r="M32" s="2135"/>
      <c r="N32" s="2135"/>
      <c r="O32" s="2142"/>
      <c r="P32" s="3398" t="s">
        <v>551</v>
      </c>
      <c r="Q32" s="1574" t="str">
        <f t="shared" si="11"/>
        <v>商业类型</v>
      </c>
      <c r="R32" s="1575" t="s">
        <v>8</v>
      </c>
      <c r="S32" s="1576">
        <f t="shared" si="12"/>
        <v>100</v>
      </c>
      <c r="T32" s="1575" t="s">
        <v>8</v>
      </c>
      <c r="U32" s="1576">
        <f t="shared" si="13"/>
        <v>100</v>
      </c>
      <c r="V32" s="1575" t="s">
        <v>8</v>
      </c>
      <c r="W32" s="1576">
        <f t="shared" si="14"/>
        <v>100</v>
      </c>
      <c r="X32" s="1569"/>
      <c r="Y32" s="3399"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1"/>
      <c r="M33" s="2172"/>
      <c r="N33" s="2172"/>
      <c r="O33" s="2144"/>
      <c r="P33" s="3399"/>
      <c r="Q33" s="1607" t="str">
        <f t="shared" si="11"/>
        <v>项目建筑规模</v>
      </c>
      <c r="R33" s="1579" t="s">
        <v>8</v>
      </c>
      <c r="S33" s="1580" t="e">
        <f t="shared" si="12"/>
        <v>#N/A</v>
      </c>
      <c r="T33" s="1579" t="s">
        <v>8</v>
      </c>
      <c r="U33" s="1580" t="e">
        <f t="shared" si="13"/>
        <v>#N/A</v>
      </c>
      <c r="V33" s="1579" t="s">
        <v>8</v>
      </c>
      <c r="W33" s="1580" t="e">
        <f t="shared" si="14"/>
        <v>#N/A</v>
      </c>
      <c r="X33" s="1581"/>
      <c r="Y33" s="3399"/>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3"/>
      <c r="M34" s="2135"/>
      <c r="N34" s="2135"/>
      <c r="O34" s="2142"/>
      <c r="P34" s="3399"/>
      <c r="Q34" s="1574" t="str">
        <f t="shared" si="11"/>
        <v>建筑结构</v>
      </c>
      <c r="R34" s="1575" t="s">
        <v>8</v>
      </c>
      <c r="S34" s="1576">
        <f t="shared" si="12"/>
        <v>100</v>
      </c>
      <c r="T34" s="1575" t="s">
        <v>8</v>
      </c>
      <c r="U34" s="1576">
        <f t="shared" si="13"/>
        <v>100</v>
      </c>
      <c r="V34" s="1575" t="s">
        <v>8</v>
      </c>
      <c r="W34" s="1576">
        <f t="shared" si="14"/>
        <v>100</v>
      </c>
      <c r="X34" s="1569"/>
      <c r="Y34" s="3399"/>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3"/>
      <c r="M35" s="2135"/>
      <c r="N35" s="2135"/>
      <c r="O35" s="2142"/>
      <c r="P35" s="3399"/>
      <c r="Q35" s="1574" t="str">
        <f t="shared" si="11"/>
        <v>公共部分装修</v>
      </c>
      <c r="R35" s="1575" t="s">
        <v>8</v>
      </c>
      <c r="S35" s="1576">
        <f t="shared" si="12"/>
        <v>100</v>
      </c>
      <c r="T35" s="1575" t="s">
        <v>8</v>
      </c>
      <c r="U35" s="1576">
        <f t="shared" si="13"/>
        <v>100</v>
      </c>
      <c r="V35" s="1575" t="s">
        <v>8</v>
      </c>
      <c r="W35" s="1576">
        <f t="shared" si="14"/>
        <v>100</v>
      </c>
      <c r="X35" s="1569"/>
      <c r="Y35" s="3399"/>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3"/>
      <c r="M36" s="2135"/>
      <c r="N36" s="2135"/>
      <c r="O36" s="2142"/>
      <c r="P36" s="3399"/>
      <c r="Q36" s="1574" t="str">
        <f t="shared" si="11"/>
        <v>成新度</v>
      </c>
      <c r="R36" s="1575" t="s">
        <v>8</v>
      </c>
      <c r="S36" s="1576" t="e">
        <f t="shared" si="12"/>
        <v>#N/A</v>
      </c>
      <c r="T36" s="1575" t="s">
        <v>8</v>
      </c>
      <c r="U36" s="1576" t="e">
        <f t="shared" si="13"/>
        <v>#N/A</v>
      </c>
      <c r="V36" s="1575" t="s">
        <v>8</v>
      </c>
      <c r="W36" s="1576" t="e">
        <f t="shared" si="14"/>
        <v>#N/A</v>
      </c>
      <c r="X36" s="1569"/>
      <c r="Y36" s="3399"/>
      <c r="Z36" s="1577" t="str">
        <f t="shared" si="15"/>
        <v>成新度</v>
      </c>
      <c r="AA36" s="1578" t="e">
        <f t="shared" si="3"/>
        <v>#N/A</v>
      </c>
      <c r="AB36" s="1578" t="e">
        <f t="shared" si="4"/>
        <v>#N/A</v>
      </c>
      <c r="AC36" s="1578" t="e">
        <f t="shared" si="5"/>
        <v>#N/A</v>
      </c>
    </row>
    <row r="37" spans="1:29" s="1222" customFormat="1" ht="15">
      <c r="A37" s="603"/>
      <c r="B37" s="1896"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6"/>
      <c r="M37" s="2137"/>
      <c r="N37" s="2137"/>
      <c r="O37" s="2138"/>
      <c r="P37" s="3399"/>
      <c r="Q37" s="1153" t="str">
        <f t="shared" si="11"/>
        <v>市政基础设施</v>
      </c>
      <c r="R37" s="1570" t="s">
        <v>8</v>
      </c>
      <c r="S37" s="1571">
        <f t="shared" si="12"/>
        <v>100</v>
      </c>
      <c r="T37" s="1570" t="s">
        <v>8</v>
      </c>
      <c r="U37" s="1571">
        <f t="shared" si="13"/>
        <v>100</v>
      </c>
      <c r="V37" s="1570" t="s">
        <v>8</v>
      </c>
      <c r="W37" s="1571">
        <f t="shared" si="14"/>
        <v>100</v>
      </c>
      <c r="X37" s="1572"/>
      <c r="Y37" s="3399"/>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3"/>
      <c r="M38" s="2135"/>
      <c r="N38" s="2135"/>
      <c r="O38" s="2142"/>
      <c r="P38" s="3399" t="s">
        <v>767</v>
      </c>
      <c r="Q38" s="1574" t="str">
        <f t="shared" si="11"/>
        <v>业态</v>
      </c>
      <c r="R38" s="1575" t="s">
        <v>8</v>
      </c>
      <c r="S38" s="1576">
        <f t="shared" si="12"/>
        <v>100</v>
      </c>
      <c r="T38" s="1575" t="s">
        <v>8</v>
      </c>
      <c r="U38" s="1576">
        <f t="shared" si="13"/>
        <v>100</v>
      </c>
      <c r="V38" s="1575" t="s">
        <v>8</v>
      </c>
      <c r="W38" s="1576">
        <f t="shared" si="14"/>
        <v>100</v>
      </c>
      <c r="X38" s="1569"/>
      <c r="Y38" s="3399"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3"/>
      <c r="M39" s="2135"/>
      <c r="N39" s="2135"/>
      <c r="O39" s="2142"/>
      <c r="P39" s="3399"/>
      <c r="Q39" s="1574" t="str">
        <f t="shared" si="11"/>
        <v>层高</v>
      </c>
      <c r="R39" s="1575" t="s">
        <v>8</v>
      </c>
      <c r="S39" s="1576">
        <f t="shared" si="12"/>
        <v>100</v>
      </c>
      <c r="T39" s="1575" t="s">
        <v>8</v>
      </c>
      <c r="U39" s="1576">
        <f t="shared" si="13"/>
        <v>100</v>
      </c>
      <c r="V39" s="1575" t="s">
        <v>8</v>
      </c>
      <c r="W39" s="1576">
        <f t="shared" si="14"/>
        <v>100</v>
      </c>
      <c r="X39" s="1569"/>
      <c r="Y39" s="3399"/>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3"/>
      <c r="M40" s="2135"/>
      <c r="N40" s="2135"/>
      <c r="O40" s="2142"/>
      <c r="P40" s="3399"/>
      <c r="Q40" s="1574" t="str">
        <f t="shared" si="11"/>
        <v>单套建筑面积</v>
      </c>
      <c r="R40" s="1575" t="s">
        <v>8</v>
      </c>
      <c r="S40" s="1576">
        <f t="shared" si="12"/>
        <v>100</v>
      </c>
      <c r="T40" s="1575" t="s">
        <v>8</v>
      </c>
      <c r="U40" s="1576">
        <f t="shared" si="13"/>
        <v>100</v>
      </c>
      <c r="V40" s="1575" t="s">
        <v>8</v>
      </c>
      <c r="W40" s="1576">
        <f t="shared" si="14"/>
        <v>100</v>
      </c>
      <c r="X40" s="1569"/>
      <c r="Y40" s="3399"/>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1"/>
      <c r="M41" s="2172"/>
      <c r="N41" s="2172"/>
      <c r="O41" s="2144"/>
      <c r="P41" s="3399"/>
      <c r="Q41" s="1607" t="str">
        <f t="shared" si="11"/>
        <v>进深比</v>
      </c>
      <c r="R41" s="1579" t="s">
        <v>8</v>
      </c>
      <c r="S41" s="1580">
        <f t="shared" si="12"/>
        <v>100</v>
      </c>
      <c r="T41" s="1579" t="s">
        <v>8</v>
      </c>
      <c r="U41" s="1580">
        <f t="shared" si="13"/>
        <v>100</v>
      </c>
      <c r="V41" s="1579" t="s">
        <v>8</v>
      </c>
      <c r="W41" s="1580">
        <f t="shared" si="14"/>
        <v>100</v>
      </c>
      <c r="X41" s="1581"/>
      <c r="Y41" s="3399"/>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3"/>
      <c r="M42" s="2135"/>
      <c r="N42" s="2135"/>
      <c r="O42" s="2142"/>
      <c r="P42" s="3399"/>
      <c r="Q42" s="1574" t="str">
        <f t="shared" si="11"/>
        <v>内部装修</v>
      </c>
      <c r="R42" s="1575" t="s">
        <v>8</v>
      </c>
      <c r="S42" s="1576">
        <f t="shared" si="12"/>
        <v>100</v>
      </c>
      <c r="T42" s="1575" t="s">
        <v>8</v>
      </c>
      <c r="U42" s="1576">
        <f t="shared" si="13"/>
        <v>100</v>
      </c>
      <c r="V42" s="1575" t="s">
        <v>8</v>
      </c>
      <c r="W42" s="1576">
        <f t="shared" si="14"/>
        <v>100</v>
      </c>
      <c r="X42" s="1569"/>
      <c r="Y42" s="3399"/>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3"/>
      <c r="M43" s="2135"/>
      <c r="N43" s="2135"/>
      <c r="O43" s="2142"/>
      <c r="P43" s="3399"/>
      <c r="Q43" s="1574" t="str">
        <f t="shared" si="11"/>
        <v>内部装修维护情况</v>
      </c>
      <c r="R43" s="1575" t="s">
        <v>8</v>
      </c>
      <c r="S43" s="1576">
        <f t="shared" si="12"/>
        <v>100</v>
      </c>
      <c r="T43" s="1575" t="s">
        <v>8</v>
      </c>
      <c r="U43" s="1576">
        <f t="shared" si="13"/>
        <v>100</v>
      </c>
      <c r="V43" s="1575" t="s">
        <v>8</v>
      </c>
      <c r="W43" s="1576">
        <f t="shared" si="14"/>
        <v>100</v>
      </c>
      <c r="X43" s="1569"/>
      <c r="Y43" s="3399"/>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6"/>
      <c r="M44" s="2137"/>
      <c r="N44" s="2137"/>
      <c r="O44" s="2138"/>
      <c r="P44" s="3399"/>
      <c r="Q44" s="1153">
        <f t="shared" si="11"/>
        <v>111</v>
      </c>
      <c r="R44" s="1570" t="s">
        <v>8</v>
      </c>
      <c r="S44" s="1571">
        <f t="shared" si="12"/>
        <v>100</v>
      </c>
      <c r="T44" s="1570" t="s">
        <v>8</v>
      </c>
      <c r="U44" s="1571">
        <f t="shared" si="13"/>
        <v>100</v>
      </c>
      <c r="V44" s="1570" t="s">
        <v>8</v>
      </c>
      <c r="W44" s="1571">
        <f t="shared" si="14"/>
        <v>100</v>
      </c>
      <c r="X44" s="1572"/>
      <c r="Y44" s="3399"/>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3"/>
      <c r="M45" s="2135"/>
      <c r="N45" s="2135"/>
      <c r="O45" s="2142"/>
      <c r="P45" s="3399"/>
      <c r="Q45" s="1574">
        <f t="shared" si="11"/>
        <v>111</v>
      </c>
      <c r="R45" s="1575" t="s">
        <v>8</v>
      </c>
      <c r="S45" s="1576">
        <f t="shared" si="12"/>
        <v>100</v>
      </c>
      <c r="T45" s="1575" t="s">
        <v>8</v>
      </c>
      <c r="U45" s="1576">
        <f t="shared" si="13"/>
        <v>100</v>
      </c>
      <c r="V45" s="1575" t="s">
        <v>8</v>
      </c>
      <c r="W45" s="1576">
        <f t="shared" si="14"/>
        <v>100</v>
      </c>
      <c r="X45" s="1569"/>
      <c r="Y45" s="3399"/>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3"/>
      <c r="M46" s="2135"/>
      <c r="N46" s="2135"/>
      <c r="O46" s="2142"/>
      <c r="P46" s="3407"/>
      <c r="Q46" s="1574">
        <f t="shared" si="11"/>
        <v>111</v>
      </c>
      <c r="R46" s="1575" t="s">
        <v>8</v>
      </c>
      <c r="S46" s="1576">
        <f t="shared" si="12"/>
        <v>100</v>
      </c>
      <c r="T46" s="1575" t="s">
        <v>8</v>
      </c>
      <c r="U46" s="1576">
        <f t="shared" si="13"/>
        <v>100</v>
      </c>
      <c r="V46" s="1575" t="s">
        <v>8</v>
      </c>
      <c r="W46" s="1576">
        <f t="shared" si="14"/>
        <v>100</v>
      </c>
      <c r="X46" s="1569"/>
      <c r="Y46" s="3407"/>
      <c r="Z46" s="1577">
        <f t="shared" si="15"/>
        <v>111</v>
      </c>
      <c r="AA46" s="1578">
        <f t="shared" si="3"/>
        <v>1</v>
      </c>
      <c r="AB46" s="1578">
        <f t="shared" si="4"/>
        <v>1</v>
      </c>
      <c r="AC46" s="1578">
        <f t="shared" si="5"/>
        <v>1</v>
      </c>
    </row>
    <row r="47" spans="1:29" ht="15">
      <c r="A47" s="610" t="s">
        <v>737</v>
      </c>
      <c r="B47" s="889"/>
      <c r="C47" s="2652" t="s">
        <v>1</v>
      </c>
      <c r="D47" s="2653"/>
      <c r="E47" s="2654"/>
      <c r="F47" s="2655"/>
      <c r="G47" s="2656"/>
      <c r="H47" s="2657"/>
      <c r="I47" s="2654"/>
      <c r="J47" s="2657"/>
      <c r="K47" s="1613"/>
      <c r="L47" s="2145"/>
      <c r="M47" s="2146"/>
      <c r="N47" s="2135"/>
      <c r="O47" s="2146"/>
      <c r="P47" s="3360" t="str">
        <f>A47</f>
        <v>成交单价（元/平方米）</v>
      </c>
      <c r="Q47" s="3360"/>
      <c r="R47" s="3408">
        <f>E47</f>
        <v>0</v>
      </c>
      <c r="S47" s="3408"/>
      <c r="T47" s="3408">
        <f>G47</f>
        <v>0</v>
      </c>
      <c r="U47" s="3408"/>
      <c r="V47" s="3408">
        <f>I47</f>
        <v>0</v>
      </c>
      <c r="W47" s="3408"/>
      <c r="X47" s="1561"/>
      <c r="Y47" s="1583"/>
      <c r="Z47" s="1561"/>
      <c r="AA47" s="1561"/>
      <c r="AB47" s="1561"/>
      <c r="AC47" s="1561"/>
    </row>
    <row r="48" spans="1:29" ht="15.75" thickBot="1">
      <c r="A48" s="618" t="s">
        <v>2767</v>
      </c>
      <c r="B48" s="890"/>
      <c r="C48" s="2658" t="e">
        <f>R49</f>
        <v>#DIV/0!</v>
      </c>
      <c r="D48" s="2659"/>
      <c r="E48" s="2660" t="e">
        <f>R48</f>
        <v>#DIV/0!</v>
      </c>
      <c r="F48" s="2660"/>
      <c r="G48" s="2658" t="e">
        <f>T48</f>
        <v>#DIV/0!</v>
      </c>
      <c r="H48" s="2659"/>
      <c r="I48" s="2660" t="e">
        <f>V48</f>
        <v>#DIV/0!</v>
      </c>
      <c r="J48" s="2659"/>
      <c r="K48" s="1614"/>
      <c r="L48" s="2145"/>
      <c r="M48" s="2146"/>
      <c r="N48" s="2135"/>
      <c r="O48" s="2146"/>
      <c r="P48" s="3360" t="str">
        <f>A48</f>
        <v>比较价格（元/平方米）</v>
      </c>
      <c r="Q48" s="3360"/>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1561"/>
      <c r="Y48" s="1561"/>
      <c r="Z48" s="1561"/>
      <c r="AA48" s="1561"/>
      <c r="AB48" s="1561"/>
      <c r="AC48" s="1561"/>
    </row>
    <row r="49" spans="1:29" ht="15.75" thickBot="1">
      <c r="A49" s="624" t="s">
        <v>2940</v>
      </c>
      <c r="B49" s="625"/>
      <c r="C49" s="2661" t="e">
        <f>R49</f>
        <v>#DIV/0!</v>
      </c>
      <c r="D49" s="2661"/>
      <c r="E49" s="2661"/>
      <c r="F49" s="2661"/>
      <c r="G49" s="2661"/>
      <c r="H49" s="2661"/>
      <c r="I49" s="2661"/>
      <c r="J49" s="2661"/>
      <c r="K49" s="1615"/>
      <c r="L49" s="2145"/>
      <c r="M49" s="2146"/>
      <c r="N49" s="2135"/>
      <c r="O49" s="2146"/>
      <c r="P49" s="3357" t="str">
        <f>A49</f>
        <v>估价对象XX用房的比较价格（楼面单价，元/平方米）</v>
      </c>
      <c r="Q49" s="3358"/>
      <c r="R49" s="3409" t="e">
        <f>IF(F1="售价",ROUND(AVERAGE(R48:V48),0),ROUND(AVERAGE(R48:V48),1))</f>
        <v>#DIV/0!</v>
      </c>
      <c r="S49" s="3409"/>
      <c r="T49" s="3409"/>
      <c r="U49" s="3409"/>
      <c r="V49" s="3409"/>
      <c r="W49" s="3409"/>
      <c r="X49" s="1561"/>
      <c r="Y49" s="1561"/>
      <c r="Z49" s="1561"/>
      <c r="AA49" s="1561"/>
      <c r="AB49" s="1561"/>
      <c r="AC49" s="1561"/>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29"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4"/>
      <c r="N59" s="653"/>
      <c r="O59" s="655"/>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207"/>
    </row>
    <row r="63" spans="1:29">
      <c r="A63" s="667" t="s">
        <v>578</v>
      </c>
      <c r="B63" s="668" t="s">
        <v>535</v>
      </c>
      <c r="C63" s="707">
        <f>C9</f>
        <v>0</v>
      </c>
      <c r="D63" s="601"/>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674"/>
      <c r="F64" s="674"/>
      <c r="G64" s="674"/>
      <c r="H64" s="674"/>
      <c r="I64" s="674"/>
      <c r="J64" s="674"/>
      <c r="K64" s="674"/>
      <c r="L64" s="674"/>
      <c r="M64" s="675"/>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c r="D68" s="544"/>
      <c r="E68" s="544"/>
      <c r="F68" s="544"/>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74"/>
      <c r="E73" s="674"/>
      <c r="F73" s="674"/>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2562</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2563</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676" t="s">
        <v>772</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tr">
        <f>B26</f>
        <v>平面位置/可视性</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695"/>
      <c r="D89" s="674"/>
      <c r="E89" s="674"/>
      <c r="F89" s="674"/>
      <c r="G89" s="674"/>
      <c r="H89" s="674"/>
      <c r="I89" s="674"/>
      <c r="J89" s="674"/>
      <c r="K89" s="674"/>
      <c r="L89" s="674"/>
      <c r="M89" s="674"/>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人流量</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2"/>
      <c r="B92" s="676" t="str">
        <f>B28</f>
        <v>楼层</v>
      </c>
      <c r="C92" s="691"/>
      <c r="D92" s="691"/>
      <c r="E92" s="691"/>
      <c r="F92" s="691"/>
      <c r="G92" s="691"/>
      <c r="H92" s="691"/>
      <c r="I92" s="691"/>
      <c r="J92" s="691"/>
      <c r="K92" s="691"/>
      <c r="L92" s="892"/>
      <c r="M92" s="893"/>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74"/>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74"/>
      <c r="E95" s="674"/>
      <c r="F95" s="674"/>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695"/>
      <c r="D97" s="674"/>
      <c r="E97" s="674"/>
      <c r="F97" s="674"/>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691"/>
      <c r="D98" s="691"/>
      <c r="E98" s="691"/>
      <c r="F98" s="691"/>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03"/>
      <c r="D99" s="703"/>
      <c r="E99" s="703"/>
      <c r="F99" s="703"/>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773</v>
      </c>
      <c r="C100" s="601"/>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c r="D103" s="733"/>
      <c r="E103" s="733"/>
      <c r="F103" s="733"/>
      <c r="G103" s="733"/>
      <c r="H103" s="733"/>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c r="D104" s="674"/>
      <c r="E104" s="674"/>
      <c r="F104" s="674"/>
      <c r="G104" s="674"/>
      <c r="H104" s="674"/>
      <c r="I104" s="674"/>
      <c r="J104" s="674"/>
      <c r="K104" s="674"/>
      <c r="L104" s="674"/>
      <c r="M104" s="675"/>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691"/>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752</v>
      </c>
      <c r="C107" s="691"/>
      <c r="D107" s="691"/>
      <c r="E107" s="69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c r="A110" s="738"/>
      <c r="B110" s="684"/>
      <c r="C110" s="896">
        <v>0.5</v>
      </c>
      <c r="D110" s="896">
        <v>0.6</v>
      </c>
      <c r="E110" s="896">
        <v>0.7</v>
      </c>
      <c r="F110" s="896">
        <v>0.8</v>
      </c>
      <c r="G110" s="896">
        <v>0.9</v>
      </c>
      <c r="H110" s="896">
        <v>1.0001</v>
      </c>
      <c r="I110" s="907"/>
      <c r="J110" s="907"/>
      <c r="K110" s="908"/>
      <c r="L110" s="909"/>
      <c r="M110" s="910"/>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7"/>
      <c r="O111" s="2167"/>
      <c r="P111" s="2166"/>
      <c r="Q111" s="2159"/>
      <c r="R111" s="2146"/>
      <c r="S111" s="2146"/>
      <c r="T111" s="2146"/>
      <c r="U111" s="2146"/>
      <c r="V111" s="2146"/>
      <c r="W111" s="2146"/>
      <c r="X111" s="2146"/>
      <c r="Y111" s="2146"/>
      <c r="Z111" s="2146"/>
      <c r="AA111" s="2146"/>
      <c r="AB111" s="2146"/>
      <c r="AC111" s="2146"/>
    </row>
    <row r="112" spans="1:29" s="1341" customFormat="1" ht="15" thickTop="1">
      <c r="A112" s="731"/>
      <c r="B112" s="1897" t="s">
        <v>2561</v>
      </c>
      <c r="C112" s="691"/>
      <c r="D112" s="691"/>
      <c r="E112" s="691"/>
      <c r="F112" s="691"/>
      <c r="G112" s="691"/>
      <c r="H112" s="721"/>
      <c r="I112" s="721"/>
      <c r="J112" s="721"/>
      <c r="K112" s="722"/>
      <c r="L112" s="723"/>
      <c r="M112" s="724"/>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774</v>
      </c>
      <c r="C114" s="691"/>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676" t="s">
        <v>775</v>
      </c>
      <c r="C116" s="691"/>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776</v>
      </c>
      <c r="C118" s="911"/>
      <c r="D118" s="911"/>
      <c r="E118" s="911"/>
      <c r="F118" s="911"/>
      <c r="G118" s="911"/>
      <c r="H118" s="692"/>
      <c r="I118" s="692"/>
      <c r="J118" s="692"/>
      <c r="K118" s="692"/>
      <c r="L118" s="693"/>
      <c r="M118" s="69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95"/>
      <c r="D119" s="674"/>
      <c r="E119" s="674"/>
      <c r="F119" s="674"/>
      <c r="G119" s="674"/>
      <c r="H119" s="674"/>
      <c r="I119" s="674"/>
      <c r="J119" s="674"/>
      <c r="K119" s="674"/>
      <c r="L119" s="674"/>
      <c r="M119" s="675"/>
      <c r="N119" s="2167"/>
      <c r="O119" s="2167"/>
      <c r="P119" s="2166"/>
      <c r="Q119" s="2159"/>
      <c r="R119" s="2146"/>
      <c r="S119" s="2146"/>
      <c r="T119" s="2146"/>
      <c r="U119" s="2146"/>
      <c r="V119" s="2146"/>
      <c r="W119" s="2146"/>
      <c r="X119" s="2146"/>
      <c r="Y119" s="2146"/>
      <c r="Z119" s="2146"/>
      <c r="AA119" s="2146"/>
      <c r="AB119" s="2146"/>
      <c r="AC119" s="2146"/>
    </row>
    <row r="120" spans="1:29" s="1341" customFormat="1" ht="15" thickTop="1">
      <c r="A120" s="731"/>
      <c r="B120" s="676" t="s">
        <v>777</v>
      </c>
      <c r="C120" s="721"/>
      <c r="D120" s="721"/>
      <c r="E120" s="721"/>
      <c r="F120" s="721"/>
      <c r="G120" s="692"/>
      <c r="H120" s="692"/>
      <c r="I120" s="692"/>
      <c r="J120" s="692"/>
      <c r="K120" s="692"/>
      <c r="L120" s="693"/>
      <c r="M120" s="694"/>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691"/>
      <c r="D122" s="691"/>
      <c r="E122" s="691"/>
      <c r="F122" s="721"/>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74"/>
      <c r="E129" s="674"/>
      <c r="F129" s="674"/>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2"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4"/>
      <c r="G1" s="1603" t="s">
        <v>722</v>
      </c>
      <c r="H1" s="509"/>
      <c r="I1" s="509"/>
      <c r="J1" s="509"/>
      <c r="K1" s="510"/>
      <c r="L1" s="1564"/>
      <c r="M1" s="1565"/>
      <c r="N1" s="1565"/>
      <c r="O1" s="1565"/>
      <c r="P1" s="2208"/>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8"/>
      <c r="D2" s="2128"/>
      <c r="E2" s="2062"/>
      <c r="F2" s="2130"/>
      <c r="G2" s="2129"/>
      <c r="H2" s="2129"/>
      <c r="I2" s="2129"/>
      <c r="J2" s="2129"/>
      <c r="K2" s="2129"/>
      <c r="L2" s="2132"/>
      <c r="M2" s="2133"/>
      <c r="N2" s="2133"/>
      <c r="O2" s="2133"/>
      <c r="P2" s="2208"/>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2"/>
      <c r="F3" s="2130"/>
      <c r="G3" s="2129"/>
      <c r="H3" s="2129"/>
      <c r="I3" s="2129"/>
      <c r="J3" s="2129"/>
      <c r="K3" s="2131"/>
      <c r="L3" s="2132"/>
      <c r="M3" s="2133"/>
      <c r="N3" s="2133"/>
      <c r="O3" s="2133"/>
      <c r="P3" s="2208"/>
      <c r="Q3" s="1566"/>
      <c r="R3" s="1566"/>
      <c r="S3" s="1566"/>
      <c r="T3" s="1566"/>
      <c r="U3" s="1566"/>
      <c r="V3" s="1566"/>
      <c r="W3" s="1566"/>
      <c r="X3" s="1566"/>
      <c r="Y3" s="1566"/>
      <c r="Z3" s="1566"/>
      <c r="AA3" s="1566"/>
      <c r="AB3" s="1566"/>
      <c r="AC3" s="1567"/>
    </row>
    <row r="4" spans="1:29" ht="15">
      <c r="A4" s="515" t="s">
        <v>522</v>
      </c>
      <c r="B4" s="516"/>
      <c r="C4" s="3366" t="s">
        <v>523</v>
      </c>
      <c r="D4" s="3367"/>
      <c r="E4" s="3400" t="s">
        <v>524</v>
      </c>
      <c r="F4" s="3401"/>
      <c r="G4" s="3366" t="s">
        <v>525</v>
      </c>
      <c r="H4" s="3367"/>
      <c r="I4" s="3366" t="s">
        <v>526</v>
      </c>
      <c r="J4" s="3367"/>
      <c r="K4" s="517" t="s">
        <v>527</v>
      </c>
      <c r="L4" s="2134"/>
      <c r="M4" s="2135"/>
      <c r="N4" s="2135"/>
      <c r="O4" s="2135"/>
      <c r="P4" s="3481" t="s">
        <v>528</v>
      </c>
      <c r="Q4" s="3369"/>
      <c r="R4" s="3374" t="s">
        <v>524</v>
      </c>
      <c r="S4" s="3375"/>
      <c r="T4" s="3374" t="s">
        <v>525</v>
      </c>
      <c r="U4" s="3375"/>
      <c r="V4" s="3361" t="s">
        <v>526</v>
      </c>
      <c r="W4" s="3361"/>
      <c r="X4" s="1569"/>
      <c r="Y4" s="3374" t="s">
        <v>528</v>
      </c>
      <c r="Z4" s="3375"/>
      <c r="AA4" s="3363" t="s">
        <v>524</v>
      </c>
      <c r="AB4" s="3363" t="s">
        <v>525</v>
      </c>
      <c r="AC4" s="3363" t="s">
        <v>526</v>
      </c>
    </row>
    <row r="5" spans="1:29" ht="15">
      <c r="A5" s="518"/>
      <c r="B5" s="519"/>
      <c r="C5" s="3384" t="s">
        <v>2934</v>
      </c>
      <c r="D5" s="3383"/>
      <c r="E5" s="3417" t="s">
        <v>2935</v>
      </c>
      <c r="F5" s="3403"/>
      <c r="G5" s="3384" t="s">
        <v>2936</v>
      </c>
      <c r="H5" s="3383"/>
      <c r="I5" s="3384" t="s">
        <v>2937</v>
      </c>
      <c r="J5" s="3383"/>
      <c r="K5" s="517"/>
      <c r="L5" s="2134"/>
      <c r="M5" s="2135"/>
      <c r="N5" s="2135"/>
      <c r="O5" s="2135"/>
      <c r="P5" s="3482"/>
      <c r="Q5" s="3371"/>
      <c r="R5" s="3376"/>
      <c r="S5" s="3377"/>
      <c r="T5" s="3376"/>
      <c r="U5" s="3377"/>
      <c r="V5" s="3361"/>
      <c r="W5" s="3361"/>
      <c r="X5" s="1569"/>
      <c r="Y5" s="3376"/>
      <c r="Z5" s="3377"/>
      <c r="AA5" s="3364"/>
      <c r="AB5" s="3364"/>
      <c r="AC5" s="3364"/>
    </row>
    <row r="6" spans="1:29" ht="15.75" thickBot="1">
      <c r="A6" s="520"/>
      <c r="B6" s="521"/>
      <c r="C6" s="3404" t="s">
        <v>2938</v>
      </c>
      <c r="D6" s="3381"/>
      <c r="E6" s="3416" t="s">
        <v>2938</v>
      </c>
      <c r="F6" s="3406"/>
      <c r="G6" s="3404" t="s">
        <v>2938</v>
      </c>
      <c r="H6" s="3381"/>
      <c r="I6" s="3404" t="s">
        <v>2938</v>
      </c>
      <c r="J6" s="3381"/>
      <c r="K6" s="517" t="s">
        <v>529</v>
      </c>
      <c r="L6" s="2134"/>
      <c r="M6" s="2135"/>
      <c r="N6" s="2135"/>
      <c r="O6" s="2135"/>
      <c r="P6" s="3483"/>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c r="F7" s="525">
        <f>SUMIF(59:59,YEAR(E7)&amp;"-"&amp;MONTH(E7),60:60)</f>
        <v>0</v>
      </c>
      <c r="G7" s="524"/>
      <c r="H7" s="523">
        <f>SUMIF(59:59,YEAR(G7)&amp;"-"&amp;MONTH(G7),60:60)</f>
        <v>0</v>
      </c>
      <c r="I7" s="524"/>
      <c r="J7" s="523">
        <f>SUMIF(59:59,YEAR(I7)&amp;"-"&amp;MONTH(I7),60:60)</f>
        <v>0</v>
      </c>
      <c r="K7" s="527"/>
      <c r="L7" s="2136"/>
      <c r="M7" s="2137"/>
      <c r="N7" s="2137"/>
      <c r="O7" s="2137"/>
      <c r="P7" s="3395" t="s">
        <v>531</v>
      </c>
      <c r="Q7" s="3395"/>
      <c r="R7" s="1570" t="s">
        <v>8</v>
      </c>
      <c r="S7" s="1571">
        <f t="shared" ref="S7:S15" si="0">F7</f>
        <v>0</v>
      </c>
      <c r="T7" s="1570" t="s">
        <v>8</v>
      </c>
      <c r="U7" s="1571">
        <f t="shared" ref="U7:U15" si="1">H7</f>
        <v>0</v>
      </c>
      <c r="V7" s="1570" t="s">
        <v>8</v>
      </c>
      <c r="W7" s="1571">
        <f t="shared" ref="W7:W15"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SUMIF(62:62,E8,63:63)-SUMIF(62:62,C8,63:63)+100</f>
        <v>0</v>
      </c>
      <c r="G8" s="528"/>
      <c r="H8" s="523">
        <f>SUMIF(62:62,G8,63:63)-SUMIF(62:62,C8,63:63)+100</f>
        <v>0</v>
      </c>
      <c r="I8" s="528"/>
      <c r="J8" s="523">
        <f>SUMIF(62:62,I8,63:63)-SUMIF(62:62,C8,63:63)+100</f>
        <v>0</v>
      </c>
      <c r="K8" s="527"/>
      <c r="L8" s="2136"/>
      <c r="M8" s="2137"/>
      <c r="N8" s="2137"/>
      <c r="O8" s="2137"/>
      <c r="P8" s="3395" t="s">
        <v>534</v>
      </c>
      <c r="Q8" s="3394"/>
      <c r="R8" s="1570" t="s">
        <v>8</v>
      </c>
      <c r="S8" s="1571">
        <f t="shared" si="0"/>
        <v>0</v>
      </c>
      <c r="T8" s="1570" t="s">
        <v>8</v>
      </c>
      <c r="U8" s="1571">
        <f t="shared" si="1"/>
        <v>0</v>
      </c>
      <c r="V8" s="1570" t="s">
        <v>8</v>
      </c>
      <c r="W8" s="1571">
        <f t="shared" si="2"/>
        <v>0</v>
      </c>
      <c r="X8" s="1572"/>
      <c r="Y8" s="3393" t="s">
        <v>534</v>
      </c>
      <c r="Z8" s="3394"/>
      <c r="AA8" s="1573" t="e">
        <f t="shared" ref="AA8:AA47" si="3">D8/F8</f>
        <v>#DIV/0!</v>
      </c>
      <c r="AB8" s="1573" t="e">
        <f t="shared" ref="AB8:AB47" si="4">D8/H8</f>
        <v>#DIV/0!</v>
      </c>
      <c r="AC8" s="1573" t="e">
        <f t="shared" ref="AC8:AC47" si="5">D8/J8</f>
        <v>#DIV/0!</v>
      </c>
    </row>
    <row r="9" spans="1:29" s="1222" customFormat="1" ht="15">
      <c r="A9" s="2941"/>
      <c r="B9" s="2948" t="s">
        <v>2763</v>
      </c>
      <c r="C9" s="860"/>
      <c r="D9" s="254">
        <v>100</v>
      </c>
      <c r="E9" s="863"/>
      <c r="F9" s="254">
        <f>SUMIF(64:64,E9,65:65)-SUMIF(64:64,C9,65:65)+100</f>
        <v>100</v>
      </c>
      <c r="G9" s="861"/>
      <c r="H9" s="254">
        <f>SUMIF(64:64,G9,65:65)-SUMIF(64:64,C9,65:65)+100</f>
        <v>100</v>
      </c>
      <c r="I9" s="861"/>
      <c r="J9" s="254">
        <f>SUMIF(64:64,I9,65:65)-SUMIF(64:64,C9,65:65)+100</f>
        <v>100</v>
      </c>
      <c r="K9" s="527"/>
      <c r="L9" s="2136"/>
      <c r="M9" s="2137"/>
      <c r="N9" s="2137"/>
      <c r="O9" s="2137"/>
      <c r="P9" s="3360" t="s">
        <v>536</v>
      </c>
      <c r="Q9" s="1153" t="str">
        <f t="shared" ref="Q9:Q15" si="6">B9</f>
        <v>用途</v>
      </c>
      <c r="R9" s="1570" t="s">
        <v>8</v>
      </c>
      <c r="S9" s="1571">
        <f t="shared" si="0"/>
        <v>100</v>
      </c>
      <c r="T9" s="1570" t="s">
        <v>8</v>
      </c>
      <c r="U9" s="1571">
        <f t="shared" si="1"/>
        <v>100</v>
      </c>
      <c r="V9" s="1570" t="s">
        <v>8</v>
      </c>
      <c r="W9" s="1571">
        <f t="shared" si="2"/>
        <v>100</v>
      </c>
      <c r="X9" s="1572"/>
      <c r="Y9" s="3306"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SUMIF(66:66,E10,67:67)-SUMIF(66:66,C10,67:67)+100</f>
        <v>100</v>
      </c>
      <c r="G10" s="865"/>
      <c r="H10" s="255">
        <f>SUMIF(66:66,G10,67:67)-SUMIF(66:66,C10,67:67)+100</f>
        <v>100</v>
      </c>
      <c r="I10" s="864"/>
      <c r="J10" s="255">
        <f>SUMIF(66:66,I10,67:67)-SUMIF(66:66,C10,67:67)+100</f>
        <v>100</v>
      </c>
      <c r="K10" s="587"/>
      <c r="L10" s="2139"/>
      <c r="M10" s="2179"/>
      <c r="N10" s="2179"/>
      <c r="O10" s="2179"/>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1"/>
      <c r="M11" s="2135"/>
      <c r="N11" s="2135"/>
      <c r="O11" s="2135"/>
      <c r="P11" s="3360"/>
      <c r="Q11" s="1153" t="str">
        <f t="shared" si="6"/>
        <v>容积率</v>
      </c>
      <c r="R11" s="1570" t="s">
        <v>8</v>
      </c>
      <c r="S11" s="1571" t="e">
        <f t="shared" si="0"/>
        <v>#N/A</v>
      </c>
      <c r="T11" s="1570" t="s">
        <v>8</v>
      </c>
      <c r="U11" s="1571" t="e">
        <f t="shared" si="1"/>
        <v>#N/A</v>
      </c>
      <c r="V11" s="1570" t="s">
        <v>8</v>
      </c>
      <c r="W11" s="1571" t="e">
        <f t="shared" si="2"/>
        <v>#N/A</v>
      </c>
      <c r="X11" s="1572"/>
      <c r="Y11" s="3306"/>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31"/>
      <c r="F12" s="255">
        <f>SUMIF(71:71,E12,72:72)-SUMIF(71:71,C12,72:72)+100</f>
        <v>100</v>
      </c>
      <c r="G12" s="912"/>
      <c r="H12" s="255">
        <f>SUMIF(71:71,G12,72:72)-SUMIF(71:71,C12,72:72)+100</f>
        <v>100</v>
      </c>
      <c r="I12" s="531"/>
      <c r="J12" s="255">
        <f>SUMIF(71:71,I12,72:72)-SUMIF(71:71,C12,72:72)+100</f>
        <v>100</v>
      </c>
      <c r="K12" s="584"/>
      <c r="L12" s="2136"/>
      <c r="M12" s="2137"/>
      <c r="N12" s="2137"/>
      <c r="O12" s="2137"/>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
      <c r="A13" s="2944"/>
      <c r="B13" s="2950">
        <v>111</v>
      </c>
      <c r="C13" s="542"/>
      <c r="D13" s="543">
        <v>100</v>
      </c>
      <c r="E13" s="531"/>
      <c r="F13" s="255">
        <f>SUMIF(73:73,E13,74:74)-SUMIF(73:73,C13,74:74)+100</f>
        <v>100</v>
      </c>
      <c r="G13" s="912"/>
      <c r="H13" s="543">
        <f>SUMIF(73:73,G13,74:74)-SUMIF(73:73,C13,74:74)+100</f>
        <v>100</v>
      </c>
      <c r="I13" s="531"/>
      <c r="J13" s="543">
        <f>SUMIF(73:73,I13,74:74)-SUMIF(73:73,C13,74:74)+100</f>
        <v>100</v>
      </c>
      <c r="K13" s="584"/>
      <c r="L13" s="2143"/>
      <c r="M13" s="2135"/>
      <c r="N13" s="2135"/>
      <c r="O13" s="2135"/>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15.75" thickBot="1">
      <c r="A14" s="2945"/>
      <c r="B14" s="2951">
        <v>111</v>
      </c>
      <c r="C14" s="548"/>
      <c r="D14" s="549">
        <v>100</v>
      </c>
      <c r="E14" s="913"/>
      <c r="F14" s="549">
        <f>SUMIF(75:75,E14,76:76)-SUMIF(75:75,C14,76:76)+100</f>
        <v>100</v>
      </c>
      <c r="G14" s="912"/>
      <c r="H14" s="549">
        <f>SUMIF(75:75,G14,76:76)-SUMIF(75:75,C14,76:76)+100</f>
        <v>100</v>
      </c>
      <c r="I14" s="531"/>
      <c r="J14" s="549">
        <f>SUMIF(75:75,I14,76:76)-SUMIF(75:75,C14,76:76)+100</f>
        <v>100</v>
      </c>
      <c r="K14" s="584"/>
      <c r="L14" s="2143"/>
      <c r="M14" s="2135"/>
      <c r="N14" s="2135"/>
      <c r="O14" s="2135"/>
      <c r="P14" s="3360"/>
      <c r="Q14" s="1153">
        <f t="shared" si="6"/>
        <v>111</v>
      </c>
      <c r="R14" s="1570" t="s">
        <v>8</v>
      </c>
      <c r="S14" s="1571">
        <f t="shared" si="0"/>
        <v>100</v>
      </c>
      <c r="T14" s="1570" t="s">
        <v>8</v>
      </c>
      <c r="U14" s="1571">
        <f t="shared" si="1"/>
        <v>100</v>
      </c>
      <c r="V14" s="1570" t="s">
        <v>8</v>
      </c>
      <c r="W14" s="1571">
        <f t="shared" si="2"/>
        <v>100</v>
      </c>
      <c r="X14" s="1572"/>
      <c r="Y14" s="3306"/>
      <c r="Z14" s="1152">
        <f t="shared" si="7"/>
        <v>111</v>
      </c>
      <c r="AA14" s="1573">
        <f t="shared" si="3"/>
        <v>1</v>
      </c>
      <c r="AB14" s="1573">
        <f t="shared" si="4"/>
        <v>1</v>
      </c>
      <c r="AC14" s="1573">
        <f t="shared" si="5"/>
        <v>1</v>
      </c>
    </row>
    <row r="15" spans="1:29" ht="71.25">
      <c r="A15" s="2937"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3"/>
      <c r="M15" s="2135"/>
      <c r="N15" s="2135"/>
      <c r="O15" s="2135"/>
      <c r="P15" s="3396" t="s">
        <v>541</v>
      </c>
      <c r="Q15" s="1574" t="str">
        <f t="shared" si="6"/>
        <v>办公集聚程度</v>
      </c>
      <c r="R15" s="1575" t="s">
        <v>8</v>
      </c>
      <c r="S15" s="1576">
        <f t="shared" si="0"/>
        <v>100</v>
      </c>
      <c r="T15" s="1575" t="s">
        <v>8</v>
      </c>
      <c r="U15" s="1576">
        <f t="shared" si="1"/>
        <v>100</v>
      </c>
      <c r="V15" s="1575" t="s">
        <v>8</v>
      </c>
      <c r="W15" s="1576">
        <f t="shared" si="2"/>
        <v>100</v>
      </c>
      <c r="X15" s="1569"/>
      <c r="Y15" s="3396"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3"/>
      <c r="M16" s="2135"/>
      <c r="N16" s="2135"/>
      <c r="O16" s="2135"/>
      <c r="P16" s="3397"/>
      <c r="Q16" s="1574"/>
      <c r="R16" s="1575"/>
      <c r="S16" s="1576"/>
      <c r="T16" s="1575"/>
      <c r="U16" s="1576"/>
      <c r="V16" s="1575"/>
      <c r="W16" s="1576"/>
      <c r="X16" s="1569"/>
      <c r="Y16" s="3397"/>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3"/>
      <c r="M17" s="2135"/>
      <c r="N17" s="2135"/>
      <c r="O17" s="2135"/>
      <c r="P17" s="3397"/>
      <c r="Q17" s="1574" t="str">
        <f>B17</f>
        <v>交通便捷度</v>
      </c>
      <c r="R17" s="1575" t="s">
        <v>8</v>
      </c>
      <c r="S17" s="1576">
        <f>F17</f>
        <v>100</v>
      </c>
      <c r="T17" s="1575" t="s">
        <v>8</v>
      </c>
      <c r="U17" s="1576">
        <f>H17</f>
        <v>100</v>
      </c>
      <c r="V17" s="1575" t="s">
        <v>8</v>
      </c>
      <c r="W17" s="1576">
        <f>J17</f>
        <v>100</v>
      </c>
      <c r="X17" s="1569"/>
      <c r="Y17" s="3397"/>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3"/>
      <c r="M18" s="2135"/>
      <c r="N18" s="2135"/>
      <c r="O18" s="2135"/>
      <c r="P18" s="3397"/>
      <c r="Q18" s="1574"/>
      <c r="R18" s="1575"/>
      <c r="S18" s="1576"/>
      <c r="T18" s="1575"/>
      <c r="U18" s="1576"/>
      <c r="V18" s="1575"/>
      <c r="W18" s="1576"/>
      <c r="X18" s="1569"/>
      <c r="Y18" s="3397"/>
      <c r="Z18" s="1577"/>
      <c r="AA18" s="1578">
        <v>1</v>
      </c>
      <c r="AB18" s="1578">
        <v>1</v>
      </c>
      <c r="AC18" s="1578">
        <v>1</v>
      </c>
    </row>
    <row r="19" spans="1:29" ht="42.75">
      <c r="A19" s="535"/>
      <c r="B19" s="2628" t="s">
        <v>2551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43"/>
      <c r="M19" s="2135"/>
      <c r="N19" s="2135"/>
      <c r="O19" s="2135"/>
      <c r="P19" s="3397"/>
      <c r="Q19" s="1574" t="str">
        <f>B19</f>
        <v>公共配套设施</v>
      </c>
      <c r="R19" s="1575" t="s">
        <v>8</v>
      </c>
      <c r="S19" s="1576">
        <f>F19</f>
        <v>100</v>
      </c>
      <c r="T19" s="1575" t="s">
        <v>8</v>
      </c>
      <c r="U19" s="1576">
        <f>H19</f>
        <v>100</v>
      </c>
      <c r="V19" s="1575" t="s">
        <v>8</v>
      </c>
      <c r="W19" s="1576">
        <f>J19</f>
        <v>100</v>
      </c>
      <c r="X19" s="1569"/>
      <c r="Y19" s="3397"/>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3"/>
      <c r="M20" s="2135"/>
      <c r="N20" s="2135"/>
      <c r="O20" s="2135"/>
      <c r="P20" s="3397"/>
      <c r="Q20" s="1574"/>
      <c r="R20" s="1575"/>
      <c r="S20" s="1576"/>
      <c r="T20" s="1575"/>
      <c r="U20" s="1576"/>
      <c r="V20" s="1575"/>
      <c r="W20" s="1576"/>
      <c r="X20" s="1569"/>
      <c r="Y20" s="3397"/>
      <c r="Z20" s="1577"/>
      <c r="AA20" s="1578">
        <v>1</v>
      </c>
      <c r="AB20" s="1578">
        <v>1</v>
      </c>
      <c r="AC20" s="1578">
        <v>1</v>
      </c>
    </row>
    <row r="21" spans="1:29" ht="28.5">
      <c r="A21" s="535"/>
      <c r="B21" s="2616" t="s">
        <v>2563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43"/>
      <c r="M21" s="2135"/>
      <c r="N21" s="2135"/>
      <c r="O21" s="2135"/>
      <c r="P21" s="3397"/>
      <c r="Q21" s="2604" t="str">
        <f>B21</f>
        <v>基础设施水平</v>
      </c>
      <c r="R21" s="1575" t="s">
        <v>8</v>
      </c>
      <c r="S21" s="1576">
        <f>F21</f>
        <v>100</v>
      </c>
      <c r="T21" s="1575" t="s">
        <v>8</v>
      </c>
      <c r="U21" s="1576">
        <f>H21</f>
        <v>100</v>
      </c>
      <c r="V21" s="1575" t="s">
        <v>8</v>
      </c>
      <c r="W21" s="1576">
        <f>J21</f>
        <v>100</v>
      </c>
      <c r="X21" s="2606"/>
      <c r="Y21" s="3397"/>
      <c r="Z21" s="2605"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7"/>
      <c r="L22" s="2143"/>
      <c r="M22" s="2135"/>
      <c r="N22" s="2135"/>
      <c r="O22" s="2135"/>
      <c r="P22" s="3397"/>
      <c r="Q22" s="2604"/>
      <c r="R22" s="1575"/>
      <c r="S22" s="1576"/>
      <c r="T22" s="1575"/>
      <c r="U22" s="1576"/>
      <c r="V22" s="1575"/>
      <c r="W22" s="1576"/>
      <c r="X22" s="2606"/>
      <c r="Y22" s="3397"/>
      <c r="Z22" s="2605"/>
      <c r="AA22" s="1578">
        <v>1</v>
      </c>
      <c r="AB22" s="1578">
        <v>1</v>
      </c>
      <c r="AC22" s="1578">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43"/>
      <c r="M23" s="2135"/>
      <c r="N23" s="2135"/>
      <c r="O23" s="2135"/>
      <c r="P23" s="3397"/>
      <c r="Q23" s="1574" t="str">
        <f>B23</f>
        <v>环境质量</v>
      </c>
      <c r="R23" s="1575" t="s">
        <v>8</v>
      </c>
      <c r="S23" s="1576">
        <f>F23</f>
        <v>100</v>
      </c>
      <c r="T23" s="1575" t="s">
        <v>8</v>
      </c>
      <c r="U23" s="1576">
        <f>H23</f>
        <v>100</v>
      </c>
      <c r="V23" s="1575" t="s">
        <v>8</v>
      </c>
      <c r="W23" s="1576">
        <f>J23</f>
        <v>100</v>
      </c>
      <c r="X23" s="1569"/>
      <c r="Y23" s="3397"/>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3"/>
      <c r="M24" s="2135"/>
      <c r="N24" s="2135"/>
      <c r="O24" s="2135"/>
      <c r="P24" s="3397"/>
      <c r="Q24" s="1574"/>
      <c r="R24" s="1575"/>
      <c r="S24" s="1576"/>
      <c r="T24" s="1575"/>
      <c r="U24" s="1576"/>
      <c r="V24" s="1575"/>
      <c r="W24" s="1576"/>
      <c r="X24" s="1569"/>
      <c r="Y24" s="3397"/>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3"/>
      <c r="M25" s="2135"/>
      <c r="N25" s="2135"/>
      <c r="O25" s="2135"/>
      <c r="P25" s="3397"/>
      <c r="Q25" s="1574" t="str">
        <f>B25</f>
        <v>毗邻道路的类型与等级</v>
      </c>
      <c r="R25" s="1575" t="s">
        <v>8</v>
      </c>
      <c r="S25" s="1576">
        <f>F25</f>
        <v>100</v>
      </c>
      <c r="T25" s="1575" t="s">
        <v>8</v>
      </c>
      <c r="U25" s="1576">
        <f>H25</f>
        <v>100</v>
      </c>
      <c r="V25" s="1575" t="s">
        <v>8</v>
      </c>
      <c r="W25" s="1576">
        <f>J25</f>
        <v>100</v>
      </c>
      <c r="X25" s="1569"/>
      <c r="Y25" s="3397"/>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3"/>
      <c r="M26" s="2135"/>
      <c r="N26" s="2135"/>
      <c r="O26" s="2135"/>
      <c r="P26" s="3397"/>
      <c r="Q26" s="1574"/>
      <c r="R26" s="1575"/>
      <c r="S26" s="1576"/>
      <c r="T26" s="1575"/>
      <c r="U26" s="1576"/>
      <c r="V26" s="1575"/>
      <c r="W26" s="1576"/>
      <c r="X26" s="1569"/>
      <c r="Y26" s="3397"/>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3"/>
      <c r="M27" s="2135"/>
      <c r="N27" s="2135"/>
      <c r="O27" s="2135"/>
      <c r="P27" s="3397"/>
      <c r="Q27" s="1574" t="str">
        <f t="shared" ref="Q27:Q47" si="11">B27</f>
        <v>楼层</v>
      </c>
      <c r="R27" s="1575" t="s">
        <v>8</v>
      </c>
      <c r="S27" s="1576">
        <f>F27</f>
        <v>100</v>
      </c>
      <c r="T27" s="1575" t="s">
        <v>8</v>
      </c>
      <c r="U27" s="1576">
        <f>H27</f>
        <v>100</v>
      </c>
      <c r="V27" s="1575" t="s">
        <v>8</v>
      </c>
      <c r="W27" s="1576">
        <f>J27</f>
        <v>100</v>
      </c>
      <c r="X27" s="1569"/>
      <c r="Y27" s="3397"/>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6"/>
      <c r="M28" s="2137"/>
      <c r="N28" s="2137"/>
      <c r="O28" s="2137"/>
      <c r="P28" s="3397"/>
      <c r="Q28" s="1153" t="str">
        <f t="shared" si="11"/>
        <v>朝向</v>
      </c>
      <c r="R28" s="1570" t="s">
        <v>8</v>
      </c>
      <c r="S28" s="1571">
        <f>F28</f>
        <v>100</v>
      </c>
      <c r="T28" s="1570" t="s">
        <v>8</v>
      </c>
      <c r="U28" s="1571">
        <f>H28</f>
        <v>100</v>
      </c>
      <c r="V28" s="1570" t="s">
        <v>8</v>
      </c>
      <c r="W28" s="1571">
        <f>J28</f>
        <v>100</v>
      </c>
      <c r="X28" s="1572"/>
      <c r="Y28" s="3397"/>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3"/>
      <c r="M29" s="2135"/>
      <c r="N29" s="2135"/>
      <c r="O29" s="2135"/>
      <c r="P29" s="3397"/>
      <c r="Q29" s="1574">
        <f t="shared" si="11"/>
        <v>111</v>
      </c>
      <c r="R29" s="1575" t="s">
        <v>8</v>
      </c>
      <c r="S29" s="1576">
        <f t="shared" ref="S29:S47" si="12">F29</f>
        <v>100</v>
      </c>
      <c r="T29" s="1575" t="s">
        <v>8</v>
      </c>
      <c r="U29" s="1576">
        <f t="shared" ref="U29:U47" si="13">H29</f>
        <v>100</v>
      </c>
      <c r="V29" s="1575" t="s">
        <v>8</v>
      </c>
      <c r="W29" s="1576">
        <f t="shared" ref="W29:W47" si="14">J29</f>
        <v>100</v>
      </c>
      <c r="X29" s="1569"/>
      <c r="Y29" s="3397"/>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3"/>
      <c r="M30" s="2135"/>
      <c r="N30" s="2135"/>
      <c r="O30" s="2135"/>
      <c r="P30" s="3397"/>
      <c r="Q30" s="1574">
        <f t="shared" si="11"/>
        <v>111</v>
      </c>
      <c r="R30" s="1575" t="s">
        <v>8</v>
      </c>
      <c r="S30" s="1576">
        <f t="shared" si="12"/>
        <v>100</v>
      </c>
      <c r="T30" s="1575" t="s">
        <v>8</v>
      </c>
      <c r="U30" s="1576">
        <f t="shared" si="13"/>
        <v>100</v>
      </c>
      <c r="V30" s="1575" t="s">
        <v>8</v>
      </c>
      <c r="W30" s="1576">
        <f t="shared" si="14"/>
        <v>100</v>
      </c>
      <c r="X30" s="1569"/>
      <c r="Y30" s="3397"/>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3"/>
      <c r="M31" s="2135"/>
      <c r="N31" s="2135"/>
      <c r="O31" s="2135"/>
      <c r="P31" s="3397"/>
      <c r="Q31" s="1574">
        <f t="shared" si="11"/>
        <v>111</v>
      </c>
      <c r="R31" s="1575" t="s">
        <v>8</v>
      </c>
      <c r="S31" s="1576">
        <f t="shared" si="12"/>
        <v>100</v>
      </c>
      <c r="T31" s="1575" t="s">
        <v>8</v>
      </c>
      <c r="U31" s="1576">
        <f t="shared" si="13"/>
        <v>100</v>
      </c>
      <c r="V31" s="1575" t="s">
        <v>8</v>
      </c>
      <c r="W31" s="1576">
        <f t="shared" si="14"/>
        <v>100</v>
      </c>
      <c r="X31" s="1569"/>
      <c r="Y31" s="3397"/>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3"/>
      <c r="M32" s="2135"/>
      <c r="N32" s="2135"/>
      <c r="O32" s="2135"/>
      <c r="P32" s="3397"/>
      <c r="Q32" s="1574">
        <f t="shared" si="11"/>
        <v>111</v>
      </c>
      <c r="R32" s="1575" t="s">
        <v>8</v>
      </c>
      <c r="S32" s="1576">
        <f t="shared" si="12"/>
        <v>100</v>
      </c>
      <c r="T32" s="1575" t="s">
        <v>8</v>
      </c>
      <c r="U32" s="1576">
        <f t="shared" si="13"/>
        <v>100</v>
      </c>
      <c r="V32" s="1575" t="s">
        <v>8</v>
      </c>
      <c r="W32" s="1576">
        <f t="shared" si="14"/>
        <v>100</v>
      </c>
      <c r="X32" s="1569"/>
      <c r="Y32" s="3397"/>
      <c r="Z32" s="1577">
        <f t="shared" si="15"/>
        <v>111</v>
      </c>
      <c r="AA32" s="1578">
        <f t="shared" si="3"/>
        <v>1</v>
      </c>
      <c r="AB32" s="1578">
        <f t="shared" si="4"/>
        <v>1</v>
      </c>
      <c r="AC32" s="1578">
        <f t="shared" si="5"/>
        <v>1</v>
      </c>
    </row>
    <row r="33" spans="1:29" ht="15">
      <c r="A33" s="2934" t="s">
        <v>2762</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3"/>
      <c r="M33" s="2135"/>
      <c r="N33" s="2135"/>
      <c r="O33" s="2135"/>
      <c r="P33" s="3398" t="s">
        <v>551</v>
      </c>
      <c r="Q33" s="1574" t="str">
        <f t="shared" si="11"/>
        <v>建筑类型</v>
      </c>
      <c r="R33" s="1575" t="s">
        <v>8</v>
      </c>
      <c r="S33" s="1576">
        <f t="shared" si="12"/>
        <v>100</v>
      </c>
      <c r="T33" s="1575" t="s">
        <v>8</v>
      </c>
      <c r="U33" s="1576">
        <f t="shared" si="13"/>
        <v>100</v>
      </c>
      <c r="V33" s="1575" t="s">
        <v>8</v>
      </c>
      <c r="W33" s="1576">
        <f t="shared" si="14"/>
        <v>100</v>
      </c>
      <c r="X33" s="1569"/>
      <c r="Y33" s="3399"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1"/>
      <c r="M34" s="2172"/>
      <c r="N34" s="2172"/>
      <c r="O34" s="2172"/>
      <c r="P34" s="3399"/>
      <c r="Q34" s="1607" t="str">
        <f t="shared" si="11"/>
        <v>项目建筑规模</v>
      </c>
      <c r="R34" s="1579" t="s">
        <v>8</v>
      </c>
      <c r="S34" s="1580" t="e">
        <f t="shared" si="12"/>
        <v>#N/A</v>
      </c>
      <c r="T34" s="1579" t="s">
        <v>8</v>
      </c>
      <c r="U34" s="1580" t="e">
        <f t="shared" si="13"/>
        <v>#N/A</v>
      </c>
      <c r="V34" s="1579" t="s">
        <v>8</v>
      </c>
      <c r="W34" s="1580" t="e">
        <f t="shared" si="14"/>
        <v>#N/A</v>
      </c>
      <c r="X34" s="1581"/>
      <c r="Y34" s="3399"/>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3"/>
      <c r="M35" s="2135"/>
      <c r="N35" s="2135"/>
      <c r="O35" s="2135"/>
      <c r="P35" s="3399"/>
      <c r="Q35" s="1574" t="str">
        <f t="shared" si="11"/>
        <v>建筑结构</v>
      </c>
      <c r="R35" s="1575" t="s">
        <v>8</v>
      </c>
      <c r="S35" s="1576">
        <f t="shared" si="12"/>
        <v>100</v>
      </c>
      <c r="T35" s="1575" t="s">
        <v>8</v>
      </c>
      <c r="U35" s="1576">
        <f t="shared" si="13"/>
        <v>100</v>
      </c>
      <c r="V35" s="1575" t="s">
        <v>8</v>
      </c>
      <c r="W35" s="1576">
        <f t="shared" si="14"/>
        <v>100</v>
      </c>
      <c r="X35" s="1569"/>
      <c r="Y35" s="3399"/>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3"/>
      <c r="M36" s="2135"/>
      <c r="N36" s="2135"/>
      <c r="O36" s="2135"/>
      <c r="P36" s="3399"/>
      <c r="Q36" s="1574" t="str">
        <f t="shared" si="11"/>
        <v>公共部分装修</v>
      </c>
      <c r="R36" s="1575" t="s">
        <v>8</v>
      </c>
      <c r="S36" s="1576">
        <f t="shared" si="12"/>
        <v>100</v>
      </c>
      <c r="T36" s="1575" t="s">
        <v>8</v>
      </c>
      <c r="U36" s="1576">
        <f t="shared" si="13"/>
        <v>100</v>
      </c>
      <c r="V36" s="1575" t="s">
        <v>8</v>
      </c>
      <c r="W36" s="1576">
        <f t="shared" si="14"/>
        <v>100</v>
      </c>
      <c r="X36" s="1569"/>
      <c r="Y36" s="3399"/>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3"/>
      <c r="M37" s="2135"/>
      <c r="N37" s="2135"/>
      <c r="O37" s="2135"/>
      <c r="P37" s="3399"/>
      <c r="Q37" s="1574" t="str">
        <f t="shared" si="11"/>
        <v>成新度</v>
      </c>
      <c r="R37" s="1575" t="s">
        <v>8</v>
      </c>
      <c r="S37" s="1576" t="e">
        <f t="shared" si="12"/>
        <v>#N/A</v>
      </c>
      <c r="T37" s="1575" t="s">
        <v>8</v>
      </c>
      <c r="U37" s="1576" t="e">
        <f t="shared" si="13"/>
        <v>#N/A</v>
      </c>
      <c r="V37" s="1575" t="s">
        <v>8</v>
      </c>
      <c r="W37" s="1576" t="e">
        <f t="shared" si="14"/>
        <v>#N/A</v>
      </c>
      <c r="X37" s="1569"/>
      <c r="Y37" s="3399"/>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6"/>
      <c r="M38" s="2137"/>
      <c r="N38" s="2137"/>
      <c r="O38" s="2137"/>
      <c r="P38" s="3399"/>
      <c r="Q38" s="1153" t="str">
        <f t="shared" si="11"/>
        <v>写字楼等级</v>
      </c>
      <c r="R38" s="1570" t="s">
        <v>8</v>
      </c>
      <c r="S38" s="1571">
        <f t="shared" si="12"/>
        <v>100</v>
      </c>
      <c r="T38" s="1570" t="s">
        <v>8</v>
      </c>
      <c r="U38" s="1571">
        <f t="shared" si="13"/>
        <v>100</v>
      </c>
      <c r="V38" s="1570" t="s">
        <v>8</v>
      </c>
      <c r="W38" s="1571">
        <f t="shared" si="14"/>
        <v>100</v>
      </c>
      <c r="X38" s="1572"/>
      <c r="Y38" s="3399"/>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3"/>
      <c r="M39" s="2135"/>
      <c r="N39" s="2135"/>
      <c r="O39" s="2135"/>
      <c r="P39" s="3399" t="s">
        <v>551</v>
      </c>
      <c r="Q39" s="1574" t="str">
        <f t="shared" si="11"/>
        <v>物业管理</v>
      </c>
      <c r="R39" s="1575" t="s">
        <v>8</v>
      </c>
      <c r="S39" s="1576">
        <f t="shared" si="12"/>
        <v>100</v>
      </c>
      <c r="T39" s="1575" t="s">
        <v>8</v>
      </c>
      <c r="U39" s="1576">
        <f t="shared" si="13"/>
        <v>100</v>
      </c>
      <c r="V39" s="1575" t="s">
        <v>8</v>
      </c>
      <c r="W39" s="1576">
        <f t="shared" si="14"/>
        <v>100</v>
      </c>
      <c r="X39" s="1569"/>
      <c r="Y39" s="3399" t="s">
        <v>551</v>
      </c>
      <c r="Z39" s="1577" t="str">
        <f t="shared" si="15"/>
        <v>物业管理</v>
      </c>
      <c r="AA39" s="1578">
        <f t="shared" si="3"/>
        <v>1</v>
      </c>
      <c r="AB39" s="1578">
        <f t="shared" si="4"/>
        <v>1</v>
      </c>
      <c r="AC39" s="1578">
        <f t="shared" si="5"/>
        <v>1</v>
      </c>
    </row>
    <row r="40" spans="1:29" ht="15">
      <c r="A40" s="597"/>
      <c r="B40" s="1896"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3"/>
      <c r="M40" s="2135"/>
      <c r="N40" s="2135"/>
      <c r="O40" s="2135"/>
      <c r="P40" s="3399"/>
      <c r="Q40" s="1574" t="str">
        <f t="shared" si="11"/>
        <v>市政基础设施</v>
      </c>
      <c r="R40" s="1575" t="s">
        <v>8</v>
      </c>
      <c r="S40" s="1576">
        <f t="shared" si="12"/>
        <v>100</v>
      </c>
      <c r="T40" s="1575" t="s">
        <v>8</v>
      </c>
      <c r="U40" s="1576">
        <f t="shared" si="13"/>
        <v>100</v>
      </c>
      <c r="V40" s="1575" t="s">
        <v>8</v>
      </c>
      <c r="W40" s="1576">
        <f t="shared" si="14"/>
        <v>100</v>
      </c>
      <c r="X40" s="1569"/>
      <c r="Y40" s="3399"/>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3"/>
      <c r="M41" s="2135"/>
      <c r="N41" s="2135"/>
      <c r="O41" s="2135"/>
      <c r="P41" s="3399"/>
      <c r="Q41" s="1574" t="str">
        <f t="shared" si="11"/>
        <v>层高</v>
      </c>
      <c r="R41" s="1575" t="s">
        <v>8</v>
      </c>
      <c r="S41" s="1576">
        <f t="shared" si="12"/>
        <v>100</v>
      </c>
      <c r="T41" s="1575" t="s">
        <v>8</v>
      </c>
      <c r="U41" s="1576">
        <f t="shared" si="13"/>
        <v>100</v>
      </c>
      <c r="V41" s="1575" t="s">
        <v>8</v>
      </c>
      <c r="W41" s="1576">
        <f t="shared" si="14"/>
        <v>100</v>
      </c>
      <c r="X41" s="1569"/>
      <c r="Y41" s="3399"/>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1"/>
      <c r="M42" s="2172"/>
      <c r="N42" s="2172"/>
      <c r="O42" s="2172"/>
      <c r="P42" s="3399"/>
      <c r="Q42" s="1607" t="str">
        <f t="shared" si="11"/>
        <v>单套建筑面积</v>
      </c>
      <c r="R42" s="1579" t="s">
        <v>8</v>
      </c>
      <c r="S42" s="1580">
        <f t="shared" si="12"/>
        <v>100</v>
      </c>
      <c r="T42" s="1579" t="s">
        <v>8</v>
      </c>
      <c r="U42" s="1580">
        <f t="shared" si="13"/>
        <v>100</v>
      </c>
      <c r="V42" s="1579" t="s">
        <v>8</v>
      </c>
      <c r="W42" s="1580">
        <f t="shared" si="14"/>
        <v>100</v>
      </c>
      <c r="X42" s="1581"/>
      <c r="Y42" s="3399"/>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3"/>
      <c r="M43" s="2135"/>
      <c r="N43" s="2135"/>
      <c r="O43" s="2135"/>
      <c r="P43" s="3399"/>
      <c r="Q43" s="1574" t="str">
        <f t="shared" si="11"/>
        <v>内部装修</v>
      </c>
      <c r="R43" s="1575" t="s">
        <v>8</v>
      </c>
      <c r="S43" s="1576">
        <f t="shared" si="12"/>
        <v>100</v>
      </c>
      <c r="T43" s="1575" t="s">
        <v>8</v>
      </c>
      <c r="U43" s="1576">
        <f t="shared" si="13"/>
        <v>100</v>
      </c>
      <c r="V43" s="1575" t="s">
        <v>8</v>
      </c>
      <c r="W43" s="1576">
        <f t="shared" si="14"/>
        <v>100</v>
      </c>
      <c r="X43" s="1569"/>
      <c r="Y43" s="3399"/>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3"/>
      <c r="M44" s="2135"/>
      <c r="N44" s="2135"/>
      <c r="O44" s="2135"/>
      <c r="P44" s="3399"/>
      <c r="Q44" s="1574" t="str">
        <f t="shared" si="11"/>
        <v>内部装修维护情况</v>
      </c>
      <c r="R44" s="1575" t="s">
        <v>8</v>
      </c>
      <c r="S44" s="1576">
        <f t="shared" si="12"/>
        <v>100</v>
      </c>
      <c r="T44" s="1575" t="s">
        <v>8</v>
      </c>
      <c r="U44" s="1576">
        <f t="shared" si="13"/>
        <v>100</v>
      </c>
      <c r="V44" s="1575" t="s">
        <v>8</v>
      </c>
      <c r="W44" s="1576">
        <f t="shared" si="14"/>
        <v>100</v>
      </c>
      <c r="X44" s="1569"/>
      <c r="Y44" s="3399"/>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6"/>
      <c r="M45" s="2137"/>
      <c r="N45" s="2137"/>
      <c r="O45" s="2137"/>
      <c r="P45" s="3399"/>
      <c r="Q45" s="1153">
        <f t="shared" si="11"/>
        <v>111</v>
      </c>
      <c r="R45" s="1570" t="s">
        <v>8</v>
      </c>
      <c r="S45" s="1571">
        <f t="shared" si="12"/>
        <v>100</v>
      </c>
      <c r="T45" s="1570" t="s">
        <v>8</v>
      </c>
      <c r="U45" s="1571">
        <f t="shared" si="13"/>
        <v>100</v>
      </c>
      <c r="V45" s="1570" t="s">
        <v>8</v>
      </c>
      <c r="W45" s="1571">
        <f t="shared" si="14"/>
        <v>100</v>
      </c>
      <c r="X45" s="1572"/>
      <c r="Y45" s="3399"/>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3"/>
      <c r="M46" s="2135"/>
      <c r="N46" s="2135"/>
      <c r="O46" s="2135"/>
      <c r="P46" s="3399"/>
      <c r="Q46" s="1574">
        <f t="shared" si="11"/>
        <v>111</v>
      </c>
      <c r="R46" s="1575" t="s">
        <v>8</v>
      </c>
      <c r="S46" s="1576">
        <f t="shared" si="12"/>
        <v>100</v>
      </c>
      <c r="T46" s="1575" t="s">
        <v>8</v>
      </c>
      <c r="U46" s="1576">
        <f t="shared" si="13"/>
        <v>100</v>
      </c>
      <c r="V46" s="1575" t="s">
        <v>8</v>
      </c>
      <c r="W46" s="1576">
        <f t="shared" si="14"/>
        <v>100</v>
      </c>
      <c r="X46" s="1569"/>
      <c r="Y46" s="3399"/>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3"/>
      <c r="M47" s="2135"/>
      <c r="N47" s="2135"/>
      <c r="O47" s="2135"/>
      <c r="P47" s="3407"/>
      <c r="Q47" s="1574">
        <f t="shared" si="11"/>
        <v>111</v>
      </c>
      <c r="R47" s="1575" t="s">
        <v>8</v>
      </c>
      <c r="S47" s="1576">
        <f t="shared" si="12"/>
        <v>100</v>
      </c>
      <c r="T47" s="1575" t="s">
        <v>8</v>
      </c>
      <c r="U47" s="1576">
        <f t="shared" si="13"/>
        <v>100</v>
      </c>
      <c r="V47" s="1575" t="s">
        <v>8</v>
      </c>
      <c r="W47" s="1576">
        <f t="shared" si="14"/>
        <v>100</v>
      </c>
      <c r="X47" s="1569"/>
      <c r="Y47" s="3407"/>
      <c r="Z47" s="1577">
        <f t="shared" si="15"/>
        <v>111</v>
      </c>
      <c r="AA47" s="1578">
        <f t="shared" si="3"/>
        <v>1</v>
      </c>
      <c r="AB47" s="1578">
        <f t="shared" si="4"/>
        <v>1</v>
      </c>
      <c r="AC47" s="1578">
        <f t="shared" si="5"/>
        <v>1</v>
      </c>
    </row>
    <row r="48" spans="1:29" ht="15">
      <c r="A48" s="610" t="s">
        <v>737</v>
      </c>
      <c r="B48" s="889"/>
      <c r="C48" s="2652" t="s">
        <v>1</v>
      </c>
      <c r="D48" s="2653"/>
      <c r="E48" s="2654"/>
      <c r="F48" s="2655"/>
      <c r="G48" s="2656"/>
      <c r="H48" s="2657"/>
      <c r="I48" s="2654"/>
      <c r="J48" s="2657"/>
      <c r="K48" s="1613"/>
      <c r="L48" s="2145"/>
      <c r="M48" s="2135"/>
      <c r="N48" s="2135"/>
      <c r="O48" s="2135"/>
      <c r="P48" s="3358" t="str">
        <f>A48</f>
        <v>成交单价（元/平方米）</v>
      </c>
      <c r="Q48" s="3360"/>
      <c r="R48" s="3408">
        <f>E48</f>
        <v>0</v>
      </c>
      <c r="S48" s="3408"/>
      <c r="T48" s="3408">
        <f>G48</f>
        <v>0</v>
      </c>
      <c r="U48" s="3408"/>
      <c r="V48" s="3408">
        <f>I48</f>
        <v>0</v>
      </c>
      <c r="W48" s="3408"/>
      <c r="X48" s="1561"/>
      <c r="Y48" s="1583"/>
      <c r="Z48" s="1561"/>
      <c r="AA48" s="1561"/>
      <c r="AB48" s="1561"/>
      <c r="AC48" s="1561"/>
    </row>
    <row r="49" spans="1:29" ht="15.75" thickBot="1">
      <c r="A49" s="618" t="s">
        <v>2767</v>
      </c>
      <c r="B49" s="890"/>
      <c r="C49" s="2658" t="e">
        <f>R50</f>
        <v>#DIV/0!</v>
      </c>
      <c r="D49" s="2659"/>
      <c r="E49" s="2660" t="e">
        <f>R49</f>
        <v>#DIV/0!</v>
      </c>
      <c r="F49" s="2660"/>
      <c r="G49" s="2658" t="e">
        <f>T49</f>
        <v>#DIV/0!</v>
      </c>
      <c r="H49" s="2659"/>
      <c r="I49" s="2660" t="e">
        <f>V49</f>
        <v>#DIV/0!</v>
      </c>
      <c r="J49" s="2659"/>
      <c r="K49" s="1614"/>
      <c r="L49" s="2145"/>
      <c r="M49" s="2135"/>
      <c r="N49" s="2135"/>
      <c r="O49" s="2135"/>
      <c r="P49" s="3358" t="str">
        <f>A49</f>
        <v>比较价格（元/平方米）</v>
      </c>
      <c r="Q49" s="3360"/>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1561"/>
      <c r="Y49" s="1561"/>
      <c r="Z49" s="1561"/>
      <c r="AA49" s="1561"/>
      <c r="AB49" s="1561"/>
      <c r="AC49" s="1561"/>
    </row>
    <row r="50" spans="1:29" ht="15.75" thickBot="1">
      <c r="A50" s="624" t="s">
        <v>2940</v>
      </c>
      <c r="B50" s="625"/>
      <c r="C50" s="2661" t="e">
        <f>R50</f>
        <v>#DIV/0!</v>
      </c>
      <c r="D50" s="2661"/>
      <c r="E50" s="2661"/>
      <c r="F50" s="2661"/>
      <c r="G50" s="2661"/>
      <c r="H50" s="2661"/>
      <c r="I50" s="2661"/>
      <c r="J50" s="2661"/>
      <c r="K50" s="1615"/>
      <c r="L50" s="2145"/>
      <c r="M50" s="2135"/>
      <c r="N50" s="2135"/>
      <c r="O50" s="2135"/>
      <c r="P50" s="3480" t="str">
        <f>A50</f>
        <v>估价对象XX用房的比较价格（楼面单价，元/平方米）</v>
      </c>
      <c r="Q50" s="3358"/>
      <c r="R50" s="3409" t="e">
        <f>IF(F1="售价",ROUND(AVERAGE(R49:V49),0),ROUND(AVERAGE(R49:V49),1))</f>
        <v>#DIV/0!</v>
      </c>
      <c r="S50" s="3409"/>
      <c r="T50" s="3409"/>
      <c r="U50" s="3409"/>
      <c r="V50" s="3409"/>
      <c r="W50" s="3409"/>
      <c r="X50" s="1561"/>
      <c r="Y50" s="1561"/>
      <c r="Z50" s="1561"/>
      <c r="AA50" s="1561"/>
      <c r="AB50" s="1561"/>
      <c r="AC50" s="1561"/>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7" customFormat="1" ht="13.5" customHeight="1">
      <c r="A55" s="2147"/>
      <c r="B55" s="214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7"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6" t="s">
        <v>575</v>
      </c>
      <c r="B58" s="1561"/>
      <c r="C58" s="1585"/>
      <c r="D58" s="1585"/>
      <c r="E58" s="1585"/>
      <c r="F58" s="1587"/>
      <c r="G58" s="1587"/>
      <c r="H58" s="1585"/>
      <c r="I58" s="1585"/>
      <c r="J58" s="1585"/>
      <c r="K58" s="1588"/>
      <c r="L58" s="1584"/>
      <c r="M58" s="1585"/>
      <c r="N58" s="1585"/>
      <c r="O58" s="1585"/>
      <c r="P58" s="2211"/>
      <c r="Q58" s="2159"/>
      <c r="R58" s="2146"/>
      <c r="S58" s="2146"/>
      <c r="T58" s="2146"/>
      <c r="U58" s="2146"/>
      <c r="V58" s="2146"/>
      <c r="W58" s="2146"/>
      <c r="X58" s="2146"/>
      <c r="Y58" s="2146"/>
      <c r="Z58" s="2146"/>
      <c r="AA58" s="2146"/>
      <c r="AB58" s="2146"/>
      <c r="AC58" s="2146"/>
    </row>
    <row r="59" spans="1:29" s="1349" customFormat="1" ht="15">
      <c r="A59" s="648" t="s">
        <v>530</v>
      </c>
      <c r="B59" s="649"/>
      <c r="C59" s="2829" t="str">
        <f>YEAR(C7)&amp;"-"&amp;MONTH(C7)</f>
        <v>2017-10</v>
      </c>
      <c r="D59" s="2831">
        <f>EDATE(C59,-1)</f>
        <v>42979</v>
      </c>
      <c r="E59" s="2831">
        <f t="shared" ref="E59:O59" si="16">EDATE(D59,-1)</f>
        <v>42948</v>
      </c>
      <c r="F59" s="2831">
        <f t="shared" si="16"/>
        <v>42917</v>
      </c>
      <c r="G59" s="2831">
        <f t="shared" si="16"/>
        <v>42887</v>
      </c>
      <c r="H59" s="2831">
        <f t="shared" si="16"/>
        <v>42856</v>
      </c>
      <c r="I59" s="2831">
        <f t="shared" si="16"/>
        <v>42826</v>
      </c>
      <c r="J59" s="2831">
        <f t="shared" si="16"/>
        <v>42795</v>
      </c>
      <c r="K59" s="2831">
        <f t="shared" si="16"/>
        <v>42767</v>
      </c>
      <c r="L59" s="2831">
        <f t="shared" si="16"/>
        <v>42736</v>
      </c>
      <c r="M59" s="2831">
        <f t="shared" si="16"/>
        <v>42705</v>
      </c>
      <c r="N59" s="2831">
        <f t="shared" si="16"/>
        <v>42675</v>
      </c>
      <c r="O59" s="2831">
        <f t="shared" si="16"/>
        <v>42644</v>
      </c>
      <c r="P59" s="2212"/>
      <c r="Q59" s="2162"/>
      <c r="R59" s="2162"/>
      <c r="S59" s="2162"/>
      <c r="T59" s="2162"/>
      <c r="U59" s="2162"/>
      <c r="V59" s="2162"/>
      <c r="W59" s="2162"/>
      <c r="X59" s="2162"/>
      <c r="Y59" s="2162"/>
      <c r="Z59" s="2162"/>
      <c r="AA59" s="2162"/>
      <c r="AB59" s="2162"/>
      <c r="AC59" s="2162"/>
    </row>
    <row r="60" spans="1:29" s="1222" customFormat="1" ht="15">
      <c r="A60" s="650"/>
      <c r="B60" s="651"/>
      <c r="C60" s="652">
        <v>100</v>
      </c>
      <c r="D60" s="653"/>
      <c r="E60" s="653"/>
      <c r="F60" s="653"/>
      <c r="G60" s="653"/>
      <c r="H60" s="653"/>
      <c r="I60" s="653"/>
      <c r="J60" s="653"/>
      <c r="K60" s="653"/>
      <c r="L60" s="653"/>
      <c r="M60" s="654"/>
      <c r="N60" s="653"/>
      <c r="O60" s="654"/>
      <c r="P60" s="2213"/>
      <c r="Q60" s="1994"/>
      <c r="R60" s="1994"/>
      <c r="S60" s="1994"/>
      <c r="T60" s="1994"/>
      <c r="U60" s="1994"/>
      <c r="V60" s="1994"/>
      <c r="W60" s="1994"/>
      <c r="X60" s="1994"/>
      <c r="Y60" s="1994"/>
      <c r="Z60" s="1994"/>
      <c r="AA60" s="1994"/>
      <c r="AB60" s="1994"/>
      <c r="AC60" s="1994"/>
    </row>
    <row r="61" spans="1:29" s="1222" customFormat="1" ht="15.75" thickBot="1">
      <c r="A61" s="656" t="s">
        <v>576</v>
      </c>
      <c r="B61" s="657"/>
      <c r="C61" s="658"/>
      <c r="D61" s="659"/>
      <c r="E61" s="659"/>
      <c r="F61" s="659"/>
      <c r="G61" s="659"/>
      <c r="H61" s="659"/>
      <c r="I61" s="659"/>
      <c r="J61" s="659"/>
      <c r="K61" s="659"/>
      <c r="L61" s="659"/>
      <c r="M61" s="660"/>
      <c r="N61" s="659"/>
      <c r="O61" s="660"/>
      <c r="P61" s="2213"/>
      <c r="Q61" s="2159"/>
      <c r="R61" s="1994"/>
      <c r="S61" s="1994"/>
      <c r="T61" s="1994"/>
      <c r="U61" s="1994"/>
      <c r="V61" s="1994"/>
      <c r="W61" s="1994"/>
      <c r="X61" s="1994"/>
      <c r="Y61" s="1994"/>
      <c r="Z61" s="1994"/>
      <c r="AA61" s="1994"/>
      <c r="AB61" s="1994"/>
      <c r="AC61" s="1994"/>
    </row>
    <row r="62" spans="1:29" s="1222" customFormat="1" ht="15">
      <c r="A62" s="662" t="s">
        <v>532</v>
      </c>
      <c r="B62" s="651"/>
      <c r="C62" s="663" t="s">
        <v>577</v>
      </c>
      <c r="D62" s="664"/>
      <c r="E62" s="664"/>
      <c r="F62" s="664"/>
      <c r="G62" s="664"/>
      <c r="H62" s="664"/>
      <c r="I62" s="664"/>
      <c r="J62" s="664"/>
      <c r="K62" s="664"/>
      <c r="L62" s="665"/>
      <c r="M62" s="666"/>
      <c r="N62" s="2163"/>
      <c r="O62" s="2163"/>
      <c r="P62" s="2214"/>
      <c r="Q62" s="2159"/>
      <c r="R62" s="1994"/>
      <c r="S62" s="1994"/>
      <c r="T62" s="1994"/>
      <c r="U62" s="1994"/>
      <c r="V62" s="1994"/>
      <c r="W62" s="1994"/>
      <c r="X62" s="1994"/>
      <c r="Y62" s="1994"/>
      <c r="Z62" s="1994"/>
      <c r="AA62" s="1994"/>
      <c r="AB62" s="1994"/>
      <c r="AC62" s="1994"/>
    </row>
    <row r="63" spans="1:29" s="1222" customFormat="1" ht="15.75" thickBot="1">
      <c r="A63" s="662"/>
      <c r="B63" s="651"/>
      <c r="C63" s="891">
        <v>100</v>
      </c>
      <c r="D63" s="653"/>
      <c r="E63" s="653"/>
      <c r="F63" s="653"/>
      <c r="G63" s="653"/>
      <c r="H63" s="653"/>
      <c r="I63" s="653"/>
      <c r="J63" s="653"/>
      <c r="K63" s="653"/>
      <c r="L63" s="653"/>
      <c r="M63" s="655"/>
      <c r="N63" s="2163"/>
      <c r="O63" s="2163"/>
      <c r="P63" s="2213"/>
      <c r="Q63" s="2159"/>
      <c r="R63" s="1994"/>
      <c r="S63" s="1994"/>
      <c r="T63" s="1994"/>
      <c r="U63" s="1994"/>
      <c r="V63" s="1994"/>
      <c r="W63" s="1994"/>
      <c r="X63" s="1994"/>
      <c r="Y63" s="1994"/>
      <c r="Z63" s="1994"/>
      <c r="AA63" s="1994"/>
      <c r="AB63" s="1994"/>
      <c r="AC63" s="1994"/>
    </row>
    <row r="64" spans="1:29">
      <c r="A64" s="667" t="s">
        <v>578</v>
      </c>
      <c r="B64" s="668" t="s">
        <v>535</v>
      </c>
      <c r="C64" s="707">
        <f>C9</f>
        <v>0</v>
      </c>
      <c r="D64" s="601"/>
      <c r="E64" s="601"/>
      <c r="F64" s="601"/>
      <c r="G64" s="601"/>
      <c r="H64" s="601"/>
      <c r="I64" s="601"/>
      <c r="J64" s="601"/>
      <c r="K64" s="669"/>
      <c r="L64" s="670"/>
      <c r="M64" s="671"/>
      <c r="N64" s="2165"/>
      <c r="O64" s="2165"/>
      <c r="P64" s="2215"/>
      <c r="Q64" s="2159"/>
      <c r="R64" s="2146"/>
      <c r="S64" s="2146"/>
      <c r="T64" s="2146"/>
      <c r="U64" s="2146"/>
      <c r="V64" s="2146"/>
      <c r="W64" s="2146"/>
      <c r="X64" s="2146"/>
      <c r="Y64" s="2146"/>
      <c r="Z64" s="2146"/>
      <c r="AA64" s="2146"/>
      <c r="AB64" s="2146"/>
      <c r="AC64" s="2146"/>
    </row>
    <row r="65" spans="1:29" ht="15.75" thickBot="1">
      <c r="A65" s="672"/>
      <c r="B65" s="673"/>
      <c r="C65" s="674"/>
      <c r="D65" s="674"/>
      <c r="E65" s="674"/>
      <c r="F65" s="674"/>
      <c r="G65" s="674"/>
      <c r="H65" s="674"/>
      <c r="I65" s="674"/>
      <c r="J65" s="674"/>
      <c r="K65" s="674"/>
      <c r="L65" s="674"/>
      <c r="M65" s="675"/>
      <c r="N65" s="2167"/>
      <c r="O65" s="2167"/>
      <c r="P65" s="2215"/>
      <c r="Q65" s="2159"/>
      <c r="R65" s="2146"/>
      <c r="S65" s="2146"/>
      <c r="T65" s="2146"/>
      <c r="U65" s="2146"/>
      <c r="V65" s="2146"/>
      <c r="W65" s="2146"/>
      <c r="X65" s="2146"/>
      <c r="Y65" s="2146"/>
      <c r="Z65" s="2146"/>
      <c r="AA65" s="2146"/>
      <c r="AB65" s="2146"/>
      <c r="AC65" s="2146"/>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5"/>
      <c r="O66" s="2165"/>
      <c r="P66" s="2215"/>
      <c r="Q66" s="2159"/>
      <c r="R66" s="2146"/>
      <c r="S66" s="2146"/>
      <c r="T66" s="2146"/>
      <c r="U66" s="2146"/>
      <c r="V66" s="2146"/>
      <c r="W66" s="2146"/>
      <c r="X66" s="2146"/>
      <c r="Y66" s="2146"/>
      <c r="Z66" s="2146"/>
      <c r="AA66" s="2146"/>
      <c r="AB66" s="2146"/>
      <c r="AC66" s="214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7"/>
      <c r="O67" s="2167"/>
      <c r="P67" s="2215"/>
      <c r="Q67" s="2159"/>
      <c r="R67" s="2146"/>
      <c r="S67" s="2146"/>
      <c r="T67" s="2146"/>
      <c r="U67" s="2146"/>
      <c r="V67" s="2146"/>
      <c r="W67" s="2146"/>
      <c r="X67" s="2146"/>
      <c r="Y67" s="2146"/>
      <c r="Z67" s="2146"/>
      <c r="AA67" s="2146"/>
      <c r="AB67" s="2146"/>
      <c r="AC67" s="214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2"/>
      <c r="B69" s="686"/>
      <c r="C69" s="544"/>
      <c r="D69" s="544"/>
      <c r="E69" s="544"/>
      <c r="F69" s="544"/>
      <c r="G69" s="544"/>
      <c r="H69" s="544"/>
      <c r="I69" s="544"/>
      <c r="J69" s="544"/>
      <c r="K69" s="687"/>
      <c r="L69" s="688"/>
      <c r="M69" s="689"/>
      <c r="N69" s="2165"/>
      <c r="O69" s="2165"/>
      <c r="P69" s="2215"/>
      <c r="Q69" s="2159"/>
      <c r="R69" s="2146"/>
      <c r="S69" s="2146"/>
      <c r="T69" s="2146"/>
      <c r="U69" s="2146"/>
      <c r="V69" s="2146"/>
      <c r="W69" s="2146"/>
      <c r="X69" s="2146"/>
      <c r="Y69" s="2146"/>
      <c r="Z69" s="2146"/>
      <c r="AA69" s="2146"/>
      <c r="AB69" s="2146"/>
      <c r="AC69" s="214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7"/>
      <c r="O70" s="2167"/>
      <c r="P70" s="2215"/>
      <c r="Q70" s="2159"/>
      <c r="R70" s="2146"/>
      <c r="S70" s="2146"/>
      <c r="T70" s="2146"/>
      <c r="U70" s="2146"/>
      <c r="V70" s="2146"/>
      <c r="W70" s="2146"/>
      <c r="X70" s="2146"/>
      <c r="Y70" s="2146"/>
      <c r="Z70" s="2146"/>
      <c r="AA70" s="2146"/>
      <c r="AB70" s="2146"/>
      <c r="AC70" s="2146"/>
    </row>
    <row r="71" spans="1:29" s="1341" customFormat="1" ht="15.75" thickTop="1">
      <c r="A71" s="690"/>
      <c r="B71" s="676">
        <f>B12</f>
        <v>111</v>
      </c>
      <c r="C71" s="691"/>
      <c r="D71" s="691"/>
      <c r="E71" s="691"/>
      <c r="F71" s="691"/>
      <c r="G71" s="691"/>
      <c r="H71" s="692"/>
      <c r="I71" s="692"/>
      <c r="J71" s="692"/>
      <c r="K71" s="692"/>
      <c r="L71" s="693"/>
      <c r="M71" s="694"/>
      <c r="N71" s="2168"/>
      <c r="O71" s="2168"/>
      <c r="P71" s="2216"/>
      <c r="Q71" s="2170"/>
      <c r="R71" s="2171"/>
      <c r="S71" s="2171"/>
      <c r="T71" s="2171"/>
      <c r="U71" s="2171"/>
      <c r="V71" s="2171"/>
      <c r="W71" s="2171"/>
      <c r="X71" s="2171"/>
      <c r="Y71" s="2171"/>
      <c r="Z71" s="2171"/>
      <c r="AA71" s="2171"/>
      <c r="AB71" s="2171"/>
      <c r="AC71" s="2171"/>
    </row>
    <row r="72" spans="1:29" s="1341" customFormat="1" ht="15.75" thickBot="1">
      <c r="A72" s="690"/>
      <c r="B72" s="681"/>
      <c r="C72" s="695"/>
      <c r="D72" s="674"/>
      <c r="E72" s="674"/>
      <c r="F72" s="674"/>
      <c r="G72" s="674"/>
      <c r="H72" s="674"/>
      <c r="I72" s="674"/>
      <c r="J72" s="674"/>
      <c r="K72" s="674"/>
      <c r="L72" s="674"/>
      <c r="M72" s="675"/>
      <c r="N72" s="2167"/>
      <c r="O72" s="2167"/>
      <c r="P72" s="2216"/>
      <c r="Q72" s="2170"/>
      <c r="R72" s="2171"/>
      <c r="S72" s="2171"/>
      <c r="T72" s="2171"/>
      <c r="U72" s="2171"/>
      <c r="V72" s="2171"/>
      <c r="W72" s="2171"/>
      <c r="X72" s="2171"/>
      <c r="Y72" s="2171"/>
      <c r="Z72" s="2171"/>
      <c r="AA72" s="2171"/>
      <c r="AB72" s="2171"/>
      <c r="AC72" s="2171"/>
    </row>
    <row r="73" spans="1:29" s="1341" customFormat="1" ht="15.75" thickTop="1">
      <c r="A73" s="690"/>
      <c r="B73" s="676">
        <f>B13</f>
        <v>111</v>
      </c>
      <c r="C73" s="691"/>
      <c r="D73" s="691"/>
      <c r="E73" s="691"/>
      <c r="F73" s="691"/>
      <c r="G73" s="691"/>
      <c r="H73" s="692"/>
      <c r="I73" s="692"/>
      <c r="J73" s="692"/>
      <c r="K73" s="692"/>
      <c r="L73" s="693"/>
      <c r="M73" s="694"/>
      <c r="N73" s="2168"/>
      <c r="O73" s="2168"/>
      <c r="P73" s="2217"/>
      <c r="Q73" s="2173"/>
      <c r="R73" s="2171"/>
      <c r="S73" s="2171"/>
      <c r="T73" s="2171"/>
      <c r="U73" s="2171"/>
      <c r="V73" s="2171"/>
      <c r="W73" s="2171"/>
      <c r="X73" s="2171"/>
      <c r="Y73" s="2171"/>
      <c r="Z73" s="2171"/>
      <c r="AA73" s="2171"/>
      <c r="AB73" s="2171"/>
      <c r="AC73" s="2171"/>
    </row>
    <row r="74" spans="1:29" s="1341" customFormat="1" ht="15.75" thickBot="1">
      <c r="A74" s="690"/>
      <c r="B74" s="681"/>
      <c r="C74" s="695"/>
      <c r="D74" s="695"/>
      <c r="E74" s="695"/>
      <c r="F74" s="695"/>
      <c r="G74" s="695"/>
      <c r="H74" s="696"/>
      <c r="I74" s="696"/>
      <c r="J74" s="696"/>
      <c r="K74" s="696"/>
      <c r="L74" s="696"/>
      <c r="M74" s="697"/>
      <c r="N74" s="2168"/>
      <c r="O74" s="2168"/>
      <c r="P74" s="2216"/>
      <c r="Q74" s="2170"/>
      <c r="R74" s="2171"/>
      <c r="S74" s="2171"/>
      <c r="T74" s="2171"/>
      <c r="U74" s="2171"/>
      <c r="V74" s="2171"/>
      <c r="W74" s="2171"/>
      <c r="X74" s="2171"/>
      <c r="Y74" s="2171"/>
      <c r="Z74" s="2171"/>
      <c r="AA74" s="2171"/>
      <c r="AB74" s="2171"/>
      <c r="AC74" s="2171"/>
    </row>
    <row r="75" spans="1:29" s="1341" customFormat="1" ht="15.75" thickTop="1">
      <c r="A75" s="690"/>
      <c r="B75" s="684">
        <f>B14</f>
        <v>111</v>
      </c>
      <c r="C75" s="664"/>
      <c r="D75" s="664"/>
      <c r="E75" s="664"/>
      <c r="F75" s="664"/>
      <c r="G75" s="664"/>
      <c r="H75" s="698"/>
      <c r="I75" s="698"/>
      <c r="J75" s="698"/>
      <c r="K75" s="698"/>
      <c r="L75" s="699"/>
      <c r="M75" s="700"/>
      <c r="N75" s="2168"/>
      <c r="O75" s="2168"/>
      <c r="P75" s="2218"/>
      <c r="Q75" s="2170"/>
      <c r="R75" s="2171"/>
      <c r="S75" s="2171"/>
      <c r="T75" s="2171"/>
      <c r="U75" s="2171"/>
      <c r="V75" s="2171"/>
      <c r="W75" s="2171"/>
      <c r="X75" s="2171"/>
      <c r="Y75" s="2171"/>
      <c r="Z75" s="2171"/>
      <c r="AA75" s="2171"/>
      <c r="AB75" s="2171"/>
      <c r="AC75" s="2171"/>
    </row>
    <row r="76" spans="1:29" s="1341" customFormat="1" ht="15.75" thickBot="1">
      <c r="A76" s="701"/>
      <c r="B76" s="702"/>
      <c r="C76" s="703"/>
      <c r="D76" s="703"/>
      <c r="E76" s="703"/>
      <c r="F76" s="703"/>
      <c r="G76" s="703"/>
      <c r="H76" s="704"/>
      <c r="I76" s="704"/>
      <c r="J76" s="704"/>
      <c r="K76" s="704"/>
      <c r="L76" s="704"/>
      <c r="M76" s="705"/>
      <c r="N76" s="2168"/>
      <c r="O76" s="2168"/>
      <c r="P76" s="2216"/>
      <c r="Q76" s="2170"/>
      <c r="R76" s="2171"/>
      <c r="S76" s="2171"/>
      <c r="T76" s="2171"/>
      <c r="U76" s="2171"/>
      <c r="V76" s="2171"/>
      <c r="W76" s="2171"/>
      <c r="X76" s="2171"/>
      <c r="Y76" s="2171"/>
      <c r="Z76" s="2171"/>
      <c r="AA76" s="2171"/>
      <c r="AB76" s="2171"/>
      <c r="AC76" s="2171"/>
    </row>
    <row r="77" spans="1:29">
      <c r="A77" s="667" t="s">
        <v>540</v>
      </c>
      <c r="B77" s="668" t="s">
        <v>586</v>
      </c>
      <c r="C77" s="706" t="s">
        <v>580</v>
      </c>
      <c r="D77" s="706" t="s">
        <v>581</v>
      </c>
      <c r="E77" s="706" t="s">
        <v>582</v>
      </c>
      <c r="F77" s="706" t="s">
        <v>583</v>
      </c>
      <c r="G77" s="706" t="s">
        <v>584</v>
      </c>
      <c r="H77" s="707"/>
      <c r="I77" s="707"/>
      <c r="J77" s="707"/>
      <c r="K77" s="708"/>
      <c r="L77" s="709"/>
      <c r="M77" s="710"/>
      <c r="N77" s="2165"/>
      <c r="O77" s="2165"/>
      <c r="P77" s="2219"/>
      <c r="Q77" s="2159"/>
      <c r="R77" s="2146"/>
      <c r="S77" s="2146"/>
      <c r="T77" s="2146"/>
      <c r="U77" s="2146"/>
      <c r="V77" s="2146"/>
      <c r="W77" s="2146"/>
      <c r="X77" s="2146"/>
      <c r="Y77" s="2146"/>
      <c r="Z77" s="2146"/>
      <c r="AA77" s="2146"/>
      <c r="AB77" s="2146"/>
      <c r="AC77" s="214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7"/>
      <c r="O78" s="2167"/>
      <c r="P78" s="2215"/>
      <c r="Q78" s="2159"/>
      <c r="R78" s="2146"/>
      <c r="S78" s="2146"/>
      <c r="T78" s="2146"/>
      <c r="U78" s="2146"/>
      <c r="V78" s="2146"/>
      <c r="W78" s="2146"/>
      <c r="X78" s="2146"/>
      <c r="Y78" s="2146"/>
      <c r="Z78" s="2146"/>
      <c r="AA78" s="2146"/>
      <c r="AB78" s="2146"/>
      <c r="AC78" s="2146"/>
    </row>
    <row r="79" spans="1:29" ht="15.75" thickTop="1">
      <c r="A79" s="672"/>
      <c r="B79" s="676" t="s">
        <v>587</v>
      </c>
      <c r="C79" s="711" t="s">
        <v>580</v>
      </c>
      <c r="D79" s="711" t="s">
        <v>581</v>
      </c>
      <c r="E79" s="711" t="s">
        <v>582</v>
      </c>
      <c r="F79" s="711" t="s">
        <v>583</v>
      </c>
      <c r="G79" s="711" t="s">
        <v>584</v>
      </c>
      <c r="H79" s="677"/>
      <c r="I79" s="677"/>
      <c r="J79" s="677"/>
      <c r="K79" s="678"/>
      <c r="L79" s="679"/>
      <c r="M79" s="680"/>
      <c r="N79" s="2165"/>
      <c r="O79" s="2165"/>
      <c r="P79" s="2215"/>
      <c r="Q79" s="2159"/>
      <c r="R79" s="2146"/>
      <c r="S79" s="2146"/>
      <c r="T79" s="2146"/>
      <c r="U79" s="2146"/>
      <c r="V79" s="2146"/>
      <c r="W79" s="2146"/>
      <c r="X79" s="2146"/>
      <c r="Y79" s="2146"/>
      <c r="Z79" s="2146"/>
      <c r="AA79" s="2146"/>
      <c r="AB79" s="2146"/>
      <c r="AC79" s="214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7"/>
      <c r="O80" s="2167"/>
      <c r="P80" s="2215"/>
      <c r="Q80" s="2159"/>
      <c r="R80" s="2146"/>
      <c r="S80" s="2146"/>
      <c r="T80" s="2146"/>
      <c r="U80" s="2146"/>
      <c r="V80" s="2146"/>
      <c r="W80" s="2146"/>
      <c r="X80" s="2146"/>
      <c r="Y80" s="2146"/>
      <c r="Z80" s="2146"/>
      <c r="AA80" s="2146"/>
      <c r="AB80" s="2146"/>
      <c r="AC80" s="2146"/>
    </row>
    <row r="81" spans="1:29" ht="15.75" thickTop="1">
      <c r="A81" s="672"/>
      <c r="B81" s="1897" t="s">
        <v>2562</v>
      </c>
      <c r="C81" s="711" t="s">
        <v>580</v>
      </c>
      <c r="D81" s="711" t="s">
        <v>581</v>
      </c>
      <c r="E81" s="711" t="s">
        <v>582</v>
      </c>
      <c r="F81" s="711" t="s">
        <v>583</v>
      </c>
      <c r="G81" s="711" t="s">
        <v>584</v>
      </c>
      <c r="H81" s="677"/>
      <c r="I81" s="677"/>
      <c r="J81" s="677"/>
      <c r="K81" s="678"/>
      <c r="L81" s="679"/>
      <c r="M81" s="680"/>
      <c r="N81" s="2165"/>
      <c r="O81" s="2165"/>
      <c r="P81" s="2215"/>
      <c r="Q81" s="2159"/>
      <c r="R81" s="2146"/>
      <c r="S81" s="2146"/>
      <c r="T81" s="2146"/>
      <c r="U81" s="2146"/>
      <c r="V81" s="2146"/>
      <c r="W81" s="2146"/>
      <c r="X81" s="2146"/>
      <c r="Y81" s="2146"/>
      <c r="Z81" s="2146"/>
      <c r="AA81" s="2146"/>
      <c r="AB81" s="2146"/>
      <c r="AC81" s="214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7"/>
      <c r="O82" s="2167"/>
      <c r="P82" s="2215"/>
      <c r="Q82" s="2159"/>
      <c r="R82" s="2146"/>
      <c r="S82" s="2146"/>
      <c r="T82" s="2146"/>
      <c r="U82" s="2146"/>
      <c r="V82" s="2146"/>
      <c r="W82" s="2146"/>
      <c r="X82" s="2146"/>
      <c r="Y82" s="2146"/>
      <c r="Z82" s="2146"/>
      <c r="AA82" s="2146"/>
      <c r="AB82" s="2146"/>
      <c r="AC82" s="2146"/>
    </row>
    <row r="83" spans="1:29" ht="15.75" thickTop="1">
      <c r="A83" s="672"/>
      <c r="B83" s="2622" t="s">
        <v>2563</v>
      </c>
      <c r="C83" s="2623" t="s">
        <v>2564</v>
      </c>
      <c r="D83" s="2623" t="s">
        <v>2565</v>
      </c>
      <c r="E83" s="2623" t="s">
        <v>2566</v>
      </c>
      <c r="F83" s="2623" t="s">
        <v>2567</v>
      </c>
      <c r="G83" s="2623" t="s">
        <v>2568</v>
      </c>
      <c r="H83" s="677"/>
      <c r="I83" s="677"/>
      <c r="J83" s="677"/>
      <c r="K83" s="677"/>
      <c r="L83" s="677"/>
      <c r="M83" s="2626"/>
      <c r="N83" s="2167"/>
      <c r="O83" s="2167"/>
      <c r="P83" s="2215"/>
      <c r="Q83" s="2159"/>
      <c r="R83" s="2146"/>
      <c r="S83" s="2146"/>
      <c r="T83" s="2146"/>
      <c r="U83" s="2146"/>
      <c r="V83" s="2146"/>
      <c r="W83" s="2146"/>
      <c r="X83" s="2146"/>
      <c r="Y83" s="2146"/>
      <c r="Z83" s="2146"/>
      <c r="AA83" s="2146"/>
      <c r="AB83" s="2146"/>
      <c r="AC83" s="2146"/>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7"/>
      <c r="O84" s="2167"/>
      <c r="P84" s="2215"/>
      <c r="Q84" s="2159"/>
      <c r="R84" s="2146"/>
      <c r="S84" s="2146"/>
      <c r="T84" s="2146"/>
      <c r="U84" s="2146"/>
      <c r="V84" s="2146"/>
      <c r="W84" s="2146"/>
      <c r="X84" s="2146"/>
      <c r="Y84" s="2146"/>
      <c r="Z84" s="2146"/>
      <c r="AA84" s="2146"/>
      <c r="AB84" s="2146"/>
      <c r="AC84" s="2146"/>
    </row>
    <row r="85" spans="1:29" ht="15.75" thickTop="1">
      <c r="A85" s="672"/>
      <c r="B85" s="676" t="s">
        <v>785</v>
      </c>
      <c r="C85" s="711" t="s">
        <v>580</v>
      </c>
      <c r="D85" s="711" t="s">
        <v>581</v>
      </c>
      <c r="E85" s="711" t="s">
        <v>582</v>
      </c>
      <c r="F85" s="711" t="s">
        <v>583</v>
      </c>
      <c r="G85" s="711" t="s">
        <v>584</v>
      </c>
      <c r="H85" s="677"/>
      <c r="I85" s="677"/>
      <c r="J85" s="677"/>
      <c r="K85" s="678"/>
      <c r="L85" s="679"/>
      <c r="M85" s="680"/>
      <c r="N85" s="2165"/>
      <c r="O85" s="2165"/>
      <c r="P85" s="2215"/>
      <c r="Q85" s="2159"/>
      <c r="R85" s="2146"/>
      <c r="S85" s="2146"/>
      <c r="T85" s="2146"/>
      <c r="U85" s="2146"/>
      <c r="V85" s="2146"/>
      <c r="W85" s="2146"/>
      <c r="X85" s="2146"/>
      <c r="Y85" s="2146"/>
      <c r="Z85" s="2146"/>
      <c r="AA85" s="2146"/>
      <c r="AB85" s="2146"/>
      <c r="AC85" s="214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7"/>
      <c r="O86" s="2167"/>
      <c r="P86" s="2215"/>
      <c r="Q86" s="2159"/>
      <c r="R86" s="2146"/>
      <c r="S86" s="2146"/>
      <c r="T86" s="2146"/>
      <c r="U86" s="2146"/>
      <c r="V86" s="2146"/>
      <c r="W86" s="2146"/>
      <c r="X86" s="2146"/>
      <c r="Y86" s="2146"/>
      <c r="Z86" s="2146"/>
      <c r="AA86" s="2146"/>
      <c r="AB86" s="2146"/>
      <c r="AC86" s="2146"/>
    </row>
    <row r="87" spans="1:29" s="1222" customFormat="1" ht="27.75" thickTop="1">
      <c r="A87" s="712"/>
      <c r="B87" s="676" t="s">
        <v>786</v>
      </c>
      <c r="C87" s="691"/>
      <c r="D87" s="691"/>
      <c r="E87" s="691"/>
      <c r="F87" s="691"/>
      <c r="G87" s="691"/>
      <c r="H87" s="691"/>
      <c r="I87" s="691"/>
      <c r="J87" s="691"/>
      <c r="K87" s="691"/>
      <c r="L87" s="892"/>
      <c r="M87" s="893"/>
      <c r="N87" s="2163"/>
      <c r="O87" s="2163"/>
      <c r="P87" s="2215"/>
      <c r="Q87" s="2159"/>
      <c r="R87" s="1994"/>
      <c r="S87" s="1994"/>
      <c r="T87" s="1994"/>
      <c r="U87" s="1994"/>
      <c r="V87" s="1994"/>
      <c r="W87" s="1994"/>
      <c r="X87" s="1994"/>
      <c r="Y87" s="1994"/>
      <c r="Z87" s="1994"/>
      <c r="AA87" s="1994"/>
      <c r="AB87" s="1994"/>
      <c r="AC87" s="1994"/>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7"/>
      <c r="O88" s="2167"/>
      <c r="P88" s="2215"/>
      <c r="Q88" s="2159"/>
      <c r="R88" s="1994"/>
      <c r="S88" s="1994"/>
      <c r="T88" s="1994"/>
      <c r="U88" s="1994"/>
      <c r="V88" s="1994"/>
      <c r="W88" s="1994"/>
      <c r="X88" s="1994"/>
      <c r="Y88" s="1994"/>
      <c r="Z88" s="1994"/>
      <c r="AA88" s="1994"/>
      <c r="AB88" s="1994"/>
      <c r="AC88" s="1994"/>
    </row>
    <row r="89" spans="1:29" s="1222" customFormat="1" ht="15.75" thickTop="1">
      <c r="A89" s="712"/>
      <c r="B89" s="676" t="str">
        <f>B27</f>
        <v>楼层</v>
      </c>
      <c r="C89" s="691"/>
      <c r="D89" s="691"/>
      <c r="E89" s="691"/>
      <c r="F89" s="894"/>
      <c r="G89" s="691"/>
      <c r="H89" s="691"/>
      <c r="I89" s="691"/>
      <c r="J89" s="691"/>
      <c r="K89" s="691"/>
      <c r="L89" s="691"/>
      <c r="M89" s="893"/>
      <c r="N89" s="2163"/>
      <c r="O89" s="2163"/>
      <c r="P89" s="2215"/>
      <c r="Q89" s="2159"/>
      <c r="R89" s="1994"/>
      <c r="S89" s="1994"/>
      <c r="T89" s="1994"/>
      <c r="U89" s="1994"/>
      <c r="V89" s="1994"/>
      <c r="W89" s="1994"/>
      <c r="X89" s="1994"/>
      <c r="Y89" s="1994"/>
      <c r="Z89" s="1994"/>
      <c r="AA89" s="1994"/>
      <c r="AB89" s="1994"/>
      <c r="AC89" s="1994"/>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7"/>
      <c r="O90" s="2167"/>
      <c r="P90" s="2215"/>
      <c r="Q90" s="2159"/>
      <c r="R90" s="1994"/>
      <c r="S90" s="1994"/>
      <c r="T90" s="1994"/>
      <c r="U90" s="1994"/>
      <c r="V90" s="1994"/>
      <c r="W90" s="1994"/>
      <c r="X90" s="1994"/>
      <c r="Y90" s="1994"/>
      <c r="Z90" s="1994"/>
      <c r="AA90" s="1994"/>
      <c r="AB90" s="1994"/>
      <c r="AC90" s="1994"/>
    </row>
    <row r="91" spans="1:29" s="1341" customFormat="1" ht="15.75" thickTop="1">
      <c r="A91" s="690"/>
      <c r="B91" s="676" t="str">
        <f>B28</f>
        <v>朝向</v>
      </c>
      <c r="C91" s="691"/>
      <c r="D91" s="691"/>
      <c r="E91" s="691"/>
      <c r="F91" s="691"/>
      <c r="G91" s="691"/>
      <c r="H91" s="692"/>
      <c r="I91" s="692"/>
      <c r="J91" s="692"/>
      <c r="K91" s="692"/>
      <c r="L91" s="693"/>
      <c r="M91" s="694"/>
      <c r="N91" s="2168"/>
      <c r="O91" s="2168"/>
      <c r="P91" s="2216"/>
      <c r="Q91" s="2170"/>
      <c r="R91" s="2171"/>
      <c r="S91" s="2171"/>
      <c r="T91" s="2171"/>
      <c r="U91" s="2171"/>
      <c r="V91" s="2171"/>
      <c r="W91" s="2171"/>
      <c r="X91" s="2171"/>
      <c r="Y91" s="2171"/>
      <c r="Z91" s="2171"/>
      <c r="AA91" s="2171"/>
      <c r="AB91" s="2171"/>
      <c r="AC91" s="2171"/>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2"/>
      <c r="B93" s="676">
        <f>B29</f>
        <v>111</v>
      </c>
      <c r="C93" s="691"/>
      <c r="D93" s="691"/>
      <c r="E93" s="691"/>
      <c r="F93" s="691"/>
      <c r="G93" s="691"/>
      <c r="H93" s="691"/>
      <c r="I93" s="691"/>
      <c r="J93" s="691"/>
      <c r="K93" s="691"/>
      <c r="L93" s="892"/>
      <c r="M93" s="893"/>
      <c r="N93" s="2165"/>
      <c r="O93" s="2165"/>
      <c r="P93" s="2215"/>
      <c r="Q93" s="2159"/>
      <c r="R93" s="2146"/>
      <c r="S93" s="2146"/>
      <c r="T93" s="2146"/>
      <c r="U93" s="2146"/>
      <c r="V93" s="2146"/>
      <c r="W93" s="2146"/>
      <c r="X93" s="2146"/>
      <c r="Y93" s="2146"/>
      <c r="Z93" s="2146"/>
      <c r="AA93" s="2146"/>
      <c r="AB93" s="2146"/>
      <c r="AC93" s="2146"/>
    </row>
    <row r="94" spans="1:29" ht="15.75" thickBot="1">
      <c r="A94" s="672"/>
      <c r="B94" s="681"/>
      <c r="C94" s="695"/>
      <c r="D94" s="674"/>
      <c r="E94" s="674"/>
      <c r="F94" s="674"/>
      <c r="G94" s="674"/>
      <c r="H94" s="674"/>
      <c r="I94" s="674"/>
      <c r="J94" s="674"/>
      <c r="K94" s="674"/>
      <c r="L94" s="674"/>
      <c r="M94" s="675"/>
      <c r="N94" s="2167"/>
      <c r="O94" s="2167"/>
      <c r="P94" s="2215"/>
      <c r="Q94" s="2159"/>
      <c r="R94" s="2146"/>
      <c r="S94" s="2146"/>
      <c r="T94" s="2146"/>
      <c r="U94" s="2146"/>
      <c r="V94" s="2146"/>
      <c r="W94" s="2146"/>
      <c r="X94" s="2146"/>
      <c r="Y94" s="2146"/>
      <c r="Z94" s="2146"/>
      <c r="AA94" s="2146"/>
      <c r="AB94" s="2146"/>
      <c r="AC94" s="2146"/>
    </row>
    <row r="95" spans="1:29" ht="15.75" thickTop="1">
      <c r="A95" s="672"/>
      <c r="B95" s="676">
        <f>B30</f>
        <v>111</v>
      </c>
      <c r="C95" s="691"/>
      <c r="D95" s="691"/>
      <c r="E95" s="691"/>
      <c r="F95" s="691"/>
      <c r="G95" s="721"/>
      <c r="H95" s="721"/>
      <c r="I95" s="721"/>
      <c r="J95" s="721"/>
      <c r="K95" s="722"/>
      <c r="L95" s="723"/>
      <c r="M95" s="724"/>
      <c r="N95" s="2165"/>
      <c r="O95" s="2165"/>
      <c r="P95" s="2215"/>
      <c r="Q95" s="2159"/>
      <c r="R95" s="2146"/>
      <c r="S95" s="2146"/>
      <c r="T95" s="2146"/>
      <c r="U95" s="2146"/>
      <c r="V95" s="2146"/>
      <c r="W95" s="2146"/>
      <c r="X95" s="2146"/>
      <c r="Y95" s="2146"/>
      <c r="Z95" s="2146"/>
      <c r="AA95" s="2146"/>
      <c r="AB95" s="2146"/>
      <c r="AC95" s="2146"/>
    </row>
    <row r="96" spans="1:29" ht="15.75" thickBot="1">
      <c r="A96" s="672"/>
      <c r="B96" s="681"/>
      <c r="C96" s="695"/>
      <c r="D96" s="695"/>
      <c r="E96" s="695"/>
      <c r="F96" s="695"/>
      <c r="G96" s="674"/>
      <c r="H96" s="674"/>
      <c r="I96" s="674"/>
      <c r="J96" s="674"/>
      <c r="K96" s="674"/>
      <c r="L96" s="674"/>
      <c r="M96" s="675"/>
      <c r="N96" s="2167"/>
      <c r="O96" s="2167"/>
      <c r="P96" s="2215"/>
      <c r="Q96" s="2159"/>
      <c r="R96" s="2146"/>
      <c r="S96" s="2146"/>
      <c r="T96" s="2146"/>
      <c r="U96" s="2146"/>
      <c r="V96" s="2146"/>
      <c r="W96" s="2146"/>
      <c r="X96" s="2146"/>
      <c r="Y96" s="2146"/>
      <c r="Z96" s="2146"/>
      <c r="AA96" s="2146"/>
      <c r="AB96" s="2146"/>
      <c r="AC96" s="2146"/>
    </row>
    <row r="97" spans="1:29" ht="15.75" thickTop="1">
      <c r="A97" s="672"/>
      <c r="B97" s="676">
        <f>B31</f>
        <v>111</v>
      </c>
      <c r="C97" s="691"/>
      <c r="D97" s="691"/>
      <c r="E97" s="691"/>
      <c r="F97" s="691"/>
      <c r="G97" s="721"/>
      <c r="H97" s="721"/>
      <c r="I97" s="721"/>
      <c r="J97" s="721"/>
      <c r="K97" s="722"/>
      <c r="L97" s="723"/>
      <c r="M97" s="724"/>
      <c r="N97" s="2165"/>
      <c r="O97" s="2165"/>
      <c r="P97" s="2215"/>
      <c r="Q97" s="2159"/>
      <c r="R97" s="2146"/>
      <c r="S97" s="2146"/>
      <c r="T97" s="2146"/>
      <c r="U97" s="2146"/>
      <c r="V97" s="2146"/>
      <c r="W97" s="2146"/>
      <c r="X97" s="2146"/>
      <c r="Y97" s="2146"/>
      <c r="Z97" s="2146"/>
      <c r="AA97" s="2146"/>
      <c r="AB97" s="2146"/>
      <c r="AC97" s="2146"/>
    </row>
    <row r="98" spans="1:29" ht="15.75" thickBot="1">
      <c r="A98" s="672"/>
      <c r="B98" s="681"/>
      <c r="C98" s="695"/>
      <c r="D98" s="674"/>
      <c r="E98" s="674"/>
      <c r="F98" s="674"/>
      <c r="G98" s="674"/>
      <c r="H98" s="674"/>
      <c r="I98" s="674"/>
      <c r="J98" s="674"/>
      <c r="K98" s="674"/>
      <c r="L98" s="674"/>
      <c r="M98" s="675"/>
      <c r="N98" s="2167"/>
      <c r="O98" s="2167"/>
      <c r="P98" s="2215"/>
      <c r="Q98" s="2159"/>
      <c r="R98" s="2146"/>
      <c r="S98" s="2146"/>
      <c r="T98" s="2146"/>
      <c r="U98" s="2146"/>
      <c r="V98" s="2146"/>
      <c r="W98" s="2146"/>
      <c r="X98" s="2146"/>
      <c r="Y98" s="2146"/>
      <c r="Z98" s="2146"/>
      <c r="AA98" s="2146"/>
      <c r="AB98" s="2146"/>
      <c r="AC98" s="2146"/>
    </row>
    <row r="99" spans="1:29" ht="15.75" thickTop="1">
      <c r="A99" s="672"/>
      <c r="B99" s="684">
        <f>B32</f>
        <v>111</v>
      </c>
      <c r="C99" s="664"/>
      <c r="D99" s="664"/>
      <c r="E99" s="664"/>
      <c r="F99" s="664"/>
      <c r="G99" s="725"/>
      <c r="H99" s="725"/>
      <c r="I99" s="725"/>
      <c r="J99" s="725"/>
      <c r="K99" s="726"/>
      <c r="L99" s="727"/>
      <c r="M99" s="728"/>
      <c r="N99" s="2165"/>
      <c r="O99" s="2165"/>
      <c r="P99" s="2215"/>
      <c r="Q99" s="2159"/>
      <c r="R99" s="2146"/>
      <c r="S99" s="2146"/>
      <c r="T99" s="2146"/>
      <c r="U99" s="2146"/>
      <c r="V99" s="2146"/>
      <c r="W99" s="2146"/>
      <c r="X99" s="2146"/>
      <c r="Y99" s="2146"/>
      <c r="Z99" s="2146"/>
      <c r="AA99" s="2146"/>
      <c r="AB99" s="2146"/>
      <c r="AC99" s="2146"/>
    </row>
    <row r="100" spans="1:29" ht="15.75" thickBot="1">
      <c r="A100" s="895"/>
      <c r="B100" s="702"/>
      <c r="C100" s="703"/>
      <c r="D100" s="703"/>
      <c r="E100" s="703"/>
      <c r="F100" s="703"/>
      <c r="G100" s="729"/>
      <c r="H100" s="729"/>
      <c r="I100" s="729"/>
      <c r="J100" s="729"/>
      <c r="K100" s="729"/>
      <c r="L100" s="729"/>
      <c r="M100" s="730"/>
      <c r="N100" s="2167"/>
      <c r="O100" s="2167"/>
      <c r="P100" s="2215"/>
      <c r="Q100" s="2159"/>
      <c r="R100" s="2146"/>
      <c r="S100" s="2146"/>
      <c r="T100" s="2146"/>
      <c r="U100" s="2146"/>
      <c r="V100" s="2146"/>
      <c r="W100" s="2146"/>
      <c r="X100" s="2146"/>
      <c r="Y100" s="2146"/>
      <c r="Z100" s="2146"/>
      <c r="AA100" s="2146"/>
      <c r="AB100" s="2146"/>
      <c r="AC100" s="2146"/>
    </row>
    <row r="101" spans="1:29">
      <c r="A101" s="667" t="s">
        <v>552</v>
      </c>
      <c r="B101" s="668" t="s">
        <v>748</v>
      </c>
      <c r="C101" s="601"/>
      <c r="D101" s="601"/>
      <c r="E101" s="601"/>
      <c r="F101" s="601"/>
      <c r="G101" s="601"/>
      <c r="H101" s="601"/>
      <c r="I101" s="601"/>
      <c r="J101" s="601"/>
      <c r="K101" s="669"/>
      <c r="L101" s="670"/>
      <c r="M101" s="671"/>
      <c r="N101" s="2165"/>
      <c r="O101" s="2165"/>
      <c r="P101" s="2215"/>
      <c r="Q101" s="2159"/>
      <c r="R101" s="2146"/>
      <c r="S101" s="2146"/>
      <c r="T101" s="2146"/>
      <c r="U101" s="2146"/>
      <c r="V101" s="2146"/>
      <c r="W101" s="2146"/>
      <c r="X101" s="2146"/>
      <c r="Y101" s="2146"/>
      <c r="Z101" s="2146"/>
      <c r="AA101" s="2146"/>
      <c r="AB101" s="2146"/>
      <c r="AC101" s="214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41" customFormat="1">
      <c r="A104" s="731"/>
      <c r="B104" s="732"/>
      <c r="C104" s="733"/>
      <c r="D104" s="733"/>
      <c r="E104" s="733"/>
      <c r="F104" s="733"/>
      <c r="G104" s="733"/>
      <c r="H104" s="733"/>
      <c r="I104" s="733"/>
      <c r="J104" s="734"/>
      <c r="K104" s="734"/>
      <c r="L104" s="735"/>
      <c r="M104" s="736"/>
      <c r="N104" s="2168"/>
      <c r="O104" s="2168"/>
      <c r="P104" s="2216"/>
      <c r="Q104" s="2170"/>
      <c r="R104" s="2171"/>
      <c r="S104" s="2171"/>
      <c r="T104" s="2171"/>
      <c r="U104" s="2171"/>
      <c r="V104" s="2171"/>
      <c r="W104" s="2171"/>
      <c r="X104" s="2171"/>
      <c r="Y104" s="2171"/>
      <c r="Z104" s="2171"/>
      <c r="AA104" s="2171"/>
      <c r="AB104" s="2171"/>
      <c r="AC104" s="2171"/>
    </row>
    <row r="105" spans="1:29" s="1341" customFormat="1" ht="15.75" thickBot="1">
      <c r="A105" s="690"/>
      <c r="B105" s="681"/>
      <c r="C105" s="695"/>
      <c r="D105" s="674"/>
      <c r="E105" s="674"/>
      <c r="F105" s="674"/>
      <c r="G105" s="674"/>
      <c r="H105" s="674"/>
      <c r="I105" s="674"/>
      <c r="J105" s="674"/>
      <c r="K105" s="674"/>
      <c r="L105" s="674"/>
      <c r="M105" s="675"/>
      <c r="N105" s="2167"/>
      <c r="O105" s="2167"/>
      <c r="P105" s="2216"/>
      <c r="Q105" s="2170"/>
      <c r="R105" s="2171"/>
      <c r="S105" s="2171"/>
      <c r="T105" s="2171"/>
      <c r="U105" s="2171"/>
      <c r="V105" s="2171"/>
      <c r="W105" s="2171"/>
      <c r="X105" s="2171"/>
      <c r="Y105" s="2171"/>
      <c r="Z105" s="2171"/>
      <c r="AA105" s="2171"/>
      <c r="AB105" s="2171"/>
      <c r="AC105" s="2171"/>
    </row>
    <row r="106" spans="1:29" ht="15" thickTop="1">
      <c r="A106" s="738"/>
      <c r="B106" s="676" t="s">
        <v>750</v>
      </c>
      <c r="C106" s="691"/>
      <c r="D106" s="691"/>
      <c r="E106" s="721"/>
      <c r="F106" s="721"/>
      <c r="G106" s="721"/>
      <c r="H106" s="721"/>
      <c r="I106" s="721"/>
      <c r="J106" s="721"/>
      <c r="K106" s="722"/>
      <c r="L106" s="723"/>
      <c r="M106" s="724"/>
      <c r="N106" s="2165"/>
      <c r="O106" s="2165"/>
      <c r="P106" s="2215"/>
      <c r="Q106" s="2159"/>
      <c r="R106" s="2146"/>
      <c r="S106" s="2146"/>
      <c r="T106" s="2146"/>
      <c r="U106" s="2146"/>
      <c r="V106" s="2146"/>
      <c r="W106" s="2146"/>
      <c r="X106" s="2146"/>
      <c r="Y106" s="2146"/>
      <c r="Z106" s="2146"/>
      <c r="AA106" s="2146"/>
      <c r="AB106" s="2146"/>
      <c r="AC106" s="214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8"/>
      <c r="B108" s="676" t="s">
        <v>752</v>
      </c>
      <c r="C108" s="691"/>
      <c r="D108" s="691"/>
      <c r="E108" s="691"/>
      <c r="F108" s="721"/>
      <c r="G108" s="721"/>
      <c r="H108" s="721"/>
      <c r="I108" s="721"/>
      <c r="J108" s="721"/>
      <c r="K108" s="722"/>
      <c r="L108" s="723"/>
      <c r="M108" s="724"/>
      <c r="N108" s="2165"/>
      <c r="O108" s="2165"/>
      <c r="P108" s="2215"/>
      <c r="Q108" s="2159"/>
      <c r="R108" s="2146"/>
      <c r="S108" s="2146"/>
      <c r="T108" s="2146"/>
      <c r="U108" s="2146"/>
      <c r="V108" s="2146"/>
      <c r="W108" s="2146"/>
      <c r="X108" s="2146"/>
      <c r="Y108" s="2146"/>
      <c r="Z108" s="2146"/>
      <c r="AA108" s="2146"/>
      <c r="AB108" s="2146"/>
      <c r="AC108" s="214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5"/>
      <c r="O110" s="2165"/>
      <c r="P110" s="2215"/>
      <c r="Q110" s="2159"/>
      <c r="R110" s="2146"/>
      <c r="S110" s="2146"/>
      <c r="T110" s="2146"/>
      <c r="U110" s="2146"/>
      <c r="V110" s="2146"/>
      <c r="W110" s="2146"/>
      <c r="X110" s="2146"/>
      <c r="Y110" s="2146"/>
      <c r="Z110" s="2146"/>
      <c r="AA110" s="2146"/>
      <c r="AB110" s="2146"/>
      <c r="AC110" s="2146"/>
    </row>
    <row r="111" spans="1:29">
      <c r="A111" s="738"/>
      <c r="B111" s="684"/>
      <c r="C111" s="896">
        <v>0.5</v>
      </c>
      <c r="D111" s="896">
        <v>0.6</v>
      </c>
      <c r="E111" s="896">
        <v>0.7</v>
      </c>
      <c r="F111" s="896">
        <v>0.8</v>
      </c>
      <c r="G111" s="896">
        <v>0.9</v>
      </c>
      <c r="H111" s="896">
        <v>1.0001</v>
      </c>
      <c r="I111" s="907"/>
      <c r="J111" s="907"/>
      <c r="K111" s="908"/>
      <c r="L111" s="909"/>
      <c r="M111" s="910"/>
      <c r="N111" s="2165"/>
      <c r="O111" s="2165"/>
      <c r="P111" s="2215"/>
      <c r="Q111" s="2159"/>
      <c r="R111" s="2146"/>
      <c r="S111" s="2146"/>
      <c r="T111" s="2146"/>
      <c r="U111" s="2146"/>
      <c r="V111" s="2146"/>
      <c r="W111" s="2146"/>
      <c r="X111" s="2146"/>
      <c r="Y111" s="2146"/>
      <c r="Z111" s="2146"/>
      <c r="AA111" s="2146"/>
      <c r="AB111" s="2146"/>
      <c r="AC111" s="214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7"/>
      <c r="O112" s="2167"/>
      <c r="P112" s="2215"/>
      <c r="Q112" s="2159"/>
      <c r="R112" s="2146"/>
      <c r="S112" s="2146"/>
      <c r="T112" s="2146"/>
      <c r="U112" s="2146"/>
      <c r="V112" s="2146"/>
      <c r="W112" s="2146"/>
      <c r="X112" s="2146"/>
      <c r="Y112" s="2146"/>
      <c r="Z112" s="2146"/>
      <c r="AA112" s="2146"/>
      <c r="AB112" s="2146"/>
      <c r="AC112" s="2146"/>
    </row>
    <row r="113" spans="1:29" s="1341" customFormat="1" ht="15" thickTop="1">
      <c r="A113" s="731"/>
      <c r="B113" s="676" t="s">
        <v>787</v>
      </c>
      <c r="C113" s="691"/>
      <c r="D113" s="691"/>
      <c r="E113" s="691"/>
      <c r="F113" s="691"/>
      <c r="G113" s="691"/>
      <c r="H113" s="721"/>
      <c r="I113" s="721"/>
      <c r="J113" s="721"/>
      <c r="K113" s="722"/>
      <c r="L113" s="723"/>
      <c r="M113" s="724"/>
      <c r="N113" s="2168"/>
      <c r="O113" s="2168"/>
      <c r="P113" s="2216"/>
      <c r="Q113" s="2170"/>
      <c r="R113" s="2171"/>
      <c r="S113" s="2171"/>
      <c r="T113" s="2171"/>
      <c r="U113" s="2171"/>
      <c r="V113" s="2171"/>
      <c r="W113" s="2171"/>
      <c r="X113" s="2171"/>
      <c r="Y113" s="2171"/>
      <c r="Z113" s="2171"/>
      <c r="AA113" s="2171"/>
      <c r="AB113" s="2171"/>
      <c r="AC113" s="2171"/>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8"/>
      <c r="B115" s="676" t="s">
        <v>754</v>
      </c>
      <c r="C115" s="691"/>
      <c r="D115" s="691"/>
      <c r="E115" s="721"/>
      <c r="F115" s="721"/>
      <c r="G115" s="721"/>
      <c r="H115" s="721"/>
      <c r="I115" s="721"/>
      <c r="J115" s="721"/>
      <c r="K115" s="722"/>
      <c r="L115" s="723"/>
      <c r="M115" s="724"/>
      <c r="N115" s="2165"/>
      <c r="O115" s="2165"/>
      <c r="P115" s="2215"/>
      <c r="Q115" s="2159"/>
      <c r="R115" s="2146"/>
      <c r="S115" s="2146"/>
      <c r="T115" s="2146"/>
      <c r="U115" s="2146"/>
      <c r="V115" s="2146"/>
      <c r="W115" s="2146"/>
      <c r="X115" s="2146"/>
      <c r="Y115" s="2146"/>
      <c r="Z115" s="2146"/>
      <c r="AA115" s="2146"/>
      <c r="AB115" s="2146"/>
      <c r="AC115" s="214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8"/>
      <c r="B117" s="1897" t="s">
        <v>2561</v>
      </c>
      <c r="C117" s="691"/>
      <c r="D117" s="691"/>
      <c r="E117" s="691"/>
      <c r="F117" s="691"/>
      <c r="G117" s="691"/>
      <c r="H117" s="721"/>
      <c r="I117" s="721"/>
      <c r="J117" s="721"/>
      <c r="K117" s="722"/>
      <c r="L117" s="723"/>
      <c r="M117" s="724"/>
      <c r="N117" s="2165"/>
      <c r="O117" s="2165"/>
      <c r="P117" s="2215"/>
      <c r="Q117" s="2159"/>
      <c r="R117" s="2146"/>
      <c r="S117" s="2146"/>
      <c r="T117" s="2146"/>
      <c r="U117" s="2146"/>
      <c r="V117" s="2146"/>
      <c r="W117" s="2146"/>
      <c r="X117" s="2146"/>
      <c r="Y117" s="2146"/>
      <c r="Z117" s="2146"/>
      <c r="AA117" s="2146"/>
      <c r="AB117" s="2146"/>
      <c r="AC117" s="214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7"/>
      <c r="O118" s="2167"/>
      <c r="P118" s="2215"/>
      <c r="Q118" s="2159"/>
      <c r="R118" s="2146"/>
      <c r="S118" s="2146"/>
      <c r="T118" s="2146"/>
      <c r="U118" s="2146"/>
      <c r="V118" s="2146"/>
      <c r="W118" s="2146"/>
      <c r="X118" s="2146"/>
      <c r="Y118" s="2146"/>
      <c r="Z118" s="2146"/>
      <c r="AA118" s="2146"/>
      <c r="AB118" s="2146"/>
      <c r="AC118" s="2146"/>
    </row>
    <row r="119" spans="1:29" ht="15" thickTop="1">
      <c r="A119" s="738"/>
      <c r="B119" s="919" t="s">
        <v>788</v>
      </c>
      <c r="C119" s="721"/>
      <c r="D119" s="721"/>
      <c r="E119" s="721"/>
      <c r="F119" s="721"/>
      <c r="G119" s="721"/>
      <c r="H119" s="721"/>
      <c r="I119" s="721"/>
      <c r="J119" s="721"/>
      <c r="K119" s="721"/>
      <c r="L119" s="920"/>
      <c r="M119" s="921"/>
      <c r="N119" s="2167"/>
      <c r="O119" s="2167"/>
      <c r="P119" s="2220"/>
      <c r="Q119" s="2207"/>
      <c r="R119" s="2146"/>
      <c r="S119" s="2146"/>
      <c r="T119" s="2146"/>
      <c r="U119" s="2146"/>
      <c r="V119" s="2146"/>
      <c r="W119" s="2146"/>
      <c r="X119" s="2146"/>
      <c r="Y119" s="2146"/>
      <c r="Z119" s="2146"/>
      <c r="AA119" s="2146"/>
      <c r="AB119" s="2146"/>
      <c r="AC119" s="214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7"/>
      <c r="O120" s="2167"/>
      <c r="P120" s="2215"/>
      <c r="Q120" s="2159"/>
      <c r="R120" s="2146"/>
      <c r="S120" s="2146"/>
      <c r="T120" s="2146"/>
      <c r="U120" s="2146"/>
      <c r="V120" s="2146"/>
      <c r="W120" s="2146"/>
      <c r="X120" s="2146"/>
      <c r="Y120" s="2146"/>
      <c r="Z120" s="2146"/>
      <c r="AA120" s="2146"/>
      <c r="AB120" s="2146"/>
      <c r="AC120" s="2146"/>
    </row>
    <row r="121" spans="1:29" s="1341" customFormat="1" ht="15" thickTop="1">
      <c r="A121" s="731"/>
      <c r="B121" s="676" t="s">
        <v>776</v>
      </c>
      <c r="C121" s="691"/>
      <c r="D121" s="691"/>
      <c r="E121" s="691"/>
      <c r="F121" s="721"/>
      <c r="G121" s="692"/>
      <c r="H121" s="692"/>
      <c r="I121" s="692"/>
      <c r="J121" s="692"/>
      <c r="K121" s="692"/>
      <c r="L121" s="693"/>
      <c r="M121" s="694"/>
      <c r="N121" s="2168"/>
      <c r="O121" s="2168"/>
      <c r="P121" s="2216"/>
      <c r="Q121" s="2170"/>
      <c r="R121" s="2171"/>
      <c r="S121" s="2171"/>
      <c r="T121" s="2171"/>
      <c r="U121" s="2171"/>
      <c r="V121" s="2171"/>
      <c r="W121" s="2171"/>
      <c r="X121" s="2171"/>
      <c r="Y121" s="2171"/>
      <c r="Z121" s="2171"/>
      <c r="AA121" s="2171"/>
      <c r="AB121" s="2171"/>
      <c r="AC121" s="2171"/>
    </row>
    <row r="122" spans="1:29" s="1341" customFormat="1" ht="15.75" thickBot="1">
      <c r="A122" s="690"/>
      <c r="B122" s="673"/>
      <c r="C122" s="695"/>
      <c r="D122" s="695"/>
      <c r="E122" s="695"/>
      <c r="F122" s="695"/>
      <c r="G122" s="695"/>
      <c r="H122" s="695"/>
      <c r="I122" s="695"/>
      <c r="J122" s="695"/>
      <c r="K122" s="695"/>
      <c r="L122" s="695"/>
      <c r="M122" s="695"/>
      <c r="N122" s="2168"/>
      <c r="O122" s="2168"/>
      <c r="P122" s="2216"/>
      <c r="Q122" s="2170"/>
      <c r="R122" s="2171"/>
      <c r="S122" s="2171"/>
      <c r="T122" s="2171"/>
      <c r="U122" s="2171"/>
      <c r="V122" s="2171"/>
      <c r="W122" s="2171"/>
      <c r="X122" s="2171"/>
      <c r="Y122" s="2171"/>
      <c r="Z122" s="2171"/>
      <c r="AA122" s="2171"/>
      <c r="AB122" s="2171"/>
      <c r="AC122" s="2171"/>
    </row>
    <row r="123" spans="1:29" ht="15" thickTop="1">
      <c r="A123" s="738"/>
      <c r="B123" s="676" t="s">
        <v>756</v>
      </c>
      <c r="C123" s="691"/>
      <c r="D123" s="691"/>
      <c r="E123" s="691"/>
      <c r="F123" s="721"/>
      <c r="G123" s="721"/>
      <c r="H123" s="721"/>
      <c r="I123" s="721"/>
      <c r="J123" s="721"/>
      <c r="K123" s="722"/>
      <c r="L123" s="723"/>
      <c r="M123" s="724"/>
      <c r="N123" s="2165"/>
      <c r="O123" s="2165"/>
      <c r="P123" s="2215"/>
      <c r="Q123" s="2159"/>
      <c r="R123" s="2146"/>
      <c r="S123" s="2146"/>
      <c r="T123" s="2146"/>
      <c r="U123" s="2146"/>
      <c r="V123" s="2146"/>
      <c r="W123" s="2146"/>
      <c r="X123" s="2146"/>
      <c r="Y123" s="2146"/>
      <c r="Z123" s="2146"/>
      <c r="AA123" s="2146"/>
      <c r="AB123" s="2146"/>
      <c r="AC123" s="214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5"/>
      <c r="O125" s="2165"/>
      <c r="P125" s="2216"/>
      <c r="Q125" s="2159"/>
      <c r="R125" s="2146"/>
      <c r="S125" s="2146"/>
      <c r="T125" s="2146"/>
      <c r="U125" s="2146"/>
      <c r="V125" s="2146"/>
      <c r="W125" s="2146"/>
      <c r="X125" s="2146"/>
      <c r="Y125" s="2146"/>
      <c r="Z125" s="2146"/>
      <c r="AA125" s="2146"/>
      <c r="AB125" s="2146"/>
      <c r="AC125" s="214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7"/>
      <c r="O126" s="2167"/>
      <c r="P126" s="2215"/>
      <c r="Q126" s="2159"/>
      <c r="R126" s="2146"/>
      <c r="S126" s="2146"/>
      <c r="T126" s="2146"/>
      <c r="U126" s="2146"/>
      <c r="V126" s="2146"/>
      <c r="W126" s="2146"/>
      <c r="X126" s="2146"/>
      <c r="Y126" s="2146"/>
      <c r="Z126" s="2146"/>
      <c r="AA126" s="2146"/>
      <c r="AB126" s="2146"/>
      <c r="AC126" s="2146"/>
    </row>
    <row r="127" spans="1:29" s="1341" customFormat="1" ht="15" thickTop="1">
      <c r="A127" s="731"/>
      <c r="B127" s="676">
        <f>B45</f>
        <v>111</v>
      </c>
      <c r="C127" s="691"/>
      <c r="D127" s="691"/>
      <c r="E127" s="691"/>
      <c r="F127" s="691"/>
      <c r="G127" s="691"/>
      <c r="H127" s="692"/>
      <c r="I127" s="692"/>
      <c r="J127" s="692"/>
      <c r="K127" s="692"/>
      <c r="L127" s="693"/>
      <c r="M127" s="694"/>
      <c r="N127" s="2168"/>
      <c r="O127" s="2168"/>
      <c r="P127" s="2216"/>
      <c r="Q127" s="2170"/>
      <c r="R127" s="2171"/>
      <c r="S127" s="2171"/>
      <c r="T127" s="2171"/>
      <c r="U127" s="2171"/>
      <c r="V127" s="2171"/>
      <c r="W127" s="2171"/>
      <c r="X127" s="2171"/>
      <c r="Y127" s="2171"/>
      <c r="Z127" s="2171"/>
      <c r="AA127" s="2171"/>
      <c r="AB127" s="2171"/>
      <c r="AC127" s="2171"/>
    </row>
    <row r="128" spans="1:29" s="1341" customFormat="1" ht="15.75" thickBot="1">
      <c r="A128" s="690"/>
      <c r="B128" s="681"/>
      <c r="C128" s="695"/>
      <c r="D128" s="674"/>
      <c r="E128" s="674"/>
      <c r="F128" s="674"/>
      <c r="G128" s="695"/>
      <c r="H128" s="696"/>
      <c r="I128" s="696"/>
      <c r="J128" s="696"/>
      <c r="K128" s="696"/>
      <c r="L128" s="696"/>
      <c r="M128" s="697"/>
      <c r="N128" s="2168"/>
      <c r="O128" s="2168"/>
      <c r="P128" s="2216"/>
      <c r="Q128" s="2170"/>
      <c r="R128" s="2171"/>
      <c r="S128" s="2171"/>
      <c r="T128" s="2171"/>
      <c r="U128" s="2171"/>
      <c r="V128" s="2171"/>
      <c r="W128" s="2171"/>
      <c r="X128" s="2171"/>
      <c r="Y128" s="2171"/>
      <c r="Z128" s="2171"/>
      <c r="AA128" s="2171"/>
      <c r="AB128" s="2171"/>
      <c r="AC128" s="2171"/>
    </row>
    <row r="129" spans="1:29" ht="15" thickTop="1">
      <c r="A129" s="738"/>
      <c r="B129" s="676">
        <f>B46</f>
        <v>111</v>
      </c>
      <c r="C129" s="691"/>
      <c r="D129" s="691"/>
      <c r="E129" s="691"/>
      <c r="F129" s="691"/>
      <c r="G129" s="721"/>
      <c r="H129" s="721"/>
      <c r="I129" s="721"/>
      <c r="J129" s="721"/>
      <c r="K129" s="722"/>
      <c r="L129" s="723"/>
      <c r="M129" s="724"/>
      <c r="N129" s="2165"/>
      <c r="O129" s="2165"/>
      <c r="P129" s="2215"/>
      <c r="Q129" s="2159"/>
      <c r="R129" s="2146"/>
      <c r="S129" s="2146"/>
      <c r="T129" s="2146"/>
      <c r="U129" s="2146"/>
      <c r="V129" s="2146"/>
      <c r="W129" s="2146"/>
      <c r="X129" s="2146"/>
      <c r="Y129" s="2146"/>
      <c r="Z129" s="2146"/>
      <c r="AA129" s="2146"/>
      <c r="AB129" s="2146"/>
      <c r="AC129" s="2146"/>
    </row>
    <row r="130" spans="1:29" ht="15.75" thickBot="1">
      <c r="A130" s="672"/>
      <c r="B130" s="681"/>
      <c r="C130" s="695"/>
      <c r="D130" s="695"/>
      <c r="E130" s="695"/>
      <c r="F130" s="695"/>
      <c r="G130" s="674"/>
      <c r="H130" s="674"/>
      <c r="I130" s="674"/>
      <c r="J130" s="674"/>
      <c r="K130" s="674"/>
      <c r="L130" s="674"/>
      <c r="M130" s="675"/>
      <c r="N130" s="2167"/>
      <c r="O130" s="2167"/>
      <c r="P130" s="2215"/>
      <c r="Q130" s="2159"/>
      <c r="R130" s="2146"/>
      <c r="S130" s="2146"/>
      <c r="T130" s="2146"/>
      <c r="U130" s="2146"/>
      <c r="V130" s="2146"/>
      <c r="W130" s="2146"/>
      <c r="X130" s="2146"/>
      <c r="Y130" s="2146"/>
      <c r="Z130" s="2146"/>
      <c r="AA130" s="2146"/>
      <c r="AB130" s="2146"/>
      <c r="AC130" s="2146"/>
    </row>
    <row r="131" spans="1:29" ht="15" thickTop="1">
      <c r="A131" s="738"/>
      <c r="B131" s="684">
        <f>B47</f>
        <v>111</v>
      </c>
      <c r="C131" s="664"/>
      <c r="D131" s="664"/>
      <c r="E131" s="664"/>
      <c r="F131" s="664"/>
      <c r="G131" s="725"/>
      <c r="H131" s="725"/>
      <c r="I131" s="725"/>
      <c r="J131" s="725"/>
      <c r="K131" s="664"/>
      <c r="L131" s="665"/>
      <c r="M131" s="728"/>
      <c r="N131" s="2165"/>
      <c r="O131" s="2165"/>
      <c r="P131" s="2215"/>
      <c r="Q131" s="2159"/>
      <c r="R131" s="2146"/>
      <c r="S131" s="2146"/>
      <c r="T131" s="2146"/>
      <c r="U131" s="2146"/>
      <c r="V131" s="2146"/>
      <c r="W131" s="2146"/>
      <c r="X131" s="2146"/>
      <c r="Y131" s="2146"/>
      <c r="Z131" s="2146"/>
      <c r="AA131" s="2146"/>
      <c r="AB131" s="2146"/>
      <c r="AC131" s="2146"/>
    </row>
    <row r="132" spans="1:29" ht="15.75" thickBot="1">
      <c r="A132" s="895"/>
      <c r="B132" s="702"/>
      <c r="C132" s="703"/>
      <c r="D132" s="703"/>
      <c r="E132" s="703"/>
      <c r="F132" s="703"/>
      <c r="G132" s="729"/>
      <c r="H132" s="729"/>
      <c r="I132" s="729"/>
      <c r="J132" s="729"/>
      <c r="K132" s="729"/>
      <c r="L132" s="729"/>
      <c r="M132" s="730"/>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4"/>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28"/>
      <c r="D2" s="2128"/>
      <c r="E2" s="2129"/>
      <c r="F2" s="2130"/>
      <c r="G2" s="2129"/>
      <c r="H2" s="2129"/>
      <c r="I2" s="2129"/>
      <c r="J2" s="2129"/>
      <c r="K2" s="2129"/>
      <c r="L2" s="2132"/>
      <c r="M2" s="2133"/>
      <c r="N2" s="2133"/>
      <c r="O2" s="2133"/>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29"/>
      <c r="F3" s="2130"/>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522</v>
      </c>
      <c r="B4" s="516"/>
      <c r="C4" s="3366" t="s">
        <v>523</v>
      </c>
      <c r="D4" s="3367"/>
      <c r="E4" s="3400" t="s">
        <v>524</v>
      </c>
      <c r="F4" s="3401"/>
      <c r="G4" s="3366" t="s">
        <v>525</v>
      </c>
      <c r="H4" s="3367"/>
      <c r="I4" s="3366" t="s">
        <v>526</v>
      </c>
      <c r="J4" s="3367"/>
      <c r="K4" s="517" t="s">
        <v>527</v>
      </c>
      <c r="L4" s="2134"/>
      <c r="M4" s="2135"/>
      <c r="N4" s="2135"/>
      <c r="O4" s="2135"/>
      <c r="P4" s="3368" t="s">
        <v>528</v>
      </c>
      <c r="Q4" s="3369"/>
      <c r="R4" s="3374" t="s">
        <v>524</v>
      </c>
      <c r="S4" s="3375"/>
      <c r="T4" s="3374" t="s">
        <v>525</v>
      </c>
      <c r="U4" s="3375"/>
      <c r="V4" s="3361" t="s">
        <v>526</v>
      </c>
      <c r="W4" s="3361"/>
      <c r="X4" s="1569"/>
      <c r="Y4" s="3374" t="s">
        <v>528</v>
      </c>
      <c r="Z4" s="3375"/>
      <c r="AA4" s="3363" t="s">
        <v>524</v>
      </c>
      <c r="AB4" s="3364" t="s">
        <v>525</v>
      </c>
      <c r="AC4" s="3363" t="s">
        <v>526</v>
      </c>
    </row>
    <row r="5" spans="1:29" ht="15">
      <c r="A5" s="518"/>
      <c r="B5" s="519"/>
      <c r="C5" s="3384" t="s">
        <v>2934</v>
      </c>
      <c r="D5" s="3383"/>
      <c r="E5" s="3417" t="s">
        <v>2935</v>
      </c>
      <c r="F5" s="3403"/>
      <c r="G5" s="3384" t="s">
        <v>2936</v>
      </c>
      <c r="H5" s="3383"/>
      <c r="I5" s="3384" t="s">
        <v>2937</v>
      </c>
      <c r="J5" s="3383"/>
      <c r="K5" s="517"/>
      <c r="L5" s="2134"/>
      <c r="M5" s="2135"/>
      <c r="N5" s="2135"/>
      <c r="O5" s="2135"/>
      <c r="P5" s="3370"/>
      <c r="Q5" s="3371"/>
      <c r="R5" s="3376"/>
      <c r="S5" s="3377"/>
      <c r="T5" s="3376"/>
      <c r="U5" s="3377"/>
      <c r="V5" s="3361"/>
      <c r="W5" s="3361"/>
      <c r="X5" s="1569"/>
      <c r="Y5" s="3376"/>
      <c r="Z5" s="3377"/>
      <c r="AA5" s="3364"/>
      <c r="AB5" s="3364"/>
      <c r="AC5" s="3364"/>
    </row>
    <row r="6" spans="1:29" ht="15.75" thickBot="1">
      <c r="A6" s="520"/>
      <c r="B6" s="521"/>
      <c r="C6" s="3404" t="s">
        <v>2938</v>
      </c>
      <c r="D6" s="3381"/>
      <c r="E6" s="3416" t="s">
        <v>2938</v>
      </c>
      <c r="F6" s="3406"/>
      <c r="G6" s="3404" t="s">
        <v>2938</v>
      </c>
      <c r="H6" s="3381"/>
      <c r="I6" s="3404" t="s">
        <v>2938</v>
      </c>
      <c r="J6" s="3381"/>
      <c r="K6" s="517" t="s">
        <v>529</v>
      </c>
      <c r="L6" s="2134"/>
      <c r="M6" s="2135"/>
      <c r="N6" s="2135"/>
      <c r="O6" s="2135"/>
      <c r="P6" s="3372"/>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c r="F7" s="525">
        <f>SUMIF(52:52,YEAR(E7)&amp;"-"&amp;MONTH(E7),53:53)</f>
        <v>0</v>
      </c>
      <c r="G7" s="524"/>
      <c r="H7" s="523">
        <f>SUMIF(52:52,YEAR(G7)&amp;"-"&amp;MONTH(G7),53:53)</f>
        <v>0</v>
      </c>
      <c r="I7" s="524"/>
      <c r="J7" s="523">
        <f>SUMIF(52:52,YEAR(I7)&amp;"-"&amp;MONTH(I7),53:53)</f>
        <v>0</v>
      </c>
      <c r="K7" s="527"/>
      <c r="L7" s="2136"/>
      <c r="M7" s="2137"/>
      <c r="N7" s="2137"/>
      <c r="O7" s="2137"/>
      <c r="P7" s="3393" t="s">
        <v>531</v>
      </c>
      <c r="Q7" s="3395"/>
      <c r="R7" s="1570" t="s">
        <v>8</v>
      </c>
      <c r="S7" s="1571">
        <f t="shared" ref="S7:S15" si="0">F7</f>
        <v>0</v>
      </c>
      <c r="T7" s="1570" t="s">
        <v>8</v>
      </c>
      <c r="U7" s="1571">
        <f t="shared" ref="U7:U15" si="1">H7</f>
        <v>0</v>
      </c>
      <c r="V7" s="1570" t="s">
        <v>8</v>
      </c>
      <c r="W7" s="1571">
        <f t="shared" ref="W7:W15"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SUMIF(55:55,E8,56:56)-SUMIF(55:55,C8,56:56)+100</f>
        <v>0</v>
      </c>
      <c r="G8" s="528"/>
      <c r="H8" s="523">
        <f>SUMIF(55:55,G8,56:56)-SUMIF(55:55,C8,56:56)+100</f>
        <v>0</v>
      </c>
      <c r="I8" s="528"/>
      <c r="J8" s="523">
        <f>SUMIF(55:55,I8,56:56)-SUMIF(55:55,C8,56:56)+100</f>
        <v>0</v>
      </c>
      <c r="K8" s="527"/>
      <c r="L8" s="2136"/>
      <c r="M8" s="2137"/>
      <c r="N8" s="2137"/>
      <c r="O8" s="2137"/>
      <c r="P8" s="3393" t="s">
        <v>534</v>
      </c>
      <c r="Q8" s="3394"/>
      <c r="R8" s="1570" t="s">
        <v>8</v>
      </c>
      <c r="S8" s="1571">
        <f t="shared" si="0"/>
        <v>0</v>
      </c>
      <c r="T8" s="1570" t="s">
        <v>8</v>
      </c>
      <c r="U8" s="1571">
        <f t="shared" si="1"/>
        <v>0</v>
      </c>
      <c r="V8" s="1570" t="s">
        <v>8</v>
      </c>
      <c r="W8" s="1571">
        <f t="shared" si="2"/>
        <v>0</v>
      </c>
      <c r="X8" s="1572"/>
      <c r="Y8" s="3393" t="s">
        <v>534</v>
      </c>
      <c r="Z8" s="3394"/>
      <c r="AA8" s="1573" t="e">
        <f t="shared" ref="AA8:AA40" si="3">D8/F8</f>
        <v>#DIV/0!</v>
      </c>
      <c r="AB8" s="1573" t="e">
        <f t="shared" ref="AB8:AB40" si="4">D8/H8</f>
        <v>#DIV/0!</v>
      </c>
      <c r="AC8" s="1573" t="e">
        <f t="shared" ref="AC8:AC40" si="5">D8/J8</f>
        <v>#DIV/0!</v>
      </c>
    </row>
    <row r="9" spans="1:29" s="1222" customFormat="1" ht="15">
      <c r="A9" s="2941"/>
      <c r="B9" s="2948" t="s">
        <v>2763</v>
      </c>
      <c r="C9" s="860"/>
      <c r="D9" s="254">
        <v>100</v>
      </c>
      <c r="E9" s="863"/>
      <c r="F9" s="254">
        <f>SUMIF(57:57,E9,58:58)-SUMIF(57:57,C9,58:58)+100</f>
        <v>100</v>
      </c>
      <c r="G9" s="861"/>
      <c r="H9" s="254">
        <f>SUMIF(57:57,G9,58:58)-SUMIF(57:57,C9,58:58)+100</f>
        <v>100</v>
      </c>
      <c r="I9" s="861"/>
      <c r="J9" s="254">
        <f>SUMIF(57:57,I9,58:58)-SUMIF(57:57,C9,58:58)+100</f>
        <v>100</v>
      </c>
      <c r="K9" s="527"/>
      <c r="L9" s="2136"/>
      <c r="M9" s="2137"/>
      <c r="N9" s="2137"/>
      <c r="O9" s="2138"/>
      <c r="P9" s="3360" t="s">
        <v>536</v>
      </c>
      <c r="Q9" s="1153" t="str">
        <f t="shared" ref="Q9:Q15" si="6">B9</f>
        <v>用途</v>
      </c>
      <c r="R9" s="1570" t="s">
        <v>8</v>
      </c>
      <c r="S9" s="1571">
        <f t="shared" si="0"/>
        <v>100</v>
      </c>
      <c r="T9" s="1570" t="s">
        <v>8</v>
      </c>
      <c r="U9" s="1571">
        <f t="shared" si="1"/>
        <v>100</v>
      </c>
      <c r="V9" s="1570" t="s">
        <v>8</v>
      </c>
      <c r="W9" s="1571">
        <f t="shared" si="2"/>
        <v>100</v>
      </c>
      <c r="X9" s="1572"/>
      <c r="Y9" s="3306"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SUMIF(59:59,E10,60:60)-SUMIF(59:59,C10,60:60)+100</f>
        <v>100</v>
      </c>
      <c r="G10" s="865"/>
      <c r="H10" s="255">
        <f>SUMIF(59:59,G10,60:60)-SUMIF(59:59,C10,60:60)+100</f>
        <v>100</v>
      </c>
      <c r="I10" s="864"/>
      <c r="J10" s="255">
        <f>SUMIF(59:59,I10,60:60)-SUMIF(59:59,C10,60:60)+100</f>
        <v>100</v>
      </c>
      <c r="K10" s="587"/>
      <c r="L10" s="2139"/>
      <c r="M10" s="2179"/>
      <c r="N10" s="2179"/>
      <c r="O10" s="2140"/>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1"/>
      <c r="M11" s="2135"/>
      <c r="N11" s="2135"/>
      <c r="O11" s="2142"/>
      <c r="P11" s="3360"/>
      <c r="Q11" s="1153" t="str">
        <f t="shared" si="6"/>
        <v>容积率</v>
      </c>
      <c r="R11" s="1570" t="s">
        <v>8</v>
      </c>
      <c r="S11" s="1571" t="e">
        <f t="shared" si="0"/>
        <v>#N/A</v>
      </c>
      <c r="T11" s="1570" t="s">
        <v>8</v>
      </c>
      <c r="U11" s="1571" t="e">
        <f t="shared" si="1"/>
        <v>#N/A</v>
      </c>
      <c r="V11" s="1570" t="s">
        <v>8</v>
      </c>
      <c r="W11" s="1571" t="e">
        <f t="shared" si="2"/>
        <v>#N/A</v>
      </c>
      <c r="X11" s="1572"/>
      <c r="Y11" s="3306"/>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42"/>
      <c r="F12" s="255">
        <f>SUMIF(64:64,E12,65:65)-SUMIF(64:64,C12,65:65)+100</f>
        <v>100</v>
      </c>
      <c r="G12" s="922"/>
      <c r="H12" s="255">
        <f>SUMIF(64:64,G12,65:65)-SUMIF(64:64,C12,65:65)+100</f>
        <v>100</v>
      </c>
      <c r="I12" s="882"/>
      <c r="J12" s="255">
        <f>SUMIF(64:64,I12,65:65)-SUMIF(64:64,C12,65:65)+100</f>
        <v>100</v>
      </c>
      <c r="K12" s="584"/>
      <c r="L12" s="2136"/>
      <c r="M12" s="2137"/>
      <c r="N12" s="2137"/>
      <c r="O12" s="2138"/>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
      <c r="A13" s="2944"/>
      <c r="B13" s="2950">
        <v>111</v>
      </c>
      <c r="C13" s="542"/>
      <c r="D13" s="543">
        <v>100</v>
      </c>
      <c r="E13" s="542"/>
      <c r="F13" s="255">
        <f>SUMIF(66:66,E13,67:67)-SUMIF(66:66,C13,67:67)+100</f>
        <v>100</v>
      </c>
      <c r="G13" s="922"/>
      <c r="H13" s="543">
        <f>SUMIF(66:66,G13,67:67)-SUMIF(66:66,C13,67:67)+100</f>
        <v>100</v>
      </c>
      <c r="I13" s="882"/>
      <c r="J13" s="543">
        <f>SUMIF(66:66,I13,67:67)-SUMIF(66:66,C13,67:67)+100</f>
        <v>100</v>
      </c>
      <c r="K13" s="584"/>
      <c r="L13" s="2143"/>
      <c r="M13" s="2135"/>
      <c r="N13" s="2135"/>
      <c r="O13" s="2142"/>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15.75" thickBot="1">
      <c r="A14" s="2945"/>
      <c r="B14" s="2951">
        <v>111</v>
      </c>
      <c r="C14" s="548"/>
      <c r="D14" s="549">
        <v>100</v>
      </c>
      <c r="E14" s="548"/>
      <c r="F14" s="549">
        <f>SUMIF(68:68,E14,69:69)-SUMIF(68:68,C14,69:69)+100</f>
        <v>100</v>
      </c>
      <c r="G14" s="922"/>
      <c r="H14" s="549">
        <f>SUMIF(68:68,G14,69:69)-SUMIF(68:68,C14,69:69)+100</f>
        <v>100</v>
      </c>
      <c r="I14" s="882"/>
      <c r="J14" s="549">
        <f>SUMIF(68:68,I14,69:69)-SUMIF(68:68,C14,69:69)+100</f>
        <v>100</v>
      </c>
      <c r="K14" s="584"/>
      <c r="L14" s="2143"/>
      <c r="M14" s="2135"/>
      <c r="N14" s="2135"/>
      <c r="O14" s="2142"/>
      <c r="P14" s="3360"/>
      <c r="Q14" s="1153">
        <f t="shared" si="6"/>
        <v>111</v>
      </c>
      <c r="R14" s="1570" t="s">
        <v>8</v>
      </c>
      <c r="S14" s="1571">
        <f t="shared" si="0"/>
        <v>100</v>
      </c>
      <c r="T14" s="1570" t="s">
        <v>8</v>
      </c>
      <c r="U14" s="1571">
        <f t="shared" si="1"/>
        <v>100</v>
      </c>
      <c r="V14" s="1570" t="s">
        <v>8</v>
      </c>
      <c r="W14" s="1571">
        <f t="shared" si="2"/>
        <v>100</v>
      </c>
      <c r="X14" s="1572"/>
      <c r="Y14" s="3306"/>
      <c r="Z14" s="1152">
        <f t="shared" si="7"/>
        <v>111</v>
      </c>
      <c r="AA14" s="1573">
        <f t="shared" si="3"/>
        <v>1</v>
      </c>
      <c r="AB14" s="1573">
        <f t="shared" si="4"/>
        <v>1</v>
      </c>
      <c r="AC14" s="1573">
        <f t="shared" si="5"/>
        <v>1</v>
      </c>
    </row>
    <row r="15" spans="1:29" ht="57">
      <c r="A15" s="2937" t="s">
        <v>2761</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3"/>
      <c r="M15" s="2135"/>
      <c r="N15" s="2135"/>
      <c r="O15" s="2142"/>
      <c r="P15" s="3396" t="s">
        <v>541</v>
      </c>
      <c r="Q15" s="1574" t="str">
        <f t="shared" si="6"/>
        <v>产业集聚程度</v>
      </c>
      <c r="R15" s="1575" t="s">
        <v>8</v>
      </c>
      <c r="S15" s="1576">
        <f t="shared" si="0"/>
        <v>100</v>
      </c>
      <c r="T15" s="1575" t="s">
        <v>8</v>
      </c>
      <c r="U15" s="1576">
        <f t="shared" si="1"/>
        <v>100</v>
      </c>
      <c r="V15" s="1575" t="s">
        <v>8</v>
      </c>
      <c r="W15" s="1576">
        <f t="shared" si="2"/>
        <v>100</v>
      </c>
      <c r="X15" s="1569"/>
      <c r="Y15" s="3396"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3"/>
      <c r="M16" s="2135"/>
      <c r="N16" s="2135"/>
      <c r="O16" s="2142"/>
      <c r="P16" s="3397"/>
      <c r="Q16" s="1574"/>
      <c r="R16" s="1575"/>
      <c r="S16" s="1576"/>
      <c r="T16" s="1575"/>
      <c r="U16" s="1576"/>
      <c r="V16" s="1575"/>
      <c r="W16" s="1576"/>
      <c r="X16" s="1569"/>
      <c r="Y16" s="3397"/>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3"/>
      <c r="M17" s="2135"/>
      <c r="N17" s="2135"/>
      <c r="O17" s="2142"/>
      <c r="P17" s="3397"/>
      <c r="Q17" s="1574" t="str">
        <f>B17</f>
        <v>交通便捷度</v>
      </c>
      <c r="R17" s="1575" t="s">
        <v>8</v>
      </c>
      <c r="S17" s="1576">
        <f>F17</f>
        <v>100</v>
      </c>
      <c r="T17" s="1575" t="s">
        <v>8</v>
      </c>
      <c r="U17" s="1576">
        <f>H17</f>
        <v>100</v>
      </c>
      <c r="V17" s="1575" t="s">
        <v>8</v>
      </c>
      <c r="W17" s="1576">
        <f>J17</f>
        <v>100</v>
      </c>
      <c r="X17" s="1569"/>
      <c r="Y17" s="3397"/>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3"/>
      <c r="M18" s="2135"/>
      <c r="N18" s="2135"/>
      <c r="O18" s="2142"/>
      <c r="P18" s="3397"/>
      <c r="Q18" s="1574"/>
      <c r="R18" s="1575"/>
      <c r="S18" s="1576"/>
      <c r="T18" s="1575"/>
      <c r="U18" s="1576"/>
      <c r="V18" s="1575"/>
      <c r="W18" s="1576"/>
      <c r="X18" s="1569"/>
      <c r="Y18" s="3397"/>
      <c r="Z18" s="1577"/>
      <c r="AA18" s="1578">
        <v>1</v>
      </c>
      <c r="AB18" s="1578">
        <v>1</v>
      </c>
      <c r="AC18" s="1578">
        <v>1</v>
      </c>
    </row>
    <row r="19" spans="1:29" ht="42.75">
      <c r="A19" s="535"/>
      <c r="B19" s="2628"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3"/>
      <c r="M19" s="2135"/>
      <c r="N19" s="2135"/>
      <c r="O19" s="2142"/>
      <c r="P19" s="3397"/>
      <c r="Q19" s="1574" t="str">
        <f>B19</f>
        <v>公共配套设施</v>
      </c>
      <c r="R19" s="1575" t="s">
        <v>8</v>
      </c>
      <c r="S19" s="1576">
        <f>F19</f>
        <v>100</v>
      </c>
      <c r="T19" s="1575" t="s">
        <v>8</v>
      </c>
      <c r="U19" s="1576">
        <f>H19</f>
        <v>100</v>
      </c>
      <c r="V19" s="1575" t="s">
        <v>8</v>
      </c>
      <c r="W19" s="1576">
        <f>J19</f>
        <v>100</v>
      </c>
      <c r="X19" s="1569"/>
      <c r="Y19" s="3397"/>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3"/>
      <c r="M20" s="2135"/>
      <c r="N20" s="2135"/>
      <c r="O20" s="2142"/>
      <c r="P20" s="3397"/>
      <c r="Q20" s="1574"/>
      <c r="R20" s="1575"/>
      <c r="S20" s="1576"/>
      <c r="T20" s="1575"/>
      <c r="U20" s="1576"/>
      <c r="V20" s="1575"/>
      <c r="W20" s="1576"/>
      <c r="X20" s="1569"/>
      <c r="Y20" s="3397"/>
      <c r="Z20" s="1577"/>
      <c r="AA20" s="1578">
        <v>1</v>
      </c>
      <c r="AB20" s="1578">
        <v>1</v>
      </c>
      <c r="AC20" s="1578">
        <v>1</v>
      </c>
    </row>
    <row r="21" spans="1:29" ht="28.5">
      <c r="A21" s="535"/>
      <c r="B21" s="2616"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3"/>
      <c r="M21" s="2135"/>
      <c r="N21" s="2135"/>
      <c r="O21" s="2142"/>
      <c r="P21" s="3397"/>
      <c r="Q21" s="2604" t="str">
        <f>B21</f>
        <v>基础设施水平</v>
      </c>
      <c r="R21" s="1575" t="s">
        <v>8</v>
      </c>
      <c r="S21" s="1576">
        <f>F21</f>
        <v>100</v>
      </c>
      <c r="T21" s="1575" t="s">
        <v>8</v>
      </c>
      <c r="U21" s="1576">
        <f>H21</f>
        <v>100</v>
      </c>
      <c r="V21" s="1575" t="s">
        <v>8</v>
      </c>
      <c r="W21" s="1576">
        <f>J21</f>
        <v>100</v>
      </c>
      <c r="X21" s="2606"/>
      <c r="Y21" s="3397"/>
      <c r="Z21" s="2605"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7"/>
      <c r="L22" s="2143"/>
      <c r="M22" s="2135"/>
      <c r="N22" s="2135"/>
      <c r="O22" s="2142"/>
      <c r="P22" s="3397"/>
      <c r="Q22" s="2604"/>
      <c r="R22" s="1575"/>
      <c r="S22" s="1576"/>
      <c r="T22" s="1575"/>
      <c r="U22" s="1576"/>
      <c r="V22" s="1575"/>
      <c r="W22" s="1576"/>
      <c r="X22" s="2606"/>
      <c r="Y22" s="3397"/>
      <c r="Z22" s="2605"/>
      <c r="AA22" s="1578">
        <v>1</v>
      </c>
      <c r="AB22" s="1578">
        <v>1</v>
      </c>
      <c r="AC22" s="1578">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3"/>
      <c r="M23" s="2135"/>
      <c r="N23" s="2135"/>
      <c r="O23" s="2142"/>
      <c r="P23" s="3397"/>
      <c r="Q23" s="1574" t="str">
        <f>B23</f>
        <v>环境质量</v>
      </c>
      <c r="R23" s="1575" t="s">
        <v>8</v>
      </c>
      <c r="S23" s="1576">
        <f>F23</f>
        <v>100</v>
      </c>
      <c r="T23" s="1575" t="s">
        <v>8</v>
      </c>
      <c r="U23" s="1576">
        <f>H23</f>
        <v>100</v>
      </c>
      <c r="V23" s="1575" t="s">
        <v>8</v>
      </c>
      <c r="W23" s="1576">
        <f>J23</f>
        <v>100</v>
      </c>
      <c r="X23" s="1569"/>
      <c r="Y23" s="3397"/>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3"/>
      <c r="M24" s="2135"/>
      <c r="N24" s="2135"/>
      <c r="O24" s="2142"/>
      <c r="P24" s="3397"/>
      <c r="Q24" s="1574"/>
      <c r="R24" s="1575"/>
      <c r="S24" s="1576"/>
      <c r="T24" s="1575"/>
      <c r="U24" s="1576"/>
      <c r="V24" s="1575"/>
      <c r="W24" s="1576"/>
      <c r="X24" s="1569"/>
      <c r="Y24" s="3397"/>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3"/>
      <c r="M25" s="2135"/>
      <c r="N25" s="2135"/>
      <c r="O25" s="2142"/>
      <c r="P25" s="3397"/>
      <c r="Q25" s="1574">
        <f>B25</f>
        <v>111</v>
      </c>
      <c r="R25" s="1575" t="s">
        <v>8</v>
      </c>
      <c r="S25" s="1576">
        <f>F25</f>
        <v>100</v>
      </c>
      <c r="T25" s="1575" t="s">
        <v>8</v>
      </c>
      <c r="U25" s="1576">
        <f>H25</f>
        <v>100</v>
      </c>
      <c r="V25" s="1575" t="s">
        <v>8</v>
      </c>
      <c r="W25" s="1576">
        <f>J25</f>
        <v>100</v>
      </c>
      <c r="X25" s="1569"/>
      <c r="Y25" s="3397"/>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3"/>
      <c r="M26" s="2135"/>
      <c r="N26" s="2135"/>
      <c r="O26" s="2142"/>
      <c r="P26" s="3397"/>
      <c r="Q26" s="1574">
        <f t="shared" ref="Q26:Q40" si="11">B26</f>
        <v>111</v>
      </c>
      <c r="R26" s="1575" t="s">
        <v>8</v>
      </c>
      <c r="S26" s="1576">
        <f>F26</f>
        <v>100</v>
      </c>
      <c r="T26" s="1575" t="s">
        <v>8</v>
      </c>
      <c r="U26" s="1576">
        <f>H26</f>
        <v>100</v>
      </c>
      <c r="V26" s="1575" t="s">
        <v>8</v>
      </c>
      <c r="W26" s="1576">
        <f>J26</f>
        <v>100</v>
      </c>
      <c r="X26" s="1569"/>
      <c r="Y26" s="3397"/>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6"/>
      <c r="M27" s="2137"/>
      <c r="N27" s="2137"/>
      <c r="O27" s="2138"/>
      <c r="P27" s="3397"/>
      <c r="Q27" s="1153">
        <f t="shared" si="11"/>
        <v>111</v>
      </c>
      <c r="R27" s="1570" t="s">
        <v>8</v>
      </c>
      <c r="S27" s="1571">
        <f>F27</f>
        <v>100</v>
      </c>
      <c r="T27" s="1570" t="s">
        <v>8</v>
      </c>
      <c r="U27" s="1571">
        <f>H27</f>
        <v>100</v>
      </c>
      <c r="V27" s="1570" t="s">
        <v>8</v>
      </c>
      <c r="W27" s="1571">
        <f>J27</f>
        <v>100</v>
      </c>
      <c r="X27" s="1572"/>
      <c r="Y27" s="3397"/>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3"/>
      <c r="M28" s="2135"/>
      <c r="N28" s="2135"/>
      <c r="O28" s="2142"/>
      <c r="P28" s="3397"/>
      <c r="Q28" s="1574">
        <f t="shared" si="11"/>
        <v>111</v>
      </c>
      <c r="R28" s="1575" t="s">
        <v>8</v>
      </c>
      <c r="S28" s="1576">
        <f t="shared" ref="S28:S40" si="12">F28</f>
        <v>100</v>
      </c>
      <c r="T28" s="1575" t="s">
        <v>8</v>
      </c>
      <c r="U28" s="1576">
        <f t="shared" ref="U28:U40" si="13">H28</f>
        <v>100</v>
      </c>
      <c r="V28" s="1575" t="s">
        <v>8</v>
      </c>
      <c r="W28" s="1576">
        <f t="shared" ref="W28:W40" si="14">J28</f>
        <v>100</v>
      </c>
      <c r="X28" s="1569"/>
      <c r="Y28" s="3397"/>
      <c r="Z28" s="1577">
        <f t="shared" ref="Z28:Z40" si="15">Q28</f>
        <v>111</v>
      </c>
      <c r="AA28" s="1578">
        <f t="shared" si="3"/>
        <v>1</v>
      </c>
      <c r="AB28" s="1578">
        <f t="shared" si="4"/>
        <v>1</v>
      </c>
      <c r="AC28" s="1578">
        <f t="shared" si="5"/>
        <v>1</v>
      </c>
    </row>
    <row r="29" spans="1:29" ht="15">
      <c r="A29" s="2934" t="s">
        <v>2762</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3"/>
      <c r="M29" s="2135"/>
      <c r="N29" s="2135"/>
      <c r="O29" s="2142"/>
      <c r="P29" s="3398" t="s">
        <v>551</v>
      </c>
      <c r="Q29" s="1574" t="str">
        <f t="shared" si="11"/>
        <v>建筑类型</v>
      </c>
      <c r="R29" s="1575" t="s">
        <v>8</v>
      </c>
      <c r="S29" s="1576">
        <f t="shared" si="12"/>
        <v>100</v>
      </c>
      <c r="T29" s="1575" t="s">
        <v>8</v>
      </c>
      <c r="U29" s="1576">
        <f t="shared" si="13"/>
        <v>100</v>
      </c>
      <c r="V29" s="1575" t="s">
        <v>8</v>
      </c>
      <c r="W29" s="1576">
        <f t="shared" si="14"/>
        <v>100</v>
      </c>
      <c r="X29" s="1569"/>
      <c r="Y29" s="3399"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1"/>
      <c r="M30" s="2172"/>
      <c r="N30" s="2172"/>
      <c r="O30" s="2144"/>
      <c r="P30" s="3399"/>
      <c r="Q30" s="1607" t="str">
        <f t="shared" si="11"/>
        <v>项目建筑规模</v>
      </c>
      <c r="R30" s="1579" t="s">
        <v>8</v>
      </c>
      <c r="S30" s="1580" t="e">
        <f t="shared" si="12"/>
        <v>#N/A</v>
      </c>
      <c r="T30" s="1579" t="s">
        <v>8</v>
      </c>
      <c r="U30" s="1580" t="e">
        <f t="shared" si="13"/>
        <v>#N/A</v>
      </c>
      <c r="V30" s="1579" t="s">
        <v>8</v>
      </c>
      <c r="W30" s="1580" t="e">
        <f t="shared" si="14"/>
        <v>#N/A</v>
      </c>
      <c r="X30" s="1581"/>
      <c r="Y30" s="3399"/>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3"/>
      <c r="M31" s="2135"/>
      <c r="N31" s="2135"/>
      <c r="O31" s="2142"/>
      <c r="P31" s="3399"/>
      <c r="Q31" s="1574" t="str">
        <f t="shared" si="11"/>
        <v>建筑结构</v>
      </c>
      <c r="R31" s="1575" t="s">
        <v>8</v>
      </c>
      <c r="S31" s="1576">
        <f t="shared" si="12"/>
        <v>100</v>
      </c>
      <c r="T31" s="1575" t="s">
        <v>8</v>
      </c>
      <c r="U31" s="1576">
        <f t="shared" si="13"/>
        <v>100</v>
      </c>
      <c r="V31" s="1575" t="s">
        <v>8</v>
      </c>
      <c r="W31" s="1576">
        <f t="shared" si="14"/>
        <v>100</v>
      </c>
      <c r="X31" s="1569"/>
      <c r="Y31" s="3399"/>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3"/>
      <c r="M32" s="2135"/>
      <c r="N32" s="2135"/>
      <c r="O32" s="2142"/>
      <c r="P32" s="3399"/>
      <c r="Q32" s="1574" t="str">
        <f t="shared" si="11"/>
        <v>公共部分装修</v>
      </c>
      <c r="R32" s="1575" t="s">
        <v>8</v>
      </c>
      <c r="S32" s="1576">
        <f t="shared" si="12"/>
        <v>100</v>
      </c>
      <c r="T32" s="1575" t="s">
        <v>8</v>
      </c>
      <c r="U32" s="1576">
        <f t="shared" si="13"/>
        <v>100</v>
      </c>
      <c r="V32" s="1575" t="s">
        <v>8</v>
      </c>
      <c r="W32" s="1576">
        <f t="shared" si="14"/>
        <v>100</v>
      </c>
      <c r="X32" s="1569"/>
      <c r="Y32" s="3399"/>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3"/>
      <c r="M33" s="2135"/>
      <c r="N33" s="2135"/>
      <c r="O33" s="2142"/>
      <c r="P33" s="3399"/>
      <c r="Q33" s="1574" t="str">
        <f t="shared" si="11"/>
        <v>成新度</v>
      </c>
      <c r="R33" s="1575" t="s">
        <v>8</v>
      </c>
      <c r="S33" s="1576" t="e">
        <f t="shared" si="12"/>
        <v>#N/A</v>
      </c>
      <c r="T33" s="1575" t="s">
        <v>8</v>
      </c>
      <c r="U33" s="1576" t="e">
        <f t="shared" si="13"/>
        <v>#N/A</v>
      </c>
      <c r="V33" s="1575" t="s">
        <v>8</v>
      </c>
      <c r="W33" s="1576" t="e">
        <f t="shared" si="14"/>
        <v>#N/A</v>
      </c>
      <c r="X33" s="1569"/>
      <c r="Y33" s="3399"/>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6"/>
      <c r="M34" s="2137"/>
      <c r="N34" s="2137"/>
      <c r="O34" s="2138"/>
      <c r="P34" s="3399"/>
      <c r="Q34" s="1153" t="str">
        <f t="shared" si="11"/>
        <v>物业管理</v>
      </c>
      <c r="R34" s="1570" t="s">
        <v>8</v>
      </c>
      <c r="S34" s="1571">
        <f t="shared" si="12"/>
        <v>100</v>
      </c>
      <c r="T34" s="1570" t="s">
        <v>8</v>
      </c>
      <c r="U34" s="1571">
        <f t="shared" si="13"/>
        <v>100</v>
      </c>
      <c r="V34" s="1570" t="s">
        <v>8</v>
      </c>
      <c r="W34" s="1571">
        <f t="shared" si="14"/>
        <v>100</v>
      </c>
      <c r="X34" s="1572"/>
      <c r="Y34" s="3399"/>
      <c r="Z34" s="1152" t="str">
        <f t="shared" si="15"/>
        <v>物业管理</v>
      </c>
      <c r="AA34" s="1573">
        <f t="shared" si="3"/>
        <v>1</v>
      </c>
      <c r="AB34" s="1573">
        <f t="shared" si="4"/>
        <v>1</v>
      </c>
      <c r="AC34" s="1573">
        <f t="shared" si="5"/>
        <v>1</v>
      </c>
    </row>
    <row r="35" spans="1:29" ht="15">
      <c r="A35" s="597"/>
      <c r="B35" s="1896"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3"/>
      <c r="M35" s="2135"/>
      <c r="N35" s="2135"/>
      <c r="O35" s="2142"/>
      <c r="P35" s="3399" t="s">
        <v>551</v>
      </c>
      <c r="Q35" s="1574" t="str">
        <f t="shared" si="11"/>
        <v>市政基础设施</v>
      </c>
      <c r="R35" s="1575" t="s">
        <v>8</v>
      </c>
      <c r="S35" s="1576">
        <f t="shared" si="12"/>
        <v>100</v>
      </c>
      <c r="T35" s="1575" t="s">
        <v>8</v>
      </c>
      <c r="U35" s="1576">
        <f t="shared" si="13"/>
        <v>100</v>
      </c>
      <c r="V35" s="1575" t="s">
        <v>8</v>
      </c>
      <c r="W35" s="1576">
        <f t="shared" si="14"/>
        <v>100</v>
      </c>
      <c r="X35" s="1569"/>
      <c r="Y35" s="3399"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3"/>
      <c r="M36" s="2135"/>
      <c r="N36" s="2135"/>
      <c r="O36" s="2142"/>
      <c r="P36" s="3399"/>
      <c r="Q36" s="1574" t="str">
        <f t="shared" si="11"/>
        <v>内部装修</v>
      </c>
      <c r="R36" s="1575" t="s">
        <v>8</v>
      </c>
      <c r="S36" s="1576">
        <f t="shared" si="12"/>
        <v>100</v>
      </c>
      <c r="T36" s="1575" t="s">
        <v>8</v>
      </c>
      <c r="U36" s="1576">
        <f t="shared" si="13"/>
        <v>100</v>
      </c>
      <c r="V36" s="1575" t="s">
        <v>8</v>
      </c>
      <c r="W36" s="1576">
        <f t="shared" si="14"/>
        <v>100</v>
      </c>
      <c r="X36" s="1569"/>
      <c r="Y36" s="3399"/>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3"/>
      <c r="M37" s="2135"/>
      <c r="N37" s="2135"/>
      <c r="O37" s="2142"/>
      <c r="P37" s="3399"/>
      <c r="Q37" s="1574" t="str">
        <f t="shared" si="11"/>
        <v>内部装修状况</v>
      </c>
      <c r="R37" s="1575" t="s">
        <v>8</v>
      </c>
      <c r="S37" s="1576">
        <f t="shared" si="12"/>
        <v>100</v>
      </c>
      <c r="T37" s="1575" t="s">
        <v>8</v>
      </c>
      <c r="U37" s="1576">
        <f t="shared" si="13"/>
        <v>100</v>
      </c>
      <c r="V37" s="1575" t="s">
        <v>8</v>
      </c>
      <c r="W37" s="1576">
        <f t="shared" si="14"/>
        <v>100</v>
      </c>
      <c r="X37" s="1569"/>
      <c r="Y37" s="3399"/>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1"/>
      <c r="M38" s="2172"/>
      <c r="N38" s="2172"/>
      <c r="O38" s="2144"/>
      <c r="P38" s="3399"/>
      <c r="Q38" s="1607">
        <f t="shared" si="11"/>
        <v>111</v>
      </c>
      <c r="R38" s="1579" t="s">
        <v>8</v>
      </c>
      <c r="S38" s="1580">
        <f t="shared" si="12"/>
        <v>100</v>
      </c>
      <c r="T38" s="1579" t="s">
        <v>8</v>
      </c>
      <c r="U38" s="1580">
        <f t="shared" si="13"/>
        <v>100</v>
      </c>
      <c r="V38" s="1579" t="s">
        <v>8</v>
      </c>
      <c r="W38" s="1580">
        <f t="shared" si="14"/>
        <v>100</v>
      </c>
      <c r="X38" s="1581"/>
      <c r="Y38" s="3399"/>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3"/>
      <c r="M39" s="2135"/>
      <c r="N39" s="2135"/>
      <c r="O39" s="2142"/>
      <c r="P39" s="3399"/>
      <c r="Q39" s="1574">
        <f t="shared" si="11"/>
        <v>111</v>
      </c>
      <c r="R39" s="1575" t="s">
        <v>8</v>
      </c>
      <c r="S39" s="1576">
        <f t="shared" si="12"/>
        <v>100</v>
      </c>
      <c r="T39" s="1575" t="s">
        <v>8</v>
      </c>
      <c r="U39" s="1576">
        <f t="shared" si="13"/>
        <v>100</v>
      </c>
      <c r="V39" s="1575" t="s">
        <v>8</v>
      </c>
      <c r="W39" s="1576">
        <f t="shared" si="14"/>
        <v>100</v>
      </c>
      <c r="X39" s="1569"/>
      <c r="Y39" s="3399"/>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3"/>
      <c r="M40" s="2135"/>
      <c r="N40" s="2135"/>
      <c r="O40" s="2142"/>
      <c r="P40" s="3407"/>
      <c r="Q40" s="1574">
        <f t="shared" si="11"/>
        <v>111</v>
      </c>
      <c r="R40" s="1575" t="s">
        <v>8</v>
      </c>
      <c r="S40" s="1576">
        <f t="shared" si="12"/>
        <v>100</v>
      </c>
      <c r="T40" s="1575" t="s">
        <v>8</v>
      </c>
      <c r="U40" s="1576">
        <f t="shared" si="13"/>
        <v>100</v>
      </c>
      <c r="V40" s="1575" t="s">
        <v>8</v>
      </c>
      <c r="W40" s="1576">
        <f t="shared" si="14"/>
        <v>100</v>
      </c>
      <c r="X40" s="1569"/>
      <c r="Y40" s="3407"/>
      <c r="Z40" s="1577">
        <f t="shared" si="15"/>
        <v>111</v>
      </c>
      <c r="AA40" s="1578">
        <f t="shared" si="3"/>
        <v>1</v>
      </c>
      <c r="AB40" s="1578">
        <f t="shared" si="4"/>
        <v>1</v>
      </c>
      <c r="AC40" s="1578">
        <f t="shared" si="5"/>
        <v>1</v>
      </c>
    </row>
    <row r="41" spans="1:29" ht="15">
      <c r="A41" s="610" t="s">
        <v>737</v>
      </c>
      <c r="B41" s="889"/>
      <c r="C41" s="2652" t="s">
        <v>1</v>
      </c>
      <c r="D41" s="2653"/>
      <c r="E41" s="2654"/>
      <c r="F41" s="2655"/>
      <c r="G41" s="2656"/>
      <c r="H41" s="2657"/>
      <c r="I41" s="2654"/>
      <c r="J41" s="2657"/>
      <c r="K41" s="1613"/>
      <c r="L41" s="2145"/>
      <c r="M41" s="2146"/>
      <c r="N41" s="2135"/>
      <c r="O41" s="2146"/>
      <c r="P41" s="3360" t="str">
        <f>A41</f>
        <v>成交单价（元/平方米）</v>
      </c>
      <c r="Q41" s="3360"/>
      <c r="R41" s="3408">
        <f>E41</f>
        <v>0</v>
      </c>
      <c r="S41" s="3408"/>
      <c r="T41" s="3408">
        <f>G41</f>
        <v>0</v>
      </c>
      <c r="U41" s="3408"/>
      <c r="V41" s="3408">
        <f>I41</f>
        <v>0</v>
      </c>
      <c r="W41" s="3408"/>
      <c r="X41" s="1561"/>
      <c r="Y41" s="1583"/>
      <c r="Z41" s="1561"/>
      <c r="AA41" s="1561"/>
      <c r="AB41" s="1561"/>
      <c r="AC41" s="1561"/>
    </row>
    <row r="42" spans="1:29" ht="15.75" thickBot="1">
      <c r="A42" s="618" t="s">
        <v>2767</v>
      </c>
      <c r="B42" s="890"/>
      <c r="C42" s="2658" t="e">
        <f>R43</f>
        <v>#DIV/0!</v>
      </c>
      <c r="D42" s="2659"/>
      <c r="E42" s="2660" t="e">
        <f>R42</f>
        <v>#DIV/0!</v>
      </c>
      <c r="F42" s="2660"/>
      <c r="G42" s="2658" t="e">
        <f>T42</f>
        <v>#DIV/0!</v>
      </c>
      <c r="H42" s="2659"/>
      <c r="I42" s="2660" t="e">
        <f>V42</f>
        <v>#DIV/0!</v>
      </c>
      <c r="J42" s="2659"/>
      <c r="K42" s="1614"/>
      <c r="L42" s="2145"/>
      <c r="M42" s="2146"/>
      <c r="N42" s="2135"/>
      <c r="O42" s="2146"/>
      <c r="P42" s="3360" t="str">
        <f>A42</f>
        <v>比较价格（元/平方米）</v>
      </c>
      <c r="Q42" s="3360"/>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1561"/>
      <c r="Y42" s="1561"/>
      <c r="Z42" s="1561"/>
      <c r="AA42" s="1561"/>
      <c r="AB42" s="1561"/>
      <c r="AC42" s="1561"/>
    </row>
    <row r="43" spans="1:29" ht="15.75" thickBot="1">
      <c r="A43" s="624" t="s">
        <v>2940</v>
      </c>
      <c r="B43" s="625"/>
      <c r="C43" s="2661" t="e">
        <f>R43</f>
        <v>#DIV/0!</v>
      </c>
      <c r="D43" s="2661"/>
      <c r="E43" s="2661"/>
      <c r="F43" s="2661"/>
      <c r="G43" s="2661"/>
      <c r="H43" s="2661"/>
      <c r="I43" s="2661"/>
      <c r="J43" s="2661"/>
      <c r="K43" s="1615"/>
      <c r="L43" s="2145"/>
      <c r="M43" s="2146"/>
      <c r="N43" s="2146"/>
      <c r="O43" s="2146"/>
      <c r="P43" s="3357" t="str">
        <f>A43</f>
        <v>估价对象XX用房的比较价格（楼面单价，元/平方米）</v>
      </c>
      <c r="Q43" s="3358"/>
      <c r="R43" s="3409" t="e">
        <f>IF(F1="售价",ROUND(AVERAGE(R42:V42),0),ROUND(AVERAGE(R42:V42),1))</f>
        <v>#DIV/0!</v>
      </c>
      <c r="S43" s="3409"/>
      <c r="T43" s="3409"/>
      <c r="U43" s="3409"/>
      <c r="V43" s="3409"/>
      <c r="W43" s="3409"/>
      <c r="X43" s="1561"/>
      <c r="Y43" s="1561"/>
      <c r="Z43" s="1561"/>
      <c r="AA43" s="1561"/>
      <c r="AB43" s="1561"/>
      <c r="AC43" s="1561"/>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7" customFormat="1" ht="13.5" customHeight="1">
      <c r="A48" s="2147"/>
      <c r="B48" s="214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7"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6" t="s">
        <v>575</v>
      </c>
      <c r="B51" s="1561"/>
      <c r="C51" s="1585"/>
      <c r="D51" s="1585"/>
      <c r="E51" s="1585"/>
      <c r="F51" s="1587"/>
      <c r="G51" s="1587"/>
      <c r="H51" s="1585"/>
      <c r="I51" s="1585"/>
      <c r="J51" s="1585"/>
      <c r="K51" s="1588"/>
      <c r="L51" s="1584"/>
      <c r="M51" s="1585"/>
      <c r="N51" s="1585"/>
      <c r="O51" s="1585"/>
      <c r="P51" s="2158"/>
      <c r="Q51" s="2159"/>
      <c r="R51" s="2146"/>
      <c r="S51" s="2146"/>
      <c r="T51" s="2146"/>
      <c r="U51" s="2146"/>
      <c r="V51" s="2146"/>
      <c r="W51" s="2146"/>
      <c r="X51" s="2146"/>
      <c r="Y51" s="2146"/>
      <c r="Z51" s="2146"/>
      <c r="AA51" s="2146"/>
      <c r="AB51" s="2146"/>
      <c r="AC51" s="2146"/>
    </row>
    <row r="52" spans="1:29" s="1349" customFormat="1" ht="15">
      <c r="A52" s="648" t="s">
        <v>530</v>
      </c>
      <c r="B52" s="649"/>
      <c r="C52" s="2829" t="str">
        <f>YEAR(C7)&amp;"-"&amp;MONTH(C7)</f>
        <v>2017-10</v>
      </c>
      <c r="D52" s="2831">
        <f>EDATE(C52,-1)</f>
        <v>42979</v>
      </c>
      <c r="E52" s="2831">
        <f t="shared" ref="E52:O52" si="16">EDATE(D52,-1)</f>
        <v>42948</v>
      </c>
      <c r="F52" s="2831">
        <f t="shared" si="16"/>
        <v>42917</v>
      </c>
      <c r="G52" s="2831">
        <f t="shared" si="16"/>
        <v>42887</v>
      </c>
      <c r="H52" s="2831">
        <f t="shared" si="16"/>
        <v>42856</v>
      </c>
      <c r="I52" s="2831">
        <f t="shared" si="16"/>
        <v>42826</v>
      </c>
      <c r="J52" s="2831">
        <f t="shared" si="16"/>
        <v>42795</v>
      </c>
      <c r="K52" s="2831">
        <f t="shared" si="16"/>
        <v>42767</v>
      </c>
      <c r="L52" s="2831">
        <f t="shared" si="16"/>
        <v>42736</v>
      </c>
      <c r="M52" s="2831">
        <f t="shared" si="16"/>
        <v>42705</v>
      </c>
      <c r="N52" s="2831">
        <f t="shared" si="16"/>
        <v>42675</v>
      </c>
      <c r="O52" s="2831">
        <f t="shared" si="16"/>
        <v>42644</v>
      </c>
      <c r="P52" s="2161"/>
      <c r="Q52" s="2162"/>
      <c r="R52" s="2162"/>
      <c r="S52" s="2162"/>
      <c r="T52" s="2162"/>
      <c r="U52" s="2162"/>
      <c r="V52" s="2162"/>
      <c r="W52" s="2162"/>
      <c r="X52" s="2162"/>
      <c r="Y52" s="2162"/>
      <c r="Z52" s="2162"/>
      <c r="AA52" s="2162"/>
      <c r="AB52" s="2162"/>
      <c r="AC52" s="2162"/>
    </row>
    <row r="53" spans="1:29" s="1222" customFormat="1" ht="15">
      <c r="A53" s="650"/>
      <c r="B53" s="651"/>
      <c r="C53" s="652">
        <v>100</v>
      </c>
      <c r="D53" s="653"/>
      <c r="E53" s="653"/>
      <c r="F53" s="653"/>
      <c r="G53" s="653"/>
      <c r="H53" s="653"/>
      <c r="I53" s="653"/>
      <c r="J53" s="653"/>
      <c r="K53" s="653"/>
      <c r="L53" s="653"/>
      <c r="M53" s="654"/>
      <c r="N53" s="653"/>
      <c r="O53" s="655"/>
      <c r="P53" s="2159"/>
      <c r="Q53" s="1994"/>
      <c r="R53" s="1994"/>
      <c r="S53" s="1994"/>
      <c r="T53" s="1994"/>
      <c r="U53" s="1994"/>
      <c r="V53" s="1994"/>
      <c r="W53" s="1994"/>
      <c r="X53" s="1994"/>
      <c r="Y53" s="1994"/>
      <c r="Z53" s="1994"/>
      <c r="AA53" s="1994"/>
      <c r="AB53" s="1994"/>
      <c r="AC53" s="1994"/>
    </row>
    <row r="54" spans="1:29" s="1222" customFormat="1" ht="15.75" thickBot="1">
      <c r="A54" s="656" t="s">
        <v>576</v>
      </c>
      <c r="B54" s="657"/>
      <c r="C54" s="658"/>
      <c r="D54" s="659"/>
      <c r="E54" s="659"/>
      <c r="F54" s="659"/>
      <c r="G54" s="659"/>
      <c r="H54" s="659"/>
      <c r="I54" s="659"/>
      <c r="J54" s="659"/>
      <c r="K54" s="659"/>
      <c r="L54" s="659"/>
      <c r="M54" s="660"/>
      <c r="N54" s="659"/>
      <c r="O54" s="661"/>
      <c r="P54" s="2159"/>
      <c r="Q54" s="2159"/>
      <c r="R54" s="1994"/>
      <c r="S54" s="1994"/>
      <c r="T54" s="1994"/>
      <c r="U54" s="1994"/>
      <c r="V54" s="1994"/>
      <c r="W54" s="1994"/>
      <c r="X54" s="1994"/>
      <c r="Y54" s="1994"/>
      <c r="Z54" s="1994"/>
      <c r="AA54" s="1994"/>
      <c r="AB54" s="1994"/>
      <c r="AC54" s="1994"/>
    </row>
    <row r="55" spans="1:29" s="1222" customFormat="1" ht="15">
      <c r="A55" s="662" t="s">
        <v>532</v>
      </c>
      <c r="B55" s="651"/>
      <c r="C55" s="663" t="s">
        <v>577</v>
      </c>
      <c r="D55" s="664"/>
      <c r="E55" s="664"/>
      <c r="F55" s="664"/>
      <c r="G55" s="664"/>
      <c r="H55" s="664"/>
      <c r="I55" s="664"/>
      <c r="J55" s="664"/>
      <c r="K55" s="664"/>
      <c r="L55" s="665"/>
      <c r="M55" s="666"/>
      <c r="N55" s="2163"/>
      <c r="O55" s="2163"/>
      <c r="P55" s="2164"/>
      <c r="Q55" s="2159"/>
      <c r="R55" s="1994"/>
      <c r="S55" s="1994"/>
      <c r="T55" s="1994"/>
      <c r="U55" s="1994"/>
      <c r="V55" s="1994"/>
      <c r="W55" s="1994"/>
      <c r="X55" s="1994"/>
      <c r="Y55" s="1994"/>
      <c r="Z55" s="1994"/>
      <c r="AA55" s="1994"/>
      <c r="AB55" s="1994"/>
      <c r="AC55" s="1994"/>
    </row>
    <row r="56" spans="1:29" s="1222" customFormat="1" ht="15.75" thickBot="1">
      <c r="A56" s="662"/>
      <c r="B56" s="651"/>
      <c r="C56" s="652">
        <v>100</v>
      </c>
      <c r="D56" s="653"/>
      <c r="E56" s="653"/>
      <c r="F56" s="653"/>
      <c r="G56" s="653"/>
      <c r="H56" s="653"/>
      <c r="I56" s="653"/>
      <c r="J56" s="653"/>
      <c r="K56" s="653"/>
      <c r="L56" s="653"/>
      <c r="M56" s="655"/>
      <c r="N56" s="2163"/>
      <c r="O56" s="2163"/>
      <c r="P56" s="2159"/>
      <c r="Q56" s="2159"/>
      <c r="R56" s="1994"/>
      <c r="S56" s="1994"/>
      <c r="T56" s="1994"/>
      <c r="U56" s="1994"/>
      <c r="V56" s="1994"/>
      <c r="W56" s="1994"/>
      <c r="X56" s="1994"/>
      <c r="Y56" s="1994"/>
      <c r="Z56" s="1994"/>
      <c r="AA56" s="1994"/>
      <c r="AB56" s="1994"/>
      <c r="AC56" s="1994"/>
    </row>
    <row r="57" spans="1:29">
      <c r="A57" s="667" t="s">
        <v>578</v>
      </c>
      <c r="B57" s="668" t="s">
        <v>535</v>
      </c>
      <c r="C57" s="707">
        <f>C9</f>
        <v>0</v>
      </c>
      <c r="D57" s="601"/>
      <c r="E57" s="601"/>
      <c r="F57" s="601"/>
      <c r="G57" s="601"/>
      <c r="H57" s="601"/>
      <c r="I57" s="601"/>
      <c r="J57" s="601"/>
      <c r="K57" s="669"/>
      <c r="L57" s="670"/>
      <c r="M57" s="671"/>
      <c r="N57" s="2165"/>
      <c r="O57" s="2165"/>
      <c r="P57" s="2166"/>
      <c r="Q57" s="2159"/>
      <c r="R57" s="2146"/>
      <c r="S57" s="2146"/>
      <c r="T57" s="2146"/>
      <c r="U57" s="2146"/>
      <c r="V57" s="2146"/>
      <c r="W57" s="2146"/>
      <c r="X57" s="2146"/>
      <c r="Y57" s="2146"/>
      <c r="Z57" s="2146"/>
      <c r="AA57" s="2146"/>
      <c r="AB57" s="2146"/>
      <c r="AC57" s="2146"/>
    </row>
    <row r="58" spans="1:29" ht="15.75" thickBot="1">
      <c r="A58" s="672"/>
      <c r="B58" s="673"/>
      <c r="C58" s="674"/>
      <c r="D58" s="674"/>
      <c r="E58" s="674"/>
      <c r="F58" s="674"/>
      <c r="G58" s="674"/>
      <c r="H58" s="674"/>
      <c r="I58" s="674"/>
      <c r="J58" s="674"/>
      <c r="K58" s="674"/>
      <c r="L58" s="674"/>
      <c r="M58" s="675"/>
      <c r="N58" s="2167"/>
      <c r="O58" s="2167"/>
      <c r="P58" s="2166"/>
      <c r="Q58" s="2159"/>
      <c r="R58" s="2146"/>
      <c r="S58" s="2146"/>
      <c r="T58" s="2146"/>
      <c r="U58" s="2146"/>
      <c r="V58" s="2146"/>
      <c r="W58" s="2146"/>
      <c r="X58" s="2146"/>
      <c r="Y58" s="2146"/>
      <c r="Z58" s="2146"/>
      <c r="AA58" s="2146"/>
      <c r="AB58" s="2146"/>
      <c r="AC58" s="2146"/>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5"/>
      <c r="O59" s="2165"/>
      <c r="P59" s="2166"/>
      <c r="Q59" s="2159"/>
      <c r="R59" s="2146"/>
      <c r="S59" s="2146"/>
      <c r="T59" s="2146"/>
      <c r="U59" s="2146"/>
      <c r="V59" s="2146"/>
      <c r="W59" s="2146"/>
      <c r="X59" s="2146"/>
      <c r="Y59" s="2146"/>
      <c r="Z59" s="2146"/>
      <c r="AA59" s="2146"/>
      <c r="AB59" s="2146"/>
      <c r="AC59" s="214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7"/>
      <c r="O60" s="2167"/>
      <c r="P60" s="2166"/>
      <c r="Q60" s="2159"/>
      <c r="R60" s="2146"/>
      <c r="S60" s="2146"/>
      <c r="T60" s="2146"/>
      <c r="U60" s="2146"/>
      <c r="V60" s="2146"/>
      <c r="W60" s="2146"/>
      <c r="X60" s="2146"/>
      <c r="Y60" s="2146"/>
      <c r="Z60" s="2146"/>
      <c r="AA60" s="2146"/>
      <c r="AB60" s="2146"/>
      <c r="AC60" s="214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2"/>
      <c r="B62" s="686"/>
      <c r="C62" s="544"/>
      <c r="D62" s="544"/>
      <c r="E62" s="544"/>
      <c r="F62" s="544"/>
      <c r="G62" s="544"/>
      <c r="H62" s="544"/>
      <c r="I62" s="544"/>
      <c r="J62" s="544"/>
      <c r="K62" s="687"/>
      <c r="L62" s="688"/>
      <c r="M62" s="689"/>
      <c r="N62" s="2165"/>
      <c r="O62" s="2165"/>
      <c r="P62" s="2166"/>
      <c r="Q62" s="2159"/>
      <c r="R62" s="2146"/>
      <c r="S62" s="2146"/>
      <c r="T62" s="2146"/>
      <c r="U62" s="2146"/>
      <c r="V62" s="2146"/>
      <c r="W62" s="2146"/>
      <c r="X62" s="2146"/>
      <c r="Y62" s="2146"/>
      <c r="Z62" s="2146"/>
      <c r="AA62" s="2146"/>
      <c r="AB62" s="2146"/>
      <c r="AC62" s="214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7"/>
      <c r="O63" s="2167"/>
      <c r="P63" s="2166"/>
      <c r="Q63" s="2159"/>
      <c r="R63" s="2146"/>
      <c r="S63" s="2146"/>
      <c r="T63" s="2146"/>
      <c r="U63" s="2146"/>
      <c r="V63" s="2146"/>
      <c r="W63" s="2146"/>
      <c r="X63" s="2146"/>
      <c r="Y63" s="2146"/>
      <c r="Z63" s="2146"/>
      <c r="AA63" s="2146"/>
      <c r="AB63" s="2146"/>
      <c r="AC63" s="2146"/>
    </row>
    <row r="64" spans="1:29" s="1341" customFormat="1" ht="15.75" thickTop="1">
      <c r="A64" s="690"/>
      <c r="B64" s="676">
        <f>B12</f>
        <v>111</v>
      </c>
      <c r="C64" s="691"/>
      <c r="D64" s="691"/>
      <c r="E64" s="691"/>
      <c r="F64" s="691"/>
      <c r="G64" s="691"/>
      <c r="H64" s="692"/>
      <c r="I64" s="692"/>
      <c r="J64" s="692"/>
      <c r="K64" s="692"/>
      <c r="L64" s="693"/>
      <c r="M64" s="694"/>
      <c r="N64" s="2168"/>
      <c r="O64" s="2168"/>
      <c r="P64" s="2169"/>
      <c r="Q64" s="2170"/>
      <c r="R64" s="2171"/>
      <c r="S64" s="2171"/>
      <c r="T64" s="2171"/>
      <c r="U64" s="2171"/>
      <c r="V64" s="2171"/>
      <c r="W64" s="2171"/>
      <c r="X64" s="2171"/>
      <c r="Y64" s="2171"/>
      <c r="Z64" s="2171"/>
      <c r="AA64" s="2171"/>
      <c r="AB64" s="2171"/>
      <c r="AC64" s="2171"/>
    </row>
    <row r="65" spans="1:29" s="1341" customFormat="1" ht="15.75" thickBot="1">
      <c r="A65" s="690"/>
      <c r="B65" s="681"/>
      <c r="C65" s="695"/>
      <c r="D65" s="674"/>
      <c r="E65" s="674"/>
      <c r="F65" s="674"/>
      <c r="G65" s="674"/>
      <c r="H65" s="674"/>
      <c r="I65" s="674"/>
      <c r="J65" s="674"/>
      <c r="K65" s="674"/>
      <c r="L65" s="674"/>
      <c r="M65" s="675"/>
      <c r="N65" s="2167"/>
      <c r="O65" s="2167"/>
      <c r="P65" s="2169"/>
      <c r="Q65" s="2170"/>
      <c r="R65" s="2171"/>
      <c r="S65" s="2171"/>
      <c r="T65" s="2171"/>
      <c r="U65" s="2171"/>
      <c r="V65" s="2171"/>
      <c r="W65" s="2171"/>
      <c r="X65" s="2171"/>
      <c r="Y65" s="2171"/>
      <c r="Z65" s="2171"/>
      <c r="AA65" s="2171"/>
      <c r="AB65" s="2171"/>
      <c r="AC65" s="2171"/>
    </row>
    <row r="66" spans="1:29" s="1341" customFormat="1" ht="15.75" thickTop="1">
      <c r="A66" s="690"/>
      <c r="B66" s="676">
        <f>B13</f>
        <v>111</v>
      </c>
      <c r="C66" s="691"/>
      <c r="D66" s="691"/>
      <c r="E66" s="691"/>
      <c r="F66" s="691"/>
      <c r="G66" s="691"/>
      <c r="H66" s="692"/>
      <c r="I66" s="692"/>
      <c r="J66" s="692"/>
      <c r="K66" s="692"/>
      <c r="L66" s="693"/>
      <c r="M66" s="694"/>
      <c r="N66" s="2168"/>
      <c r="O66" s="2168"/>
      <c r="P66" s="2172"/>
      <c r="Q66" s="2173"/>
      <c r="R66" s="2171"/>
      <c r="S66" s="2171"/>
      <c r="T66" s="2171"/>
      <c r="U66" s="2171"/>
      <c r="V66" s="2171"/>
      <c r="W66" s="2171"/>
      <c r="X66" s="2171"/>
      <c r="Y66" s="2171"/>
      <c r="Z66" s="2171"/>
      <c r="AA66" s="2171"/>
      <c r="AB66" s="2171"/>
      <c r="AC66" s="2171"/>
    </row>
    <row r="67" spans="1:29" s="1341" customFormat="1" ht="15.75" thickBot="1">
      <c r="A67" s="690"/>
      <c r="B67" s="681"/>
      <c r="C67" s="695"/>
      <c r="D67" s="674"/>
      <c r="E67" s="674"/>
      <c r="F67" s="674"/>
      <c r="G67" s="695"/>
      <c r="H67" s="696"/>
      <c r="I67" s="696"/>
      <c r="J67" s="696"/>
      <c r="K67" s="696"/>
      <c r="L67" s="696"/>
      <c r="M67" s="697"/>
      <c r="N67" s="2168"/>
      <c r="O67" s="2168"/>
      <c r="P67" s="2169"/>
      <c r="Q67" s="2170"/>
      <c r="R67" s="2171"/>
      <c r="S67" s="2171"/>
      <c r="T67" s="2171"/>
      <c r="U67" s="2171"/>
      <c r="V67" s="2171"/>
      <c r="W67" s="2171"/>
      <c r="X67" s="2171"/>
      <c r="Y67" s="2171"/>
      <c r="Z67" s="2171"/>
      <c r="AA67" s="2171"/>
      <c r="AB67" s="2171"/>
      <c r="AC67" s="2171"/>
    </row>
    <row r="68" spans="1:29" s="1341" customFormat="1" ht="15.75" thickTop="1">
      <c r="A68" s="690"/>
      <c r="B68" s="684">
        <f>B14</f>
        <v>111</v>
      </c>
      <c r="C68" s="664"/>
      <c r="D68" s="664"/>
      <c r="E68" s="664"/>
      <c r="F68" s="664"/>
      <c r="G68" s="664"/>
      <c r="H68" s="698"/>
      <c r="I68" s="698"/>
      <c r="J68" s="698"/>
      <c r="K68" s="698"/>
      <c r="L68" s="699"/>
      <c r="M68" s="700"/>
      <c r="N68" s="2168"/>
      <c r="O68" s="2168"/>
      <c r="P68" s="2174"/>
      <c r="Q68" s="2170"/>
      <c r="R68" s="2171"/>
      <c r="S68" s="2171"/>
      <c r="T68" s="2171"/>
      <c r="U68" s="2171"/>
      <c r="V68" s="2171"/>
      <c r="W68" s="2171"/>
      <c r="X68" s="2171"/>
      <c r="Y68" s="2171"/>
      <c r="Z68" s="2171"/>
      <c r="AA68" s="2171"/>
      <c r="AB68" s="2171"/>
      <c r="AC68" s="2171"/>
    </row>
    <row r="69" spans="1:29" s="1341" customFormat="1" ht="15.75" thickBot="1">
      <c r="A69" s="701"/>
      <c r="B69" s="702"/>
      <c r="C69" s="703"/>
      <c r="D69" s="703"/>
      <c r="E69" s="703"/>
      <c r="F69" s="703"/>
      <c r="G69" s="703"/>
      <c r="H69" s="704"/>
      <c r="I69" s="704"/>
      <c r="J69" s="704"/>
      <c r="K69" s="704"/>
      <c r="L69" s="704"/>
      <c r="M69" s="705"/>
      <c r="N69" s="2168"/>
      <c r="O69" s="2168"/>
      <c r="P69" s="2169"/>
      <c r="Q69" s="2170"/>
      <c r="R69" s="2171"/>
      <c r="S69" s="2171"/>
      <c r="T69" s="2171"/>
      <c r="U69" s="2171"/>
      <c r="V69" s="2171"/>
      <c r="W69" s="2171"/>
      <c r="X69" s="2171"/>
      <c r="Y69" s="2171"/>
      <c r="Z69" s="2171"/>
      <c r="AA69" s="2171"/>
      <c r="AB69" s="2171"/>
      <c r="AC69" s="2171"/>
    </row>
    <row r="70" spans="1:29">
      <c r="A70" s="667" t="s">
        <v>540</v>
      </c>
      <c r="B70" s="668" t="s">
        <v>586</v>
      </c>
      <c r="C70" s="706" t="s">
        <v>580</v>
      </c>
      <c r="D70" s="706" t="s">
        <v>581</v>
      </c>
      <c r="E70" s="706" t="s">
        <v>582</v>
      </c>
      <c r="F70" s="706" t="s">
        <v>583</v>
      </c>
      <c r="G70" s="706" t="s">
        <v>584</v>
      </c>
      <c r="H70" s="707"/>
      <c r="I70" s="707"/>
      <c r="J70" s="707"/>
      <c r="K70" s="708"/>
      <c r="L70" s="709"/>
      <c r="M70" s="710"/>
      <c r="N70" s="2165"/>
      <c r="O70" s="2165"/>
      <c r="P70" s="2175"/>
      <c r="Q70" s="2159"/>
      <c r="R70" s="2146"/>
      <c r="S70" s="2146"/>
      <c r="T70" s="2146"/>
      <c r="U70" s="2146"/>
      <c r="V70" s="2146"/>
      <c r="W70" s="2146"/>
      <c r="X70" s="2146"/>
      <c r="Y70" s="2146"/>
      <c r="Z70" s="2146"/>
      <c r="AA70" s="2146"/>
      <c r="AB70" s="2146"/>
      <c r="AC70" s="214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7"/>
      <c r="O71" s="2167"/>
      <c r="P71" s="2166"/>
      <c r="Q71" s="2159"/>
      <c r="R71" s="2146"/>
      <c r="S71" s="2146"/>
      <c r="T71" s="2146"/>
      <c r="U71" s="2146"/>
      <c r="V71" s="2146"/>
      <c r="W71" s="2146"/>
      <c r="X71" s="2146"/>
      <c r="Y71" s="2146"/>
      <c r="Z71" s="2146"/>
      <c r="AA71" s="2146"/>
      <c r="AB71" s="2146"/>
      <c r="AC71" s="2146"/>
    </row>
    <row r="72" spans="1:29" ht="15.75" thickTop="1">
      <c r="A72" s="672"/>
      <c r="B72" s="676" t="s">
        <v>587</v>
      </c>
      <c r="C72" s="711" t="s">
        <v>580</v>
      </c>
      <c r="D72" s="711" t="s">
        <v>581</v>
      </c>
      <c r="E72" s="711" t="s">
        <v>582</v>
      </c>
      <c r="F72" s="711" t="s">
        <v>583</v>
      </c>
      <c r="G72" s="711" t="s">
        <v>584</v>
      </c>
      <c r="H72" s="677"/>
      <c r="I72" s="677"/>
      <c r="J72" s="677"/>
      <c r="K72" s="678"/>
      <c r="L72" s="679"/>
      <c r="M72" s="680"/>
      <c r="N72" s="2165"/>
      <c r="O72" s="2165"/>
      <c r="P72" s="2166"/>
      <c r="Q72" s="2159"/>
      <c r="R72" s="2146"/>
      <c r="S72" s="2146"/>
      <c r="T72" s="2146"/>
      <c r="U72" s="2146"/>
      <c r="V72" s="2146"/>
      <c r="W72" s="2146"/>
      <c r="X72" s="2146"/>
      <c r="Y72" s="2146"/>
      <c r="Z72" s="2146"/>
      <c r="AA72" s="2146"/>
      <c r="AB72" s="2146"/>
      <c r="AC72" s="214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7"/>
      <c r="O73" s="2167"/>
      <c r="P73" s="2166"/>
      <c r="Q73" s="2159"/>
      <c r="R73" s="2146"/>
      <c r="S73" s="2146"/>
      <c r="T73" s="2146"/>
      <c r="U73" s="2146"/>
      <c r="V73" s="2146"/>
      <c r="W73" s="2146"/>
      <c r="X73" s="2146"/>
      <c r="Y73" s="2146"/>
      <c r="Z73" s="2146"/>
      <c r="AA73" s="2146"/>
      <c r="AB73" s="2146"/>
      <c r="AC73" s="2146"/>
    </row>
    <row r="74" spans="1:29" ht="15.75" thickTop="1">
      <c r="A74" s="672"/>
      <c r="B74" s="1897" t="s">
        <v>2562</v>
      </c>
      <c r="C74" s="711" t="s">
        <v>580</v>
      </c>
      <c r="D74" s="711" t="s">
        <v>581</v>
      </c>
      <c r="E74" s="711" t="s">
        <v>582</v>
      </c>
      <c r="F74" s="711" t="s">
        <v>583</v>
      </c>
      <c r="G74" s="711" t="s">
        <v>584</v>
      </c>
      <c r="H74" s="677"/>
      <c r="I74" s="677"/>
      <c r="J74" s="677"/>
      <c r="K74" s="678"/>
      <c r="L74" s="679"/>
      <c r="M74" s="680"/>
      <c r="N74" s="2165"/>
      <c r="O74" s="2165"/>
      <c r="P74" s="2166"/>
      <c r="Q74" s="2159"/>
      <c r="R74" s="2146"/>
      <c r="S74" s="2146"/>
      <c r="T74" s="2146"/>
      <c r="U74" s="2146"/>
      <c r="V74" s="2146"/>
      <c r="W74" s="2146"/>
      <c r="X74" s="2146"/>
      <c r="Y74" s="2146"/>
      <c r="Z74" s="2146"/>
      <c r="AA74" s="2146"/>
      <c r="AB74" s="2146"/>
      <c r="AC74" s="214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7"/>
      <c r="O75" s="2167"/>
      <c r="P75" s="2166"/>
      <c r="Q75" s="2159"/>
      <c r="R75" s="2146"/>
      <c r="S75" s="2146"/>
      <c r="T75" s="2146"/>
      <c r="U75" s="2146"/>
      <c r="V75" s="2146"/>
      <c r="W75" s="2146"/>
      <c r="X75" s="2146"/>
      <c r="Y75" s="2146"/>
      <c r="Z75" s="2146"/>
      <c r="AA75" s="2146"/>
      <c r="AB75" s="2146"/>
      <c r="AC75" s="2146"/>
    </row>
    <row r="76" spans="1:29" ht="15.75" thickTop="1">
      <c r="A76" s="672"/>
      <c r="B76" s="2622" t="s">
        <v>2563</v>
      </c>
      <c r="C76" s="2623" t="s">
        <v>2564</v>
      </c>
      <c r="D76" s="2623" t="s">
        <v>2565</v>
      </c>
      <c r="E76" s="2623" t="s">
        <v>2566</v>
      </c>
      <c r="F76" s="2623" t="s">
        <v>2567</v>
      </c>
      <c r="G76" s="2623" t="s">
        <v>2568</v>
      </c>
      <c r="H76" s="937"/>
      <c r="I76" s="937"/>
      <c r="J76" s="937"/>
      <c r="K76" s="937"/>
      <c r="L76" s="937"/>
      <c r="M76" s="562"/>
      <c r="N76" s="2167"/>
      <c r="O76" s="2167"/>
      <c r="P76" s="2166"/>
      <c r="Q76" s="2159"/>
      <c r="R76" s="2146"/>
      <c r="S76" s="2146"/>
      <c r="T76" s="2146"/>
      <c r="U76" s="2146"/>
      <c r="V76" s="2146"/>
      <c r="W76" s="2146"/>
      <c r="X76" s="2146"/>
      <c r="Y76" s="2146"/>
      <c r="Z76" s="2146"/>
      <c r="AA76" s="2146"/>
      <c r="AB76" s="2146"/>
      <c r="AC76" s="214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785</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s="1222" customFormat="1" ht="15.75" thickTop="1">
      <c r="A80" s="712"/>
      <c r="B80" s="676">
        <f>B25</f>
        <v>111</v>
      </c>
      <c r="C80" s="691"/>
      <c r="D80" s="691"/>
      <c r="E80" s="691"/>
      <c r="F80" s="691"/>
      <c r="G80" s="691"/>
      <c r="H80" s="691"/>
      <c r="I80" s="691"/>
      <c r="J80" s="691"/>
      <c r="K80" s="691"/>
      <c r="L80" s="892"/>
      <c r="M80" s="893"/>
      <c r="N80" s="2163"/>
      <c r="O80" s="2163"/>
      <c r="P80" s="2166"/>
      <c r="Q80" s="2159"/>
      <c r="R80" s="1994"/>
      <c r="S80" s="1994"/>
      <c r="T80" s="1994"/>
      <c r="U80" s="1994"/>
      <c r="V80" s="1994"/>
      <c r="W80" s="1994"/>
      <c r="X80" s="1994"/>
      <c r="Y80" s="1994"/>
      <c r="Z80" s="1994"/>
      <c r="AA80" s="1994"/>
      <c r="AB80" s="1994"/>
      <c r="AC80" s="1994"/>
    </row>
    <row r="81" spans="1:29" s="1222" customFormat="1" ht="15.75" thickBot="1">
      <c r="A81" s="712"/>
      <c r="B81" s="681"/>
      <c r="C81" s="695"/>
      <c r="D81" s="674"/>
      <c r="E81" s="674"/>
      <c r="F81" s="674"/>
      <c r="G81" s="674"/>
      <c r="H81" s="674"/>
      <c r="I81" s="674"/>
      <c r="J81" s="674"/>
      <c r="K81" s="674"/>
      <c r="L81" s="674"/>
      <c r="M81" s="675"/>
      <c r="N81" s="2167"/>
      <c r="O81" s="2167"/>
      <c r="P81" s="2166"/>
      <c r="Q81" s="2159"/>
      <c r="R81" s="1994"/>
      <c r="S81" s="1994"/>
      <c r="T81" s="1994"/>
      <c r="U81" s="1994"/>
      <c r="V81" s="1994"/>
      <c r="W81" s="1994"/>
      <c r="X81" s="1994"/>
      <c r="Y81" s="1994"/>
      <c r="Z81" s="1994"/>
      <c r="AA81" s="1994"/>
      <c r="AB81" s="1994"/>
      <c r="AC81" s="1994"/>
    </row>
    <row r="82" spans="1:29" s="1222" customFormat="1" ht="15.75" thickTop="1">
      <c r="A82" s="712"/>
      <c r="B82" s="676">
        <f>B26</f>
        <v>111</v>
      </c>
      <c r="C82" s="691"/>
      <c r="D82" s="691"/>
      <c r="E82" s="691"/>
      <c r="F82" s="691"/>
      <c r="G82" s="691"/>
      <c r="H82" s="691"/>
      <c r="I82" s="691"/>
      <c r="J82" s="691"/>
      <c r="K82" s="691"/>
      <c r="L82" s="892"/>
      <c r="M82" s="893"/>
      <c r="N82" s="2163"/>
      <c r="O82" s="2163"/>
      <c r="P82" s="2166"/>
      <c r="Q82" s="2159"/>
      <c r="R82" s="1994"/>
      <c r="S82" s="1994"/>
      <c r="T82" s="1994"/>
      <c r="U82" s="1994"/>
      <c r="V82" s="1994"/>
      <c r="W82" s="1994"/>
      <c r="X82" s="1994"/>
      <c r="Y82" s="1994"/>
      <c r="Z82" s="1994"/>
      <c r="AA82" s="1994"/>
      <c r="AB82" s="1994"/>
      <c r="AC82" s="1994"/>
    </row>
    <row r="83" spans="1:29" s="1222" customFormat="1" ht="15.75" thickBot="1">
      <c r="A83" s="712"/>
      <c r="B83" s="681"/>
      <c r="C83" s="695"/>
      <c r="D83" s="674"/>
      <c r="E83" s="674"/>
      <c r="F83" s="674"/>
      <c r="G83" s="674"/>
      <c r="H83" s="674"/>
      <c r="I83" s="674"/>
      <c r="J83" s="674"/>
      <c r="K83" s="674"/>
      <c r="L83" s="674"/>
      <c r="M83" s="675"/>
      <c r="N83" s="2167"/>
      <c r="O83" s="2167"/>
      <c r="P83" s="2166"/>
      <c r="Q83" s="2159"/>
      <c r="R83" s="1994"/>
      <c r="S83" s="1994"/>
      <c r="T83" s="1994"/>
      <c r="U83" s="1994"/>
      <c r="V83" s="1994"/>
      <c r="W83" s="1994"/>
      <c r="X83" s="1994"/>
      <c r="Y83" s="1994"/>
      <c r="Z83" s="1994"/>
      <c r="AA83" s="1994"/>
      <c r="AB83" s="1994"/>
      <c r="AC83" s="1994"/>
    </row>
    <row r="84" spans="1:29" s="1341" customFormat="1" ht="15.75" thickTop="1">
      <c r="A84" s="690"/>
      <c r="B84" s="676">
        <f>B27</f>
        <v>111</v>
      </c>
      <c r="C84" s="691"/>
      <c r="D84" s="691"/>
      <c r="E84" s="691"/>
      <c r="F84" s="691"/>
      <c r="G84" s="691"/>
      <c r="H84" s="691"/>
      <c r="I84" s="691"/>
      <c r="J84" s="691"/>
      <c r="K84" s="691"/>
      <c r="L84" s="892"/>
      <c r="M84" s="893"/>
      <c r="N84" s="2168"/>
      <c r="O84" s="2168"/>
      <c r="P84" s="2169"/>
      <c r="Q84" s="2170"/>
      <c r="R84" s="2171"/>
      <c r="S84" s="2171"/>
      <c r="T84" s="2171"/>
      <c r="U84" s="2171"/>
      <c r="V84" s="2171"/>
      <c r="W84" s="2171"/>
      <c r="X84" s="2171"/>
      <c r="Y84" s="2171"/>
      <c r="Z84" s="2171"/>
      <c r="AA84" s="2171"/>
      <c r="AB84" s="2171"/>
      <c r="AC84" s="2171"/>
    </row>
    <row r="85" spans="1:29" s="1341" customFormat="1" ht="15.75" thickBot="1">
      <c r="A85" s="690"/>
      <c r="B85" s="681"/>
      <c r="C85" s="695"/>
      <c r="D85" s="674"/>
      <c r="E85" s="674"/>
      <c r="F85" s="674"/>
      <c r="G85" s="674"/>
      <c r="H85" s="674"/>
      <c r="I85" s="674"/>
      <c r="J85" s="674"/>
      <c r="K85" s="674"/>
      <c r="L85" s="674"/>
      <c r="M85" s="675"/>
      <c r="N85" s="2168"/>
      <c r="O85" s="2168"/>
      <c r="P85" s="2169"/>
      <c r="Q85" s="2170"/>
      <c r="R85" s="2171"/>
      <c r="S85" s="2171"/>
      <c r="T85" s="2171"/>
      <c r="U85" s="2171"/>
      <c r="V85" s="2171"/>
      <c r="W85" s="2171"/>
      <c r="X85" s="2171"/>
      <c r="Y85" s="2171"/>
      <c r="Z85" s="2171"/>
      <c r="AA85" s="2171"/>
      <c r="AB85" s="2171"/>
      <c r="AC85" s="2171"/>
    </row>
    <row r="86" spans="1:29" ht="15.75" thickTop="1">
      <c r="A86" s="672"/>
      <c r="B86" s="684">
        <f>B28</f>
        <v>111</v>
      </c>
      <c r="C86" s="664"/>
      <c r="D86" s="664"/>
      <c r="E86" s="664"/>
      <c r="F86" s="664"/>
      <c r="G86" s="725"/>
      <c r="H86" s="725"/>
      <c r="I86" s="725"/>
      <c r="J86" s="725"/>
      <c r="K86" s="726"/>
      <c r="L86" s="727"/>
      <c r="M86" s="728"/>
      <c r="N86" s="2165"/>
      <c r="O86" s="2165"/>
      <c r="P86" s="2166"/>
      <c r="Q86" s="2159"/>
      <c r="R86" s="2146"/>
      <c r="S86" s="2146"/>
      <c r="T86" s="2146"/>
      <c r="U86" s="2146"/>
      <c r="V86" s="2146"/>
      <c r="W86" s="2146"/>
      <c r="X86" s="2146"/>
      <c r="Y86" s="2146"/>
      <c r="Z86" s="2146"/>
      <c r="AA86" s="2146"/>
      <c r="AB86" s="2146"/>
      <c r="AC86" s="2146"/>
    </row>
    <row r="87" spans="1:29" ht="15.75" thickBot="1">
      <c r="A87" s="895"/>
      <c r="B87" s="702"/>
      <c r="C87" s="703"/>
      <c r="D87" s="703"/>
      <c r="E87" s="703"/>
      <c r="F87" s="703"/>
      <c r="G87" s="729"/>
      <c r="H87" s="729"/>
      <c r="I87" s="729"/>
      <c r="J87" s="729"/>
      <c r="K87" s="729"/>
      <c r="L87" s="729"/>
      <c r="M87" s="730"/>
      <c r="N87" s="2167"/>
      <c r="O87" s="2167"/>
      <c r="P87" s="2166"/>
      <c r="Q87" s="2159"/>
      <c r="R87" s="2146"/>
      <c r="S87" s="2146"/>
      <c r="T87" s="2146"/>
      <c r="U87" s="2146"/>
      <c r="V87" s="2146"/>
      <c r="W87" s="2146"/>
      <c r="X87" s="2146"/>
      <c r="Y87" s="2146"/>
      <c r="Z87" s="2146"/>
      <c r="AA87" s="2146"/>
      <c r="AB87" s="2146"/>
      <c r="AC87" s="2146"/>
    </row>
    <row r="88" spans="1:29">
      <c r="A88" s="667" t="s">
        <v>552</v>
      </c>
      <c r="B88" s="668" t="s">
        <v>748</v>
      </c>
      <c r="C88" s="601"/>
      <c r="D88" s="601"/>
      <c r="E88" s="601"/>
      <c r="F88" s="601"/>
      <c r="G88" s="601"/>
      <c r="H88" s="601"/>
      <c r="I88" s="601"/>
      <c r="J88" s="601"/>
      <c r="K88" s="669"/>
      <c r="L88" s="670"/>
      <c r="M88" s="671"/>
      <c r="N88" s="2165"/>
      <c r="O88" s="2165"/>
      <c r="P88" s="2166"/>
      <c r="Q88" s="2159"/>
      <c r="R88" s="2146"/>
      <c r="S88" s="2146"/>
      <c r="T88" s="2146"/>
      <c r="U88" s="2146"/>
      <c r="V88" s="2146"/>
      <c r="W88" s="2146"/>
      <c r="X88" s="2146"/>
      <c r="Y88" s="2146"/>
      <c r="Z88" s="2146"/>
      <c r="AA88" s="2146"/>
      <c r="AB88" s="2146"/>
      <c r="AC88" s="214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3"/>
      <c r="O90" s="2163"/>
      <c r="P90" s="2166"/>
      <c r="Q90" s="2159"/>
      <c r="R90" s="2146"/>
      <c r="S90" s="2146"/>
      <c r="T90" s="2146"/>
      <c r="U90" s="2146"/>
      <c r="V90" s="2146"/>
      <c r="W90" s="2146"/>
      <c r="X90" s="2146"/>
      <c r="Y90" s="2146"/>
      <c r="Z90" s="2146"/>
      <c r="AA90" s="2146"/>
      <c r="AB90" s="2146"/>
      <c r="AC90" s="2146"/>
    </row>
    <row r="91" spans="1:29" s="1341" customFormat="1">
      <c r="A91" s="731"/>
      <c r="B91" s="732"/>
      <c r="C91" s="733"/>
      <c r="D91" s="733"/>
      <c r="E91" s="733"/>
      <c r="F91" s="733"/>
      <c r="G91" s="733"/>
      <c r="H91" s="733"/>
      <c r="I91" s="733"/>
      <c r="J91" s="734"/>
      <c r="K91" s="734"/>
      <c r="L91" s="735"/>
      <c r="M91" s="736"/>
      <c r="N91" s="2168"/>
      <c r="O91" s="2168"/>
      <c r="P91" s="2169"/>
      <c r="Q91" s="2170"/>
      <c r="R91" s="2171"/>
      <c r="S91" s="2171"/>
      <c r="T91" s="2171"/>
      <c r="U91" s="2171"/>
      <c r="V91" s="2171"/>
      <c r="W91" s="2171"/>
      <c r="X91" s="2171"/>
      <c r="Y91" s="2171"/>
      <c r="Z91" s="2171"/>
      <c r="AA91" s="2171"/>
      <c r="AB91" s="2171"/>
      <c r="AC91" s="2171"/>
    </row>
    <row r="92" spans="1:29" s="1341" customFormat="1" ht="15.75" thickBot="1">
      <c r="A92" s="690"/>
      <c r="B92" s="681"/>
      <c r="C92" s="695"/>
      <c r="D92" s="674"/>
      <c r="E92" s="674"/>
      <c r="F92" s="674"/>
      <c r="G92" s="674"/>
      <c r="H92" s="674"/>
      <c r="I92" s="674"/>
      <c r="J92" s="674"/>
      <c r="K92" s="674"/>
      <c r="L92" s="674"/>
      <c r="M92" s="675"/>
      <c r="N92" s="2167"/>
      <c r="O92" s="2167"/>
      <c r="P92" s="2169"/>
      <c r="Q92" s="2170"/>
      <c r="R92" s="2171"/>
      <c r="S92" s="2171"/>
      <c r="T92" s="2171"/>
      <c r="U92" s="2171"/>
      <c r="V92" s="2171"/>
      <c r="W92" s="2171"/>
      <c r="X92" s="2171"/>
      <c r="Y92" s="2171"/>
      <c r="Z92" s="2171"/>
      <c r="AA92" s="2171"/>
      <c r="AB92" s="2171"/>
      <c r="AC92" s="2171"/>
    </row>
    <row r="93" spans="1:29" ht="15" thickTop="1">
      <c r="A93" s="738"/>
      <c r="B93" s="676" t="s">
        <v>750</v>
      </c>
      <c r="C93" s="691"/>
      <c r="D93" s="691"/>
      <c r="E93" s="721"/>
      <c r="F93" s="721"/>
      <c r="G93" s="721"/>
      <c r="H93" s="721"/>
      <c r="I93" s="721"/>
      <c r="J93" s="721"/>
      <c r="K93" s="722"/>
      <c r="L93" s="723"/>
      <c r="M93" s="72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8"/>
      <c r="B95" s="676" t="s">
        <v>752</v>
      </c>
      <c r="C95" s="691"/>
      <c r="D95" s="691"/>
      <c r="E95" s="691"/>
      <c r="F95" s="721"/>
      <c r="G95" s="721"/>
      <c r="H95" s="721"/>
      <c r="I95" s="721"/>
      <c r="J95" s="721"/>
      <c r="K95" s="722"/>
      <c r="L95" s="723"/>
      <c r="M95" s="724"/>
      <c r="N95" s="2165"/>
      <c r="O95" s="2165"/>
      <c r="P95" s="2166"/>
      <c r="Q95" s="2159"/>
      <c r="R95" s="2146"/>
      <c r="S95" s="2146"/>
      <c r="T95" s="2146"/>
      <c r="U95" s="2146"/>
      <c r="V95" s="2146"/>
      <c r="W95" s="2146"/>
      <c r="X95" s="2146"/>
      <c r="Y95" s="2146"/>
      <c r="Z95" s="2146"/>
      <c r="AA95" s="2146"/>
      <c r="AB95" s="2146"/>
      <c r="AC95" s="214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5"/>
      <c r="O97" s="2165"/>
      <c r="P97" s="2166"/>
      <c r="Q97" s="2159"/>
      <c r="R97" s="2146"/>
      <c r="S97" s="2146"/>
      <c r="T97" s="2146"/>
      <c r="U97" s="2146"/>
      <c r="V97" s="2146"/>
      <c r="W97" s="2146"/>
      <c r="X97" s="2146"/>
      <c r="Y97" s="2146"/>
      <c r="Z97" s="2146"/>
      <c r="AA97" s="2146"/>
      <c r="AB97" s="2146"/>
      <c r="AC97" s="2146"/>
    </row>
    <row r="98" spans="1:29">
      <c r="A98" s="738"/>
      <c r="B98" s="684"/>
      <c r="C98" s="896">
        <v>0.5</v>
      </c>
      <c r="D98" s="896">
        <v>0.6</v>
      </c>
      <c r="E98" s="896">
        <v>0.7</v>
      </c>
      <c r="F98" s="896">
        <v>0.8</v>
      </c>
      <c r="G98" s="896">
        <v>0.9</v>
      </c>
      <c r="H98" s="896">
        <v>1.0001</v>
      </c>
      <c r="I98" s="907"/>
      <c r="J98" s="907"/>
      <c r="K98" s="908"/>
      <c r="L98" s="909"/>
      <c r="M98" s="910"/>
      <c r="N98" s="2165"/>
      <c r="O98" s="2165"/>
      <c r="P98" s="2166"/>
      <c r="Q98" s="2159"/>
      <c r="R98" s="2146"/>
      <c r="S98" s="2146"/>
      <c r="T98" s="2146"/>
      <c r="U98" s="2146"/>
      <c r="V98" s="2146"/>
      <c r="W98" s="2146"/>
      <c r="X98" s="2146"/>
      <c r="Y98" s="2146"/>
      <c r="Z98" s="2146"/>
      <c r="AA98" s="2146"/>
      <c r="AB98" s="2146"/>
      <c r="AC98" s="214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7"/>
      <c r="O99" s="2167"/>
      <c r="P99" s="2166"/>
      <c r="Q99" s="2159"/>
      <c r="R99" s="2146"/>
      <c r="S99" s="2146"/>
      <c r="T99" s="2146"/>
      <c r="U99" s="2146"/>
      <c r="V99" s="2146"/>
      <c r="W99" s="2146"/>
      <c r="X99" s="2146"/>
      <c r="Y99" s="2146"/>
      <c r="Z99" s="2146"/>
      <c r="AA99" s="2146"/>
      <c r="AB99" s="2146"/>
      <c r="AC99" s="2146"/>
    </row>
    <row r="100" spans="1:29" s="1341" customFormat="1" ht="15" thickTop="1">
      <c r="A100" s="731"/>
      <c r="B100" s="676" t="s">
        <v>754</v>
      </c>
      <c r="C100" s="691"/>
      <c r="D100" s="691"/>
      <c r="E100" s="691"/>
      <c r="F100" s="691"/>
      <c r="G100" s="691"/>
      <c r="H100" s="721"/>
      <c r="I100" s="721"/>
      <c r="J100" s="721"/>
      <c r="K100" s="722"/>
      <c r="L100" s="723"/>
      <c r="M100" s="724"/>
      <c r="N100" s="2168"/>
      <c r="O100" s="2168"/>
      <c r="P100" s="2169"/>
      <c r="Q100" s="2170"/>
      <c r="R100" s="2171"/>
      <c r="S100" s="2171"/>
      <c r="T100" s="2171"/>
      <c r="U100" s="2171"/>
      <c r="V100" s="2171"/>
      <c r="W100" s="2171"/>
      <c r="X100" s="2171"/>
      <c r="Y100" s="2171"/>
      <c r="Z100" s="2171"/>
      <c r="AA100" s="2171"/>
      <c r="AB100" s="2171"/>
      <c r="AC100" s="2171"/>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8"/>
      <c r="B102" s="1897" t="s">
        <v>2561</v>
      </c>
      <c r="C102" s="691"/>
      <c r="D102" s="691"/>
      <c r="E102" s="691"/>
      <c r="F102" s="691"/>
      <c r="G102" s="691"/>
      <c r="H102" s="721"/>
      <c r="I102" s="721"/>
      <c r="J102" s="721"/>
      <c r="K102" s="722"/>
      <c r="L102" s="723"/>
      <c r="M102" s="724"/>
      <c r="N102" s="2165"/>
      <c r="O102" s="2165"/>
      <c r="P102" s="2166"/>
      <c r="Q102" s="2159"/>
      <c r="R102" s="2146"/>
      <c r="S102" s="2146"/>
      <c r="T102" s="2146"/>
      <c r="U102" s="2146"/>
      <c r="V102" s="2146"/>
      <c r="W102" s="2146"/>
      <c r="X102" s="2146"/>
      <c r="Y102" s="2146"/>
      <c r="Z102" s="2146"/>
      <c r="AA102" s="2146"/>
      <c r="AB102" s="2146"/>
      <c r="AC102" s="214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8"/>
      <c r="B104" s="676" t="s">
        <v>756</v>
      </c>
      <c r="C104" s="691"/>
      <c r="D104" s="691"/>
      <c r="E104" s="691"/>
      <c r="F104" s="691"/>
      <c r="G104" s="691"/>
      <c r="H104" s="721"/>
      <c r="I104" s="721"/>
      <c r="J104" s="721"/>
      <c r="K104" s="722"/>
      <c r="L104" s="723"/>
      <c r="M104" s="724"/>
      <c r="N104" s="2165"/>
      <c r="O104" s="2165"/>
      <c r="P104" s="2166"/>
      <c r="Q104" s="2159"/>
      <c r="R104" s="2146"/>
      <c r="S104" s="2146"/>
      <c r="T104" s="2146"/>
      <c r="U104" s="2146"/>
      <c r="V104" s="2146"/>
      <c r="W104" s="2146"/>
      <c r="X104" s="2146"/>
      <c r="Y104" s="2146"/>
      <c r="Z104" s="2146"/>
      <c r="AA104" s="2146"/>
      <c r="AB104" s="2146"/>
      <c r="AC104" s="214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7"/>
      <c r="O105" s="2167"/>
      <c r="P105" s="2166"/>
      <c r="Q105" s="2159"/>
      <c r="R105" s="2146"/>
      <c r="S105" s="2146"/>
      <c r="T105" s="2146"/>
      <c r="U105" s="2146"/>
      <c r="V105" s="2146"/>
      <c r="W105" s="2146"/>
      <c r="X105" s="2146"/>
      <c r="Y105" s="2146"/>
      <c r="Z105" s="2146"/>
      <c r="AA105" s="2146"/>
      <c r="AB105" s="2146"/>
      <c r="AC105" s="2146"/>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7"/>
      <c r="O106" s="2167"/>
      <c r="P106" s="2206"/>
      <c r="Q106" s="2207"/>
      <c r="R106" s="2146"/>
      <c r="S106" s="2146"/>
      <c r="T106" s="2146"/>
      <c r="U106" s="2146"/>
      <c r="V106" s="2146"/>
      <c r="W106" s="2146"/>
      <c r="X106" s="2146"/>
      <c r="Y106" s="2146"/>
      <c r="Z106" s="2146"/>
      <c r="AA106" s="2146"/>
      <c r="AB106" s="2146"/>
      <c r="AC106" s="214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7"/>
      <c r="O107" s="2167"/>
      <c r="P107" s="2166"/>
      <c r="Q107" s="2159"/>
      <c r="R107" s="2146"/>
      <c r="S107" s="2146"/>
      <c r="T107" s="2146"/>
      <c r="U107" s="2146"/>
      <c r="V107" s="2146"/>
      <c r="W107" s="2146"/>
      <c r="X107" s="2146"/>
      <c r="Y107" s="2146"/>
      <c r="Z107" s="2146"/>
      <c r="AA107" s="2146"/>
      <c r="AB107" s="2146"/>
      <c r="AC107" s="2146"/>
    </row>
    <row r="108" spans="1:29" s="1341" customFormat="1" ht="15" thickTop="1">
      <c r="A108" s="731"/>
      <c r="B108" s="676">
        <f>B38</f>
        <v>111</v>
      </c>
      <c r="C108" s="691"/>
      <c r="D108" s="691"/>
      <c r="E108" s="691"/>
      <c r="F108" s="691"/>
      <c r="G108" s="691"/>
      <c r="H108" s="692"/>
      <c r="I108" s="692"/>
      <c r="J108" s="692"/>
      <c r="K108" s="692"/>
      <c r="L108" s="693"/>
      <c r="M108" s="694"/>
      <c r="N108" s="2168"/>
      <c r="O108" s="2168"/>
      <c r="P108" s="2169"/>
      <c r="Q108" s="2170"/>
      <c r="R108" s="2171"/>
      <c r="S108" s="2171"/>
      <c r="T108" s="2171"/>
      <c r="U108" s="2171"/>
      <c r="V108" s="2171"/>
      <c r="W108" s="2171"/>
      <c r="X108" s="2171"/>
      <c r="Y108" s="2171"/>
      <c r="Z108" s="2171"/>
      <c r="AA108" s="2171"/>
      <c r="AB108" s="2171"/>
      <c r="AC108" s="2171"/>
    </row>
    <row r="109" spans="1:29" s="1341" customFormat="1" ht="15.75" thickBot="1">
      <c r="A109" s="690"/>
      <c r="B109" s="673"/>
      <c r="C109" s="695"/>
      <c r="D109" s="674"/>
      <c r="E109" s="674"/>
      <c r="F109" s="674"/>
      <c r="G109" s="695"/>
      <c r="H109" s="696"/>
      <c r="I109" s="696"/>
      <c r="J109" s="696"/>
      <c r="K109" s="696"/>
      <c r="L109" s="696"/>
      <c r="M109" s="697"/>
      <c r="N109" s="2168"/>
      <c r="O109" s="2168"/>
      <c r="P109" s="2169"/>
      <c r="Q109" s="2170"/>
      <c r="R109" s="2171"/>
      <c r="S109" s="2171"/>
      <c r="T109" s="2171"/>
      <c r="U109" s="2171"/>
      <c r="V109" s="2171"/>
      <c r="W109" s="2171"/>
      <c r="X109" s="2171"/>
      <c r="Y109" s="2171"/>
      <c r="Z109" s="2171"/>
      <c r="AA109" s="2171"/>
      <c r="AB109" s="2171"/>
      <c r="AC109" s="2171"/>
    </row>
    <row r="110" spans="1:29" ht="15" thickTop="1">
      <c r="A110" s="738"/>
      <c r="B110" s="676">
        <f>B39</f>
        <v>111</v>
      </c>
      <c r="C110" s="691"/>
      <c r="D110" s="691"/>
      <c r="E110" s="691"/>
      <c r="F110" s="691"/>
      <c r="G110" s="691"/>
      <c r="H110" s="692"/>
      <c r="I110" s="692"/>
      <c r="J110" s="692"/>
      <c r="K110" s="692"/>
      <c r="L110" s="693"/>
      <c r="M110" s="694"/>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695"/>
      <c r="D111" s="674"/>
      <c r="E111" s="674"/>
      <c r="F111" s="674"/>
      <c r="G111" s="695"/>
      <c r="H111" s="696"/>
      <c r="I111" s="696"/>
      <c r="J111" s="696"/>
      <c r="K111" s="696"/>
      <c r="L111" s="696"/>
      <c r="M111" s="697"/>
      <c r="N111" s="2167"/>
      <c r="O111" s="2167"/>
      <c r="P111" s="2166"/>
      <c r="Q111" s="2159"/>
      <c r="R111" s="2146"/>
      <c r="S111" s="2146"/>
      <c r="T111" s="2146"/>
      <c r="U111" s="2146"/>
      <c r="V111" s="2146"/>
      <c r="W111" s="2146"/>
      <c r="X111" s="2146"/>
      <c r="Y111" s="2146"/>
      <c r="Z111" s="2146"/>
      <c r="AA111" s="2146"/>
      <c r="AB111" s="2146"/>
      <c r="AC111" s="2146"/>
    </row>
    <row r="112" spans="1:29" ht="15" thickTop="1">
      <c r="A112" s="738"/>
      <c r="B112" s="684">
        <f>B40</f>
        <v>111</v>
      </c>
      <c r="C112" s="664"/>
      <c r="D112" s="664"/>
      <c r="E112" s="664"/>
      <c r="F112" s="664"/>
      <c r="G112" s="725"/>
      <c r="H112" s="725"/>
      <c r="I112" s="725"/>
      <c r="J112" s="725"/>
      <c r="K112" s="664"/>
      <c r="L112" s="665"/>
      <c r="M112" s="728"/>
      <c r="N112" s="2165"/>
      <c r="O112" s="2165"/>
      <c r="P112" s="2166"/>
      <c r="Q112" s="2159"/>
      <c r="R112" s="2146"/>
      <c r="S112" s="2146"/>
      <c r="T112" s="2146"/>
      <c r="U112" s="2146"/>
      <c r="V112" s="2146"/>
      <c r="W112" s="2146"/>
      <c r="X112" s="2146"/>
      <c r="Y112" s="2146"/>
      <c r="Z112" s="2146"/>
      <c r="AA112" s="2146"/>
      <c r="AB112" s="2146"/>
      <c r="AC112" s="2146"/>
    </row>
    <row r="113" spans="1:29" ht="15.75" thickBot="1">
      <c r="A113" s="895"/>
      <c r="B113" s="702"/>
      <c r="C113" s="703"/>
      <c r="D113" s="703"/>
      <c r="E113" s="703"/>
      <c r="F113" s="703"/>
      <c r="G113" s="729"/>
      <c r="H113" s="729"/>
      <c r="I113" s="729"/>
      <c r="J113" s="729"/>
      <c r="K113" s="729"/>
      <c r="L113" s="729"/>
      <c r="M113" s="730"/>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豫泰国际（河南）房地产开发有限公司：</v>
      </c>
    </row>
    <row r="4" spans="1:4" ht="37.5">
      <c r="A4" s="1792" t="str">
        <f>"受贵公司委托，我公司对"&amp;项目基本情况!K2&amp;项目基本情况!B9&amp;"进行了预评估。"</f>
        <v>受贵公司委托，我公司对河南省郑州市惠济区金达路南北、裕泰路西出让国有建设用地使用权抵押价格进行了预评估。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331165.86平方米。</v>
      </c>
    </row>
    <row r="7" spans="1:4" ht="93.75">
      <c r="A7" s="2900" t="s">
        <v>2755</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2017年10月17日（评估专业人员勘察现场之日）</v>
      </c>
    </row>
    <row r="12" spans="1:4" ht="18.75">
      <c r="A12" s="1798" t="s">
        <v>2029</v>
      </c>
    </row>
    <row r="13" spans="1:4" ht="18.75">
      <c r="A13" s="1792" t="s">
        <v>2075</v>
      </c>
    </row>
    <row r="14" spans="1:4" ht="37.5">
      <c r="A14" s="1792" t="str">
        <f>"根据"&amp;项目基本情况!F12&amp;"，本次评估估价对象证载（地类）用途为"&amp;项目基本情况!B12&amp;"。"</f>
        <v>根据《国有土地使用证》[郑国用（2004）第0556号]，本次评估估价对象证载（地类）用途为混合住宅。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根据《国有土地使用证》[]，估价对象（分摊）出让国有建设用地使用权面积为97754.96平方米。根据《建设工程规划许可证》[]、《出让合同》[]，估价对象规划建筑面积为331165.86平方米。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2" t="s">
        <v>2756</v>
      </c>
    </row>
    <row r="24" spans="1:1" ht="18.75">
      <c r="A24" s="1792" t="s">
        <v>2079</v>
      </c>
    </row>
    <row r="25" spans="1:1" ht="93.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4"/>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49" t="s">
        <v>2080</v>
      </c>
      <c r="F3" s="854">
        <f>SUMIF('数据-取费表'!A5:A15,D1,'数据-取费表'!AH5:AH15)</f>
        <v>0</v>
      </c>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798</v>
      </c>
      <c r="B4" s="516"/>
      <c r="C4" s="3366" t="s">
        <v>799</v>
      </c>
      <c r="D4" s="3367"/>
      <c r="E4" s="3366" t="s">
        <v>800</v>
      </c>
      <c r="F4" s="3367"/>
      <c r="G4" s="3366" t="s">
        <v>801</v>
      </c>
      <c r="H4" s="3367"/>
      <c r="I4" s="3366" t="s">
        <v>802</v>
      </c>
      <c r="J4" s="3367"/>
      <c r="K4" s="517" t="s">
        <v>803</v>
      </c>
      <c r="L4" s="2134"/>
      <c r="M4" s="2135"/>
      <c r="N4" s="2135"/>
      <c r="O4" s="2135"/>
      <c r="P4" s="3368" t="s">
        <v>804</v>
      </c>
      <c r="Q4" s="3369"/>
      <c r="R4" s="3374" t="s">
        <v>800</v>
      </c>
      <c r="S4" s="3375"/>
      <c r="T4" s="3374" t="s">
        <v>801</v>
      </c>
      <c r="U4" s="3375"/>
      <c r="V4" s="3361" t="s">
        <v>802</v>
      </c>
      <c r="W4" s="3361"/>
      <c r="X4" s="1569"/>
      <c r="Y4" s="3374" t="s">
        <v>804</v>
      </c>
      <c r="Z4" s="3375"/>
      <c r="AA4" s="3363" t="s">
        <v>800</v>
      </c>
      <c r="AB4" s="3364" t="s">
        <v>801</v>
      </c>
      <c r="AC4" s="3363" t="s">
        <v>802</v>
      </c>
    </row>
    <row r="5" spans="1:29" ht="15">
      <c r="A5" s="518"/>
      <c r="B5" s="519"/>
      <c r="C5" s="3384" t="s">
        <v>2934</v>
      </c>
      <c r="D5" s="3383"/>
      <c r="E5" s="3384" t="s">
        <v>2935</v>
      </c>
      <c r="F5" s="3383"/>
      <c r="G5" s="3384" t="s">
        <v>2936</v>
      </c>
      <c r="H5" s="3383"/>
      <c r="I5" s="3384" t="s">
        <v>2937</v>
      </c>
      <c r="J5" s="3383"/>
      <c r="K5" s="517"/>
      <c r="L5" s="2134"/>
      <c r="M5" s="2135"/>
      <c r="N5" s="2135"/>
      <c r="O5" s="2135"/>
      <c r="P5" s="3370"/>
      <c r="Q5" s="3371"/>
      <c r="R5" s="3376"/>
      <c r="S5" s="3377"/>
      <c r="T5" s="3376"/>
      <c r="U5" s="3377"/>
      <c r="V5" s="3361"/>
      <c r="W5" s="3361"/>
      <c r="X5" s="1569"/>
      <c r="Y5" s="3376"/>
      <c r="Z5" s="3377"/>
      <c r="AA5" s="3364"/>
      <c r="AB5" s="3364"/>
      <c r="AC5" s="3364"/>
    </row>
    <row r="6" spans="1:29" ht="15.75" thickBot="1">
      <c r="A6" s="520"/>
      <c r="B6" s="521"/>
      <c r="C6" s="3404" t="s">
        <v>2938</v>
      </c>
      <c r="D6" s="3381"/>
      <c r="E6" s="3385" t="s">
        <v>2938</v>
      </c>
      <c r="F6" s="3386"/>
      <c r="G6" s="3404" t="s">
        <v>2938</v>
      </c>
      <c r="H6" s="3381"/>
      <c r="I6" s="3404" t="s">
        <v>2938</v>
      </c>
      <c r="J6" s="3381"/>
      <c r="K6" s="517" t="s">
        <v>529</v>
      </c>
      <c r="L6" s="2134"/>
      <c r="M6" s="2135"/>
      <c r="N6" s="2135"/>
      <c r="O6" s="2135"/>
      <c r="P6" s="3372"/>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c r="F7" s="525">
        <f>SUMIF(48:48,YEAR(E7)&amp;"-"&amp;MONTH(E7),49:49)</f>
        <v>0</v>
      </c>
      <c r="G7" s="526"/>
      <c r="H7" s="523">
        <f>SUMIF(48:48,YEAR(G7)&amp;"-"&amp;MONTH(G7),49:49)</f>
        <v>0</v>
      </c>
      <c r="I7" s="526"/>
      <c r="J7" s="523">
        <f>SUMIF(48:48,YEAR(I7)&amp;"-"&amp;MONTH(I7),49:49)</f>
        <v>0</v>
      </c>
      <c r="K7" s="527"/>
      <c r="L7" s="2136"/>
      <c r="M7" s="2137"/>
      <c r="N7" s="2137"/>
      <c r="O7" s="2137"/>
      <c r="P7" s="3393" t="s">
        <v>531</v>
      </c>
      <c r="Q7" s="3395"/>
      <c r="R7" s="1570" t="s">
        <v>8</v>
      </c>
      <c r="S7" s="1571">
        <f t="shared" ref="S7:S14" si="0">F7</f>
        <v>0</v>
      </c>
      <c r="T7" s="1570" t="s">
        <v>8</v>
      </c>
      <c r="U7" s="1571">
        <f t="shared" ref="U7:U14" si="1">H7</f>
        <v>0</v>
      </c>
      <c r="V7" s="1570" t="s">
        <v>8</v>
      </c>
      <c r="W7" s="1571">
        <f t="shared" ref="W7:W14"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SUMIF(51:51,E8,52:52)-SUMIF(51:51,C8,52:52)+100</f>
        <v>0</v>
      </c>
      <c r="G8" s="528"/>
      <c r="H8" s="523">
        <f>SUMIF(51:51,G8,52:52)-SUMIF(51:51,C8,52:52)+100</f>
        <v>0</v>
      </c>
      <c r="I8" s="528"/>
      <c r="J8" s="523">
        <f>SUMIF(51:51,I8,52:52)-SUMIF(51:51,C8,52:52)+100</f>
        <v>0</v>
      </c>
      <c r="K8" s="527"/>
      <c r="L8" s="2136"/>
      <c r="M8" s="2137"/>
      <c r="N8" s="2137"/>
      <c r="O8" s="2137"/>
      <c r="P8" s="3393" t="s">
        <v>534</v>
      </c>
      <c r="Q8" s="3394"/>
      <c r="R8" s="1570" t="s">
        <v>8</v>
      </c>
      <c r="S8" s="1571">
        <f t="shared" si="0"/>
        <v>0</v>
      </c>
      <c r="T8" s="1570" t="s">
        <v>8</v>
      </c>
      <c r="U8" s="1571">
        <f t="shared" si="1"/>
        <v>0</v>
      </c>
      <c r="V8" s="1570" t="s">
        <v>8</v>
      </c>
      <c r="W8" s="1571">
        <f t="shared" si="2"/>
        <v>0</v>
      </c>
      <c r="X8" s="1572"/>
      <c r="Y8" s="3393" t="s">
        <v>534</v>
      </c>
      <c r="Z8" s="3394"/>
      <c r="AA8" s="1573" t="e">
        <f t="shared" ref="AA8:AA36" si="3">D8/F8</f>
        <v>#DIV/0!</v>
      </c>
      <c r="AB8" s="1573" t="e">
        <f t="shared" ref="AB8:AB36" si="4">D8/H8</f>
        <v>#DIV/0!</v>
      </c>
      <c r="AC8" s="1573" t="e">
        <f t="shared" ref="AC8:AC36" si="5">D8/J8</f>
        <v>#DIV/0!</v>
      </c>
    </row>
    <row r="9" spans="1:29" s="1222" customFormat="1" ht="15">
      <c r="A9" s="2941"/>
      <c r="B9" s="2948" t="s">
        <v>2763</v>
      </c>
      <c r="C9" s="860"/>
      <c r="D9" s="254">
        <v>100</v>
      </c>
      <c r="E9" s="863"/>
      <c r="F9" s="254">
        <f>SUMIF(53:53,E9,54:54)-SUMIF(53:53,C9,54:54)+100</f>
        <v>100</v>
      </c>
      <c r="G9" s="861"/>
      <c r="H9" s="254">
        <f>SUMIF(53:53,G9,54:54)-SUMIF(53:53,C9,54:54)+100</f>
        <v>100</v>
      </c>
      <c r="I9" s="861"/>
      <c r="J9" s="254">
        <f>SUMIF(53:53,I9,54:54)-SUMIF(53:53,C9,54:54)+100</f>
        <v>100</v>
      </c>
      <c r="K9" s="527"/>
      <c r="L9" s="2136"/>
      <c r="M9" s="2137"/>
      <c r="N9" s="2137"/>
      <c r="O9" s="2138"/>
      <c r="P9" s="3360" t="s">
        <v>536</v>
      </c>
      <c r="Q9" s="1153" t="str">
        <f t="shared" ref="Q9:Q14" si="6">B9</f>
        <v>用途</v>
      </c>
      <c r="R9" s="1570" t="s">
        <v>8</v>
      </c>
      <c r="S9" s="1571">
        <f t="shared" si="0"/>
        <v>100</v>
      </c>
      <c r="T9" s="1570" t="s">
        <v>8</v>
      </c>
      <c r="U9" s="1571">
        <f t="shared" si="1"/>
        <v>100</v>
      </c>
      <c r="V9" s="1570" t="s">
        <v>8</v>
      </c>
      <c r="W9" s="1571">
        <f t="shared" si="2"/>
        <v>100</v>
      </c>
      <c r="X9" s="1572"/>
      <c r="Y9" s="3306" t="s">
        <v>537</v>
      </c>
      <c r="Z9" s="1152" t="str">
        <f t="shared" ref="Z9:Z14" si="7">Q9</f>
        <v>用途</v>
      </c>
      <c r="AA9" s="1573">
        <f t="shared" si="3"/>
        <v>1</v>
      </c>
      <c r="AB9" s="1573">
        <f t="shared" si="4"/>
        <v>1</v>
      </c>
      <c r="AC9" s="1573">
        <f t="shared" si="5"/>
        <v>1</v>
      </c>
    </row>
    <row r="10" spans="1:29" s="1340" customFormat="1" ht="27">
      <c r="A10" s="2942"/>
      <c r="B10" s="2947" t="s">
        <v>2764</v>
      </c>
      <c r="C10" s="864"/>
      <c r="D10" s="255">
        <v>100</v>
      </c>
      <c r="E10" s="864"/>
      <c r="F10" s="255">
        <f>SUMIF(55:55,E10,56:56)-SUMIF(55:55,C10,56:56)+100</f>
        <v>100</v>
      </c>
      <c r="G10" s="865"/>
      <c r="H10" s="255">
        <f>SUMIF(55:55,G10,56:56)-SUMIF(55:55,C10,56:56)+100</f>
        <v>100</v>
      </c>
      <c r="I10" s="864"/>
      <c r="J10" s="255">
        <f>SUMIF(55:55,I10,56:56)-SUMIF(55:55,C10,56:56)+100</f>
        <v>100</v>
      </c>
      <c r="K10" s="587"/>
      <c r="L10" s="2139"/>
      <c r="M10" s="2179"/>
      <c r="N10" s="2179"/>
      <c r="O10" s="2140"/>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4"/>
      <c r="B11" s="2950">
        <v>111</v>
      </c>
      <c r="C11" s="531"/>
      <c r="D11" s="255">
        <v>100</v>
      </c>
      <c r="E11" s="531"/>
      <c r="F11" s="255">
        <f>SUMIF(57:57,E11,58:58)-SUMIF(57:57,C11,58:58)+100</f>
        <v>100</v>
      </c>
      <c r="G11" s="531"/>
      <c r="H11" s="255">
        <f>SUMIF(57:57,G11,58:58)-SUMIF(57:57,C11,58:58)+100</f>
        <v>100</v>
      </c>
      <c r="I11" s="531"/>
      <c r="J11" s="255">
        <f>SUMIF(57:57,I11,58:58)-SUMIF(57:57,C11,58:58)+100</f>
        <v>100</v>
      </c>
      <c r="K11" s="584"/>
      <c r="L11" s="2141"/>
      <c r="M11" s="2135"/>
      <c r="N11" s="2135"/>
      <c r="O11" s="2142"/>
      <c r="P11" s="3360"/>
      <c r="Q11" s="1153">
        <f t="shared" si="6"/>
        <v>111</v>
      </c>
      <c r="R11" s="1570" t="s">
        <v>8</v>
      </c>
      <c r="S11" s="1571">
        <f t="shared" si="0"/>
        <v>100</v>
      </c>
      <c r="T11" s="1570" t="s">
        <v>8</v>
      </c>
      <c r="U11" s="1571">
        <f t="shared" si="1"/>
        <v>100</v>
      </c>
      <c r="V11" s="1570" t="s">
        <v>8</v>
      </c>
      <c r="W11" s="1571">
        <f t="shared" si="2"/>
        <v>100</v>
      </c>
      <c r="X11" s="1572"/>
      <c r="Y11" s="3306"/>
      <c r="Z11" s="1152">
        <f t="shared" si="7"/>
        <v>111</v>
      </c>
      <c r="AA11" s="1573">
        <f t="shared" si="3"/>
        <v>1</v>
      </c>
      <c r="AB11" s="1573">
        <f t="shared" si="4"/>
        <v>1</v>
      </c>
      <c r="AC11" s="1573">
        <f t="shared" si="5"/>
        <v>1</v>
      </c>
    </row>
    <row r="12" spans="1:29" s="1222" customFormat="1" ht="15">
      <c r="A12" s="2944"/>
      <c r="B12" s="2950">
        <v>111</v>
      </c>
      <c r="C12" s="531"/>
      <c r="D12" s="541">
        <v>100</v>
      </c>
      <c r="E12" s="531"/>
      <c r="F12" s="255">
        <f>SUMIF(59:59,E12,60:60)-SUMIF(59:59,C12,60:60)+100</f>
        <v>100</v>
      </c>
      <c r="G12" s="531"/>
      <c r="H12" s="255">
        <f>SUMIF(59:59,G12,60:60)-SUMIF(59:59,C12,60:60)+100</f>
        <v>100</v>
      </c>
      <c r="I12" s="531"/>
      <c r="J12" s="255">
        <f>SUMIF(59:59,I12,60:60)-SUMIF(59:59,C12,60:60)+100</f>
        <v>100</v>
      </c>
      <c r="K12" s="584"/>
      <c r="L12" s="2136"/>
      <c r="M12" s="2137"/>
      <c r="N12" s="2137"/>
      <c r="O12" s="2138"/>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75" thickBot="1">
      <c r="A13" s="2945"/>
      <c r="B13" s="2951">
        <v>111</v>
      </c>
      <c r="C13" s="542"/>
      <c r="D13" s="543">
        <v>100</v>
      </c>
      <c r="E13" s="531"/>
      <c r="F13" s="255">
        <f>SUMIF(61:61,E13,62:62)-SUMIF(61:61,C13,62:62)+100</f>
        <v>100</v>
      </c>
      <c r="G13" s="531"/>
      <c r="H13" s="543">
        <f>SUMIF(61:61,G13,62:62)-SUMIF(61:61,C13,62:62)+100</f>
        <v>100</v>
      </c>
      <c r="I13" s="531"/>
      <c r="J13" s="543">
        <f>SUMIF(61:61,I13,62:62)-SUMIF(61:61,C13,62:62)+100</f>
        <v>100</v>
      </c>
      <c r="K13" s="584"/>
      <c r="L13" s="2143"/>
      <c r="M13" s="2135"/>
      <c r="N13" s="2135"/>
      <c r="O13" s="2142"/>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85.5">
      <c r="A14" s="2937" t="s">
        <v>2761</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3"/>
      <c r="M14" s="2135"/>
      <c r="N14" s="2135"/>
      <c r="O14" s="2142"/>
      <c r="P14" s="3396" t="s">
        <v>541</v>
      </c>
      <c r="Q14" s="1574" t="str">
        <f t="shared" si="6"/>
        <v>交通便捷度</v>
      </c>
      <c r="R14" s="1575" t="s">
        <v>8</v>
      </c>
      <c r="S14" s="1576">
        <f t="shared" si="0"/>
        <v>100</v>
      </c>
      <c r="T14" s="1575" t="s">
        <v>8</v>
      </c>
      <c r="U14" s="1576">
        <f t="shared" si="1"/>
        <v>100</v>
      </c>
      <c r="V14" s="1575" t="s">
        <v>8</v>
      </c>
      <c r="W14" s="1576">
        <f t="shared" si="2"/>
        <v>100</v>
      </c>
      <c r="X14" s="1569"/>
      <c r="Y14" s="3396"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3"/>
      <c r="M15" s="2135"/>
      <c r="N15" s="2135"/>
      <c r="O15" s="2142"/>
      <c r="P15" s="3397"/>
      <c r="Q15" s="1574"/>
      <c r="R15" s="1575"/>
      <c r="S15" s="1576"/>
      <c r="T15" s="1575"/>
      <c r="U15" s="1576"/>
      <c r="V15" s="1575"/>
      <c r="W15" s="1576"/>
      <c r="X15" s="1569"/>
      <c r="Y15" s="3397"/>
      <c r="Z15" s="1577"/>
      <c r="AA15" s="1578">
        <v>1</v>
      </c>
      <c r="AB15" s="1578">
        <v>1</v>
      </c>
      <c r="AC15" s="1578">
        <v>1</v>
      </c>
    </row>
    <row r="16" spans="1:29" ht="42.75">
      <c r="A16" s="518"/>
      <c r="B16" s="2628" t="s">
        <v>2551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43"/>
      <c r="M16" s="2135"/>
      <c r="N16" s="2135"/>
      <c r="O16" s="2142"/>
      <c r="P16" s="3397"/>
      <c r="Q16" s="1574" t="str">
        <f>B16</f>
        <v>公共配套设施</v>
      </c>
      <c r="R16" s="1575" t="s">
        <v>8</v>
      </c>
      <c r="S16" s="1576">
        <f>F16</f>
        <v>100</v>
      </c>
      <c r="T16" s="1575" t="s">
        <v>8</v>
      </c>
      <c r="U16" s="1576">
        <f>H16</f>
        <v>100</v>
      </c>
      <c r="V16" s="1575" t="s">
        <v>8</v>
      </c>
      <c r="W16" s="1576">
        <f>J16</f>
        <v>100</v>
      </c>
      <c r="X16" s="1569"/>
      <c r="Y16" s="3397"/>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3"/>
      <c r="M17" s="2135"/>
      <c r="N17" s="2135"/>
      <c r="O17" s="2142"/>
      <c r="P17" s="3397"/>
      <c r="Q17" s="1574"/>
      <c r="R17" s="1575"/>
      <c r="S17" s="1576"/>
      <c r="T17" s="1575"/>
      <c r="U17" s="1576"/>
      <c r="V17" s="1575"/>
      <c r="W17" s="1576"/>
      <c r="X17" s="1569"/>
      <c r="Y17" s="3397"/>
      <c r="Z17" s="1577"/>
      <c r="AA17" s="1578">
        <v>1</v>
      </c>
      <c r="AB17" s="1578">
        <v>1</v>
      </c>
      <c r="AC17" s="1578">
        <v>1</v>
      </c>
    </row>
    <row r="18" spans="1:29" ht="28.5">
      <c r="A18" s="518"/>
      <c r="B18" s="2616" t="s">
        <v>2563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43"/>
      <c r="M18" s="2135"/>
      <c r="N18" s="2135"/>
      <c r="O18" s="2142"/>
      <c r="P18" s="3397"/>
      <c r="Q18" s="2604" t="str">
        <f>B18</f>
        <v>基础设施水平</v>
      </c>
      <c r="R18" s="1575" t="s">
        <v>8</v>
      </c>
      <c r="S18" s="1576">
        <f>F18</f>
        <v>100</v>
      </c>
      <c r="T18" s="1575" t="s">
        <v>8</v>
      </c>
      <c r="U18" s="1576">
        <f>H18</f>
        <v>100</v>
      </c>
      <c r="V18" s="1575" t="s">
        <v>8</v>
      </c>
      <c r="W18" s="1576">
        <f>J18</f>
        <v>100</v>
      </c>
      <c r="X18" s="2606"/>
      <c r="Y18" s="3397"/>
      <c r="Z18" s="2605"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7"/>
      <c r="L19" s="2143"/>
      <c r="M19" s="2135"/>
      <c r="N19" s="2135"/>
      <c r="O19" s="2142"/>
      <c r="P19" s="3397"/>
      <c r="Q19" s="2604"/>
      <c r="R19" s="1575"/>
      <c r="S19" s="1576"/>
      <c r="T19" s="1575"/>
      <c r="U19" s="1576"/>
      <c r="V19" s="1575"/>
      <c r="W19" s="1576"/>
      <c r="X19" s="2606"/>
      <c r="Y19" s="3397"/>
      <c r="Z19" s="2605"/>
      <c r="AA19" s="1578">
        <v>1</v>
      </c>
      <c r="AB19" s="1578">
        <v>1</v>
      </c>
      <c r="AC19" s="1578">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3"/>
      <c r="M20" s="2135"/>
      <c r="N20" s="2135"/>
      <c r="O20" s="2142"/>
      <c r="P20" s="3397"/>
      <c r="Q20" s="1574" t="str">
        <f>B20</f>
        <v>自然及人文环境</v>
      </c>
      <c r="R20" s="1575" t="s">
        <v>8</v>
      </c>
      <c r="S20" s="1576">
        <f>F20</f>
        <v>100</v>
      </c>
      <c r="T20" s="1575" t="s">
        <v>8</v>
      </c>
      <c r="U20" s="1576">
        <f>H20</f>
        <v>100</v>
      </c>
      <c r="V20" s="1575" t="s">
        <v>8</v>
      </c>
      <c r="W20" s="1576">
        <f>J20</f>
        <v>100</v>
      </c>
      <c r="X20" s="1569"/>
      <c r="Y20" s="3397"/>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3"/>
      <c r="M21" s="2135"/>
      <c r="N21" s="2135"/>
      <c r="O21" s="2142"/>
      <c r="P21" s="3397"/>
      <c r="Q21" s="1574"/>
      <c r="R21" s="1575"/>
      <c r="S21" s="1576"/>
      <c r="T21" s="1575"/>
      <c r="U21" s="1576"/>
      <c r="V21" s="1575"/>
      <c r="W21" s="1576"/>
      <c r="X21" s="1569"/>
      <c r="Y21" s="3397"/>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3"/>
      <c r="M22" s="2135"/>
      <c r="N22" s="2135"/>
      <c r="O22" s="2142"/>
      <c r="P22" s="3397"/>
      <c r="Q22" s="1574" t="str">
        <f>B22</f>
        <v>楼层</v>
      </c>
      <c r="R22" s="1575" t="s">
        <v>8</v>
      </c>
      <c r="S22" s="1576">
        <f>F22</f>
        <v>100</v>
      </c>
      <c r="T22" s="1575" t="s">
        <v>8</v>
      </c>
      <c r="U22" s="1576">
        <f>H22</f>
        <v>100</v>
      </c>
      <c r="V22" s="1575" t="s">
        <v>8</v>
      </c>
      <c r="W22" s="1576">
        <f>J22</f>
        <v>100</v>
      </c>
      <c r="X22" s="1569"/>
      <c r="Y22" s="3397"/>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3"/>
      <c r="M23" s="2135"/>
      <c r="N23" s="2135"/>
      <c r="O23" s="2142"/>
      <c r="P23" s="3397"/>
      <c r="Q23" s="1574">
        <f>B23</f>
        <v>111</v>
      </c>
      <c r="R23" s="1575" t="s">
        <v>8</v>
      </c>
      <c r="S23" s="1576">
        <f>F23</f>
        <v>100</v>
      </c>
      <c r="T23" s="1575" t="s">
        <v>8</v>
      </c>
      <c r="U23" s="1576">
        <f>H23</f>
        <v>100</v>
      </c>
      <c r="V23" s="1575" t="s">
        <v>8</v>
      </c>
      <c r="W23" s="1576">
        <f>J23</f>
        <v>100</v>
      </c>
      <c r="X23" s="1569"/>
      <c r="Y23" s="3397"/>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3"/>
      <c r="M24" s="2135"/>
      <c r="N24" s="2135"/>
      <c r="O24" s="2142"/>
      <c r="P24" s="3397"/>
      <c r="Q24" s="1574">
        <f t="shared" ref="Q24:Q36" si="11">B24</f>
        <v>111</v>
      </c>
      <c r="R24" s="1575" t="s">
        <v>8</v>
      </c>
      <c r="S24" s="1576">
        <f>F24</f>
        <v>100</v>
      </c>
      <c r="T24" s="1575" t="s">
        <v>8</v>
      </c>
      <c r="U24" s="1576">
        <f>H24</f>
        <v>100</v>
      </c>
      <c r="V24" s="1575" t="s">
        <v>8</v>
      </c>
      <c r="W24" s="1576">
        <f>J24</f>
        <v>100</v>
      </c>
      <c r="X24" s="1569"/>
      <c r="Y24" s="3397"/>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6"/>
      <c r="M25" s="2137"/>
      <c r="N25" s="2137"/>
      <c r="O25" s="2138"/>
      <c r="P25" s="3397"/>
      <c r="Q25" s="1153">
        <f t="shared" si="11"/>
        <v>111</v>
      </c>
      <c r="R25" s="1570" t="s">
        <v>8</v>
      </c>
      <c r="S25" s="1571">
        <f>F25</f>
        <v>100</v>
      </c>
      <c r="T25" s="1570" t="s">
        <v>8</v>
      </c>
      <c r="U25" s="1571">
        <f>H25</f>
        <v>100</v>
      </c>
      <c r="V25" s="1570" t="s">
        <v>8</v>
      </c>
      <c r="W25" s="1571">
        <f>J25</f>
        <v>100</v>
      </c>
      <c r="X25" s="1572"/>
      <c r="Y25" s="3397"/>
      <c r="Z25" s="1152">
        <f>Q25</f>
        <v>111</v>
      </c>
      <c r="AA25" s="1578">
        <f>D25/F25</f>
        <v>1</v>
      </c>
      <c r="AB25" s="1578">
        <f>D25/H25</f>
        <v>1</v>
      </c>
      <c r="AC25" s="1578">
        <f>D25/J25</f>
        <v>1</v>
      </c>
    </row>
    <row r="26" spans="1:29" ht="15">
      <c r="A26" s="2934" t="s">
        <v>2762</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3"/>
      <c r="M26" s="2135"/>
      <c r="N26" s="2135"/>
      <c r="O26" s="2142"/>
      <c r="P26" s="3398"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99"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1"/>
      <c r="M27" s="2172"/>
      <c r="N27" s="2172"/>
      <c r="O27" s="2144"/>
      <c r="P27" s="3399"/>
      <c r="Q27" s="1607" t="str">
        <f t="shared" si="11"/>
        <v>项目停车位配比</v>
      </c>
      <c r="R27" s="1579" t="s">
        <v>8</v>
      </c>
      <c r="S27" s="1580">
        <f t="shared" si="12"/>
        <v>100</v>
      </c>
      <c r="T27" s="1579" t="s">
        <v>8</v>
      </c>
      <c r="U27" s="1580">
        <f t="shared" si="13"/>
        <v>100</v>
      </c>
      <c r="V27" s="1579" t="s">
        <v>8</v>
      </c>
      <c r="W27" s="1580">
        <f t="shared" si="14"/>
        <v>100</v>
      </c>
      <c r="X27" s="1581"/>
      <c r="Y27" s="3399"/>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3"/>
      <c r="M28" s="2135"/>
      <c r="N28" s="2135"/>
      <c r="O28" s="2142"/>
      <c r="P28" s="3399"/>
      <c r="Q28" s="1574" t="str">
        <f t="shared" si="11"/>
        <v>公共部分装修</v>
      </c>
      <c r="R28" s="1575" t="s">
        <v>8</v>
      </c>
      <c r="S28" s="1576">
        <f t="shared" si="12"/>
        <v>100</v>
      </c>
      <c r="T28" s="1575" t="s">
        <v>8</v>
      </c>
      <c r="U28" s="1576">
        <f t="shared" si="13"/>
        <v>100</v>
      </c>
      <c r="V28" s="1575" t="s">
        <v>8</v>
      </c>
      <c r="W28" s="1576">
        <f t="shared" si="14"/>
        <v>100</v>
      </c>
      <c r="X28" s="1569"/>
      <c r="Y28" s="3399"/>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3"/>
      <c r="M29" s="2135"/>
      <c r="N29" s="2135"/>
      <c r="O29" s="2142"/>
      <c r="P29" s="3399"/>
      <c r="Q29" s="1574" t="str">
        <f t="shared" si="11"/>
        <v>成新率</v>
      </c>
      <c r="R29" s="1575" t="s">
        <v>8</v>
      </c>
      <c r="S29" s="1576" t="e">
        <f t="shared" si="12"/>
        <v>#N/A</v>
      </c>
      <c r="T29" s="1575" t="s">
        <v>8</v>
      </c>
      <c r="U29" s="1576" t="e">
        <f t="shared" si="13"/>
        <v>#N/A</v>
      </c>
      <c r="V29" s="1575" t="s">
        <v>8</v>
      </c>
      <c r="W29" s="1576" t="e">
        <f t="shared" si="14"/>
        <v>#N/A</v>
      </c>
      <c r="X29" s="1569"/>
      <c r="Y29" s="3399"/>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3"/>
      <c r="M30" s="2135"/>
      <c r="N30" s="2135"/>
      <c r="O30" s="2142"/>
      <c r="P30" s="3399"/>
      <c r="Q30" s="1574" t="str">
        <f t="shared" si="11"/>
        <v>物业等级</v>
      </c>
      <c r="R30" s="1575" t="s">
        <v>8</v>
      </c>
      <c r="S30" s="1576">
        <f t="shared" si="12"/>
        <v>100</v>
      </c>
      <c r="T30" s="1575" t="s">
        <v>8</v>
      </c>
      <c r="U30" s="1576">
        <f t="shared" si="13"/>
        <v>100</v>
      </c>
      <c r="V30" s="1575" t="s">
        <v>8</v>
      </c>
      <c r="W30" s="1576">
        <f t="shared" si="14"/>
        <v>100</v>
      </c>
      <c r="X30" s="1569"/>
      <c r="Y30" s="3399"/>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6"/>
      <c r="M31" s="2137"/>
      <c r="N31" s="2137"/>
      <c r="O31" s="2138"/>
      <c r="P31" s="3399"/>
      <c r="Q31" s="1153" t="str">
        <f t="shared" si="11"/>
        <v>停车位面积</v>
      </c>
      <c r="R31" s="1570" t="s">
        <v>8</v>
      </c>
      <c r="S31" s="1571" t="e">
        <f t="shared" si="12"/>
        <v>#N/A</v>
      </c>
      <c r="T31" s="1570" t="s">
        <v>8</v>
      </c>
      <c r="U31" s="1571" t="e">
        <f t="shared" si="13"/>
        <v>#N/A</v>
      </c>
      <c r="V31" s="1570" t="s">
        <v>8</v>
      </c>
      <c r="W31" s="1571" t="e">
        <f t="shared" si="14"/>
        <v>#N/A</v>
      </c>
      <c r="X31" s="1572"/>
      <c r="Y31" s="3399"/>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3"/>
      <c r="M32" s="2135"/>
      <c r="N32" s="2135"/>
      <c r="O32" s="2142"/>
      <c r="P32" s="3399" t="s">
        <v>551</v>
      </c>
      <c r="Q32" s="1574" t="str">
        <f t="shared" si="11"/>
        <v>车位类型</v>
      </c>
      <c r="R32" s="1575" t="s">
        <v>8</v>
      </c>
      <c r="S32" s="1576">
        <f t="shared" si="12"/>
        <v>100</v>
      </c>
      <c r="T32" s="1575" t="s">
        <v>8</v>
      </c>
      <c r="U32" s="1576">
        <f t="shared" si="13"/>
        <v>100</v>
      </c>
      <c r="V32" s="1575" t="s">
        <v>8</v>
      </c>
      <c r="W32" s="1576">
        <f t="shared" si="14"/>
        <v>100</v>
      </c>
      <c r="X32" s="1569"/>
      <c r="Y32" s="3399"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3"/>
      <c r="M33" s="2135"/>
      <c r="N33" s="2135"/>
      <c r="O33" s="2142"/>
      <c r="P33" s="3399"/>
      <c r="Q33" s="1574" t="str">
        <f t="shared" si="11"/>
        <v>是否直接入户</v>
      </c>
      <c r="R33" s="1575" t="s">
        <v>8</v>
      </c>
      <c r="S33" s="1576">
        <f t="shared" si="12"/>
        <v>100</v>
      </c>
      <c r="T33" s="1575" t="s">
        <v>8</v>
      </c>
      <c r="U33" s="1576">
        <f t="shared" si="13"/>
        <v>100</v>
      </c>
      <c r="V33" s="1575" t="s">
        <v>8</v>
      </c>
      <c r="W33" s="1576">
        <f t="shared" si="14"/>
        <v>100</v>
      </c>
      <c r="X33" s="1569"/>
      <c r="Y33" s="3399"/>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3"/>
      <c r="M34" s="2135"/>
      <c r="N34" s="2135"/>
      <c r="O34" s="2142"/>
      <c r="P34" s="3399"/>
      <c r="Q34" s="1574">
        <f t="shared" si="11"/>
        <v>111</v>
      </c>
      <c r="R34" s="1575" t="s">
        <v>8</v>
      </c>
      <c r="S34" s="1576">
        <f t="shared" si="12"/>
        <v>100</v>
      </c>
      <c r="T34" s="1575" t="s">
        <v>8</v>
      </c>
      <c r="U34" s="1576">
        <f t="shared" si="13"/>
        <v>100</v>
      </c>
      <c r="V34" s="1575" t="s">
        <v>8</v>
      </c>
      <c r="W34" s="1576">
        <f t="shared" si="14"/>
        <v>100</v>
      </c>
      <c r="X34" s="1569"/>
      <c r="Y34" s="3399"/>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1"/>
      <c r="M35" s="2172"/>
      <c r="N35" s="2172"/>
      <c r="O35" s="2144"/>
      <c r="P35" s="3399"/>
      <c r="Q35" s="1607">
        <f t="shared" si="11"/>
        <v>111</v>
      </c>
      <c r="R35" s="1579" t="s">
        <v>8</v>
      </c>
      <c r="S35" s="1580">
        <f t="shared" si="12"/>
        <v>100</v>
      </c>
      <c r="T35" s="1579" t="s">
        <v>8</v>
      </c>
      <c r="U35" s="1580">
        <f t="shared" si="13"/>
        <v>100</v>
      </c>
      <c r="V35" s="1579" t="s">
        <v>8</v>
      </c>
      <c r="W35" s="1580">
        <f t="shared" si="14"/>
        <v>100</v>
      </c>
      <c r="X35" s="1581"/>
      <c r="Y35" s="3399"/>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3"/>
      <c r="M36" s="2135"/>
      <c r="N36" s="2135"/>
      <c r="O36" s="2142"/>
      <c r="P36" s="3399"/>
      <c r="Q36" s="1574">
        <f t="shared" si="11"/>
        <v>111</v>
      </c>
      <c r="R36" s="1575" t="s">
        <v>8</v>
      </c>
      <c r="S36" s="1576">
        <f t="shared" si="12"/>
        <v>100</v>
      </c>
      <c r="T36" s="1575" t="s">
        <v>8</v>
      </c>
      <c r="U36" s="1576">
        <f t="shared" si="13"/>
        <v>100</v>
      </c>
      <c r="V36" s="1575" t="s">
        <v>8</v>
      </c>
      <c r="W36" s="1576">
        <f t="shared" si="14"/>
        <v>100</v>
      </c>
      <c r="X36" s="1569"/>
      <c r="Y36" s="3399"/>
      <c r="Z36" s="1577">
        <f t="shared" si="15"/>
        <v>111</v>
      </c>
      <c r="AA36" s="1578">
        <f t="shared" si="3"/>
        <v>1</v>
      </c>
      <c r="AB36" s="1578">
        <f t="shared" si="4"/>
        <v>1</v>
      </c>
      <c r="AC36" s="1578">
        <f t="shared" si="5"/>
        <v>1</v>
      </c>
    </row>
    <row r="37" spans="1:29" ht="15">
      <c r="A37" s="1847" t="s">
        <v>2081</v>
      </c>
      <c r="B37" s="1848" t="s">
        <v>2082</v>
      </c>
      <c r="C37" s="2652" t="s">
        <v>1</v>
      </c>
      <c r="D37" s="2653"/>
      <c r="E37" s="2654"/>
      <c r="F37" s="2655"/>
      <c r="G37" s="2656"/>
      <c r="H37" s="2657"/>
      <c r="I37" s="2654"/>
      <c r="J37" s="2657"/>
      <c r="K37" s="1613"/>
      <c r="L37" s="2145"/>
      <c r="M37" s="2146"/>
      <c r="N37" s="2135"/>
      <c r="O37" s="2146"/>
      <c r="P37" s="3360" t="str">
        <f>A37</f>
        <v>成交单价</v>
      </c>
      <c r="Q37" s="3360"/>
      <c r="R37" s="3408">
        <f>E37</f>
        <v>0</v>
      </c>
      <c r="S37" s="3408"/>
      <c r="T37" s="3408">
        <f>G37</f>
        <v>0</v>
      </c>
      <c r="U37" s="3408"/>
      <c r="V37" s="3408">
        <f>I37</f>
        <v>0</v>
      </c>
      <c r="W37" s="3408"/>
      <c r="X37" s="1561"/>
      <c r="Y37" s="1583"/>
      <c r="Z37" s="1561"/>
      <c r="AA37" s="1561"/>
      <c r="AB37" s="1561"/>
      <c r="AC37" s="1561"/>
    </row>
    <row r="38" spans="1:29" ht="15.75" thickBot="1">
      <c r="A38" s="618" t="s">
        <v>2767</v>
      </c>
      <c r="B38" s="890"/>
      <c r="C38" s="2658" t="e">
        <f>R39</f>
        <v>#DIV/0!</v>
      </c>
      <c r="D38" s="2659"/>
      <c r="E38" s="2660" t="e">
        <f>R38</f>
        <v>#DIV/0!</v>
      </c>
      <c r="F38" s="2660"/>
      <c r="G38" s="2658" t="e">
        <f>T38</f>
        <v>#DIV/0!</v>
      </c>
      <c r="H38" s="2659"/>
      <c r="I38" s="2660" t="e">
        <f>V38</f>
        <v>#DIV/0!</v>
      </c>
      <c r="J38" s="2659"/>
      <c r="K38" s="1614"/>
      <c r="L38" s="2145"/>
      <c r="M38" s="2146"/>
      <c r="N38" s="2146"/>
      <c r="O38" s="2146"/>
      <c r="P38" s="3360" t="str">
        <f>A38</f>
        <v>比较价格（元/平方米）</v>
      </c>
      <c r="Q38" s="3360"/>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1561"/>
      <c r="Y38" s="1561"/>
      <c r="Z38" s="1561"/>
      <c r="AA38" s="1561"/>
      <c r="AB38" s="1561"/>
      <c r="AC38" s="1561"/>
    </row>
    <row r="39" spans="1:29" ht="15.75" thickBot="1">
      <c r="A39" s="624" t="s">
        <v>2940</v>
      </c>
      <c r="B39" s="625"/>
      <c r="C39" s="2661" t="e">
        <f>R39</f>
        <v>#DIV/0!</v>
      </c>
      <c r="D39" s="2661"/>
      <c r="E39" s="2661"/>
      <c r="F39" s="2661"/>
      <c r="G39" s="2661"/>
      <c r="H39" s="2661"/>
      <c r="I39" s="2661"/>
      <c r="J39" s="2661"/>
      <c r="K39" s="1615"/>
      <c r="L39" s="2145"/>
      <c r="M39" s="2146"/>
      <c r="N39" s="2146"/>
      <c r="O39" s="2146"/>
      <c r="P39" s="3357" t="str">
        <f>A39</f>
        <v>估价对象XX用房的比较价格（楼面单价，元/平方米）</v>
      </c>
      <c r="Q39" s="3358"/>
      <c r="R39" s="3409" t="e">
        <f>IF(F1="售价",ROUND(AVERAGE(R38:V38),0),ROUND(AVERAGE(R38:V38),1))</f>
        <v>#DIV/0!</v>
      </c>
      <c r="S39" s="3409"/>
      <c r="T39" s="3409"/>
      <c r="U39" s="3409"/>
      <c r="V39" s="3409"/>
      <c r="W39" s="3409"/>
      <c r="X39" s="1561"/>
      <c r="Y39" s="1561"/>
      <c r="Z39" s="1561"/>
      <c r="AA39" s="1561"/>
      <c r="AB39" s="1561"/>
      <c r="AC39" s="1561"/>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7" customFormat="1" ht="13.5" customHeight="1">
      <c r="A44" s="2147"/>
      <c r="B44" s="214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7"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6" t="s">
        <v>575</v>
      </c>
      <c r="B47" s="1561"/>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9" customFormat="1" ht="15">
      <c r="A48" s="648" t="s">
        <v>530</v>
      </c>
      <c r="B48" s="649"/>
      <c r="C48" s="2829" t="str">
        <f>YEAR(C7)&amp;"-"&amp;MONTH(C7)</f>
        <v>2017-10</v>
      </c>
      <c r="D48" s="2831">
        <f>EDATE(C48,-1)</f>
        <v>42979</v>
      </c>
      <c r="E48" s="2831">
        <f t="shared" ref="E48:O48" si="16">EDATE(D48,-1)</f>
        <v>42948</v>
      </c>
      <c r="F48" s="2831">
        <f t="shared" si="16"/>
        <v>42917</v>
      </c>
      <c r="G48" s="2831">
        <f t="shared" si="16"/>
        <v>42887</v>
      </c>
      <c r="H48" s="2831">
        <f t="shared" si="16"/>
        <v>42856</v>
      </c>
      <c r="I48" s="2831">
        <f t="shared" si="16"/>
        <v>42826</v>
      </c>
      <c r="J48" s="2831">
        <f t="shared" si="16"/>
        <v>42795</v>
      </c>
      <c r="K48" s="2831">
        <f t="shared" si="16"/>
        <v>42767</v>
      </c>
      <c r="L48" s="2831">
        <f t="shared" si="16"/>
        <v>42736</v>
      </c>
      <c r="M48" s="2831">
        <f t="shared" si="16"/>
        <v>42705</v>
      </c>
      <c r="N48" s="2831">
        <f t="shared" si="16"/>
        <v>42675</v>
      </c>
      <c r="O48" s="2831">
        <f t="shared" si="16"/>
        <v>42644</v>
      </c>
      <c r="P48" s="2161"/>
      <c r="Q48" s="2162"/>
      <c r="R48" s="2162"/>
      <c r="S48" s="2162"/>
      <c r="T48" s="2162"/>
      <c r="U48" s="2162"/>
      <c r="V48" s="2162"/>
      <c r="W48" s="2162"/>
      <c r="X48" s="2162"/>
      <c r="Y48" s="2162"/>
      <c r="Z48" s="2162"/>
      <c r="AA48" s="2162"/>
      <c r="AB48" s="2162"/>
      <c r="AC48" s="2162"/>
    </row>
    <row r="49" spans="1:29" s="1222" customFormat="1" ht="15">
      <c r="A49" s="650"/>
      <c r="B49" s="651"/>
      <c r="C49" s="2830">
        <v>100</v>
      </c>
      <c r="D49" s="653"/>
      <c r="E49" s="653"/>
      <c r="F49" s="653"/>
      <c r="G49" s="653"/>
      <c r="H49" s="653"/>
      <c r="I49" s="653"/>
      <c r="J49" s="653"/>
      <c r="K49" s="653"/>
      <c r="L49" s="653"/>
      <c r="M49" s="654"/>
      <c r="N49" s="653"/>
      <c r="O49" s="655"/>
      <c r="P49" s="2159"/>
      <c r="Q49" s="1994"/>
      <c r="R49" s="1994"/>
      <c r="S49" s="1994"/>
      <c r="T49" s="1994"/>
      <c r="U49" s="1994"/>
      <c r="V49" s="1994"/>
      <c r="W49" s="1994"/>
      <c r="X49" s="1994"/>
      <c r="Y49" s="1994"/>
      <c r="Z49" s="1994"/>
      <c r="AA49" s="1994"/>
      <c r="AB49" s="1994"/>
      <c r="AC49" s="1994"/>
    </row>
    <row r="50" spans="1:29" s="1222" customFormat="1" ht="15.75" thickBot="1">
      <c r="A50" s="656" t="s">
        <v>576</v>
      </c>
      <c r="B50" s="657"/>
      <c r="C50" s="658"/>
      <c r="D50" s="659"/>
      <c r="E50" s="659"/>
      <c r="F50" s="659"/>
      <c r="G50" s="659"/>
      <c r="H50" s="659"/>
      <c r="I50" s="659"/>
      <c r="J50" s="659"/>
      <c r="K50" s="659"/>
      <c r="L50" s="659"/>
      <c r="M50" s="660"/>
      <c r="N50" s="659"/>
      <c r="O50" s="661"/>
      <c r="P50" s="2159"/>
      <c r="Q50" s="2159"/>
      <c r="R50" s="1994"/>
      <c r="S50" s="1994"/>
      <c r="T50" s="1994"/>
      <c r="U50" s="1994"/>
      <c r="V50" s="1994"/>
      <c r="W50" s="1994"/>
      <c r="X50" s="1994"/>
      <c r="Y50" s="1994"/>
      <c r="Z50" s="1994"/>
      <c r="AA50" s="1994"/>
      <c r="AB50" s="1994"/>
      <c r="AC50" s="1994"/>
    </row>
    <row r="51" spans="1:29" s="1222" customFormat="1" ht="15">
      <c r="A51" s="662" t="s">
        <v>532</v>
      </c>
      <c r="B51" s="651"/>
      <c r="C51" s="663" t="s">
        <v>577</v>
      </c>
      <c r="D51" s="664"/>
      <c r="E51" s="664"/>
      <c r="F51" s="664"/>
      <c r="G51" s="664"/>
      <c r="H51" s="664"/>
      <c r="I51" s="664"/>
      <c r="J51" s="664"/>
      <c r="K51" s="664"/>
      <c r="L51" s="665"/>
      <c r="M51" s="666"/>
      <c r="N51" s="2163"/>
      <c r="O51" s="2163"/>
      <c r="P51" s="2164"/>
      <c r="Q51" s="2159"/>
      <c r="R51" s="1994"/>
      <c r="S51" s="1994"/>
      <c r="T51" s="1994"/>
      <c r="U51" s="1994"/>
      <c r="V51" s="1994"/>
      <c r="W51" s="1994"/>
      <c r="X51" s="1994"/>
      <c r="Y51" s="1994"/>
      <c r="Z51" s="1994"/>
      <c r="AA51" s="1994"/>
      <c r="AB51" s="1994"/>
      <c r="AC51" s="1994"/>
    </row>
    <row r="52" spans="1:29" s="1222" customFormat="1" ht="15.75" thickBot="1">
      <c r="A52" s="662"/>
      <c r="B52" s="651"/>
      <c r="C52" s="652">
        <v>100</v>
      </c>
      <c r="D52" s="653"/>
      <c r="E52" s="653"/>
      <c r="F52" s="653"/>
      <c r="G52" s="653"/>
      <c r="H52" s="653"/>
      <c r="I52" s="653"/>
      <c r="J52" s="653"/>
      <c r="K52" s="653"/>
      <c r="L52" s="653"/>
      <c r="M52" s="655"/>
      <c r="N52" s="2163"/>
      <c r="O52" s="2163"/>
      <c r="P52" s="2159"/>
      <c r="Q52" s="2159"/>
      <c r="R52" s="1994"/>
      <c r="S52" s="1994"/>
      <c r="T52" s="1994"/>
      <c r="U52" s="1994"/>
      <c r="V52" s="1994"/>
      <c r="W52" s="1994"/>
      <c r="X52" s="1994"/>
      <c r="Y52" s="1994"/>
      <c r="Z52" s="1994"/>
      <c r="AA52" s="1994"/>
      <c r="AB52" s="1994"/>
      <c r="AC52" s="1994"/>
    </row>
    <row r="53" spans="1:29">
      <c r="A53" s="667" t="s">
        <v>578</v>
      </c>
      <c r="B53" s="668" t="s">
        <v>535</v>
      </c>
      <c r="C53" s="707">
        <f>C9</f>
        <v>0</v>
      </c>
      <c r="D53" s="601"/>
      <c r="E53" s="601"/>
      <c r="F53" s="601"/>
      <c r="G53" s="601"/>
      <c r="H53" s="601"/>
      <c r="I53" s="601"/>
      <c r="J53" s="601"/>
      <c r="K53" s="669"/>
      <c r="L53" s="670"/>
      <c r="M53" s="671"/>
      <c r="N53" s="2165"/>
      <c r="O53" s="2165"/>
      <c r="P53" s="2166"/>
      <c r="Q53" s="2159"/>
      <c r="R53" s="2146"/>
      <c r="S53" s="2146"/>
      <c r="T53" s="2146"/>
      <c r="U53" s="2146"/>
      <c r="V53" s="2146"/>
      <c r="W53" s="2146"/>
      <c r="X53" s="2146"/>
      <c r="Y53" s="2146"/>
      <c r="Z53" s="2146"/>
      <c r="AA53" s="2146"/>
      <c r="AB53" s="2146"/>
      <c r="AC53" s="2146"/>
    </row>
    <row r="54" spans="1:29" ht="15.75" thickBot="1">
      <c r="A54" s="672"/>
      <c r="B54" s="673"/>
      <c r="C54" s="674"/>
      <c r="D54" s="674"/>
      <c r="E54" s="674"/>
      <c r="F54" s="674"/>
      <c r="G54" s="674"/>
      <c r="H54" s="674"/>
      <c r="I54" s="674"/>
      <c r="J54" s="674"/>
      <c r="K54" s="674"/>
      <c r="L54" s="674"/>
      <c r="M54" s="675"/>
      <c r="N54" s="2167"/>
      <c r="O54" s="2167"/>
      <c r="P54" s="2166"/>
      <c r="Q54" s="2159"/>
      <c r="R54" s="2146"/>
      <c r="S54" s="2146"/>
      <c r="T54" s="2146"/>
      <c r="U54" s="2146"/>
      <c r="V54" s="2146"/>
      <c r="W54" s="2146"/>
      <c r="X54" s="2146"/>
      <c r="Y54" s="2146"/>
      <c r="Z54" s="2146"/>
      <c r="AA54" s="2146"/>
      <c r="AB54" s="2146"/>
      <c r="AC54" s="2146"/>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5"/>
      <c r="O55" s="2165"/>
      <c r="P55" s="2166"/>
      <c r="Q55" s="2159"/>
      <c r="R55" s="2146"/>
      <c r="S55" s="2146"/>
      <c r="T55" s="2146"/>
      <c r="U55" s="2146"/>
      <c r="V55" s="2146"/>
      <c r="W55" s="2146"/>
      <c r="X55" s="2146"/>
      <c r="Y55" s="2146"/>
      <c r="Z55" s="2146"/>
      <c r="AA55" s="2146"/>
      <c r="AB55" s="2146"/>
      <c r="AC55" s="214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7"/>
      <c r="O56" s="2167"/>
      <c r="P56" s="2166"/>
      <c r="Q56" s="2159"/>
      <c r="R56" s="2146"/>
      <c r="S56" s="2146"/>
      <c r="T56" s="2146"/>
      <c r="U56" s="2146"/>
      <c r="V56" s="2146"/>
      <c r="W56" s="2146"/>
      <c r="X56" s="2146"/>
      <c r="Y56" s="2146"/>
      <c r="Z56" s="2146"/>
      <c r="AA56" s="2146"/>
      <c r="AB56" s="2146"/>
      <c r="AC56" s="2146"/>
    </row>
    <row r="57" spans="1:29" ht="15.75" thickTop="1">
      <c r="A57" s="672"/>
      <c r="B57" s="937">
        <f>B11</f>
        <v>111</v>
      </c>
      <c r="C57" s="544"/>
      <c r="D57" s="544"/>
      <c r="E57" s="544"/>
      <c r="F57" s="544"/>
      <c r="G57" s="544"/>
      <c r="H57" s="544"/>
      <c r="I57" s="544"/>
      <c r="J57" s="544"/>
      <c r="K57" s="687"/>
      <c r="L57" s="688"/>
      <c r="M57" s="689"/>
      <c r="N57" s="2165"/>
      <c r="O57" s="2165"/>
      <c r="P57" s="2166"/>
      <c r="Q57" s="2159"/>
      <c r="R57" s="2146"/>
      <c r="S57" s="2146"/>
      <c r="T57" s="2146"/>
      <c r="U57" s="2146"/>
      <c r="V57" s="2146"/>
      <c r="W57" s="2146"/>
      <c r="X57" s="2146"/>
      <c r="Y57" s="2146"/>
      <c r="Z57" s="2146"/>
      <c r="AA57" s="2146"/>
      <c r="AB57" s="2146"/>
      <c r="AC57" s="2146"/>
    </row>
    <row r="58" spans="1:29" ht="15.75" thickBot="1">
      <c r="A58" s="672"/>
      <c r="B58" s="673"/>
      <c r="C58" s="695"/>
      <c r="D58" s="674"/>
      <c r="E58" s="674"/>
      <c r="F58" s="674"/>
      <c r="G58" s="674"/>
      <c r="H58" s="674"/>
      <c r="I58" s="674"/>
      <c r="J58" s="674"/>
      <c r="K58" s="674"/>
      <c r="L58" s="674"/>
      <c r="M58" s="675"/>
      <c r="N58" s="2167"/>
      <c r="O58" s="2167"/>
      <c r="P58" s="2166"/>
      <c r="Q58" s="2159"/>
      <c r="R58" s="2146"/>
      <c r="S58" s="2146"/>
      <c r="T58" s="2146"/>
      <c r="U58" s="2146"/>
      <c r="V58" s="2146"/>
      <c r="W58" s="2146"/>
      <c r="X58" s="2146"/>
      <c r="Y58" s="2146"/>
      <c r="Z58" s="2146"/>
      <c r="AA58" s="2146"/>
      <c r="AB58" s="2146"/>
      <c r="AC58" s="2146"/>
    </row>
    <row r="59" spans="1:29" s="1341" customFormat="1" ht="15.75" thickTop="1">
      <c r="A59" s="690"/>
      <c r="B59" s="676">
        <f>B12</f>
        <v>111</v>
      </c>
      <c r="C59" s="544"/>
      <c r="D59" s="544"/>
      <c r="E59" s="544"/>
      <c r="F59" s="544"/>
      <c r="G59" s="691"/>
      <c r="H59" s="692"/>
      <c r="I59" s="692"/>
      <c r="J59" s="692"/>
      <c r="K59" s="692"/>
      <c r="L59" s="693"/>
      <c r="M59" s="694"/>
      <c r="N59" s="2168"/>
      <c r="O59" s="2168"/>
      <c r="P59" s="2169"/>
      <c r="Q59" s="2170"/>
      <c r="R59" s="2171"/>
      <c r="S59" s="2171"/>
      <c r="T59" s="2171"/>
      <c r="U59" s="2171"/>
      <c r="V59" s="2171"/>
      <c r="W59" s="2171"/>
      <c r="X59" s="2171"/>
      <c r="Y59" s="2171"/>
      <c r="Z59" s="2171"/>
      <c r="AA59" s="2171"/>
      <c r="AB59" s="2171"/>
      <c r="AC59" s="2171"/>
    </row>
    <row r="60" spans="1:29" s="1341" customFormat="1" ht="15.75" thickBot="1">
      <c r="A60" s="690"/>
      <c r="B60" s="681"/>
      <c r="C60" s="695"/>
      <c r="D60" s="674"/>
      <c r="E60" s="674"/>
      <c r="F60" s="674"/>
      <c r="G60" s="674"/>
      <c r="H60" s="674"/>
      <c r="I60" s="674"/>
      <c r="J60" s="674"/>
      <c r="K60" s="674"/>
      <c r="L60" s="674"/>
      <c r="M60" s="675"/>
      <c r="N60" s="2167"/>
      <c r="O60" s="2167"/>
      <c r="P60" s="2169"/>
      <c r="Q60" s="2170"/>
      <c r="R60" s="2171"/>
      <c r="S60" s="2171"/>
      <c r="T60" s="2171"/>
      <c r="U60" s="2171"/>
      <c r="V60" s="2171"/>
      <c r="W60" s="2171"/>
      <c r="X60" s="2171"/>
      <c r="Y60" s="2171"/>
      <c r="Z60" s="2171"/>
      <c r="AA60" s="2171"/>
      <c r="AB60" s="2171"/>
      <c r="AC60" s="2171"/>
    </row>
    <row r="61" spans="1:29" s="1341" customFormat="1" ht="15.75" thickTop="1">
      <c r="A61" s="690"/>
      <c r="B61" s="676">
        <f>B13</f>
        <v>111</v>
      </c>
      <c r="C61" s="691"/>
      <c r="D61" s="691"/>
      <c r="E61" s="691"/>
      <c r="F61" s="691"/>
      <c r="G61" s="691"/>
      <c r="H61" s="692"/>
      <c r="I61" s="692"/>
      <c r="J61" s="692"/>
      <c r="K61" s="692"/>
      <c r="L61" s="693"/>
      <c r="M61" s="694"/>
      <c r="N61" s="2168"/>
      <c r="O61" s="2168"/>
      <c r="P61" s="2172"/>
      <c r="Q61" s="2173"/>
      <c r="R61" s="2171"/>
      <c r="S61" s="2171"/>
      <c r="T61" s="2171"/>
      <c r="U61" s="2171"/>
      <c r="V61" s="2171"/>
      <c r="W61" s="2171"/>
      <c r="X61" s="2171"/>
      <c r="Y61" s="2171"/>
      <c r="Z61" s="2171"/>
      <c r="AA61" s="2171"/>
      <c r="AB61" s="2171"/>
      <c r="AC61" s="2171"/>
    </row>
    <row r="62" spans="1:29" s="1341" customFormat="1" ht="15.75" thickBot="1">
      <c r="A62" s="690"/>
      <c r="B62" s="681"/>
      <c r="C62" s="695"/>
      <c r="D62" s="695"/>
      <c r="E62" s="695"/>
      <c r="F62" s="695"/>
      <c r="G62" s="695"/>
      <c r="H62" s="696"/>
      <c r="I62" s="696"/>
      <c r="J62" s="696"/>
      <c r="K62" s="696"/>
      <c r="L62" s="696"/>
      <c r="M62" s="697"/>
      <c r="N62" s="2168"/>
      <c r="O62" s="2168"/>
      <c r="P62" s="2169"/>
      <c r="Q62" s="2170"/>
      <c r="R62" s="2171"/>
      <c r="S62" s="2171"/>
      <c r="T62" s="2171"/>
      <c r="U62" s="2171"/>
      <c r="V62" s="2171"/>
      <c r="W62" s="2171"/>
      <c r="X62" s="2171"/>
      <c r="Y62" s="2171"/>
      <c r="Z62" s="2171"/>
      <c r="AA62" s="2171"/>
      <c r="AB62" s="2171"/>
      <c r="AC62" s="217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5"/>
      <c r="O63" s="2165"/>
      <c r="P63" s="2175"/>
      <c r="Q63" s="2159"/>
      <c r="R63" s="2146"/>
      <c r="S63" s="2146"/>
      <c r="T63" s="2146"/>
      <c r="U63" s="2146"/>
      <c r="V63" s="2146"/>
      <c r="W63" s="2146"/>
      <c r="X63" s="2146"/>
      <c r="Y63" s="2146"/>
      <c r="Z63" s="2146"/>
      <c r="AA63" s="2146"/>
      <c r="AB63" s="2146"/>
      <c r="AC63" s="214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7"/>
      <c r="O64" s="2167"/>
      <c r="P64" s="2166"/>
      <c r="Q64" s="2159"/>
      <c r="R64" s="2146"/>
      <c r="S64" s="2146"/>
      <c r="T64" s="2146"/>
      <c r="U64" s="2146"/>
      <c r="V64" s="2146"/>
      <c r="W64" s="2146"/>
      <c r="X64" s="2146"/>
      <c r="Y64" s="2146"/>
      <c r="Z64" s="2146"/>
      <c r="AA64" s="2146"/>
      <c r="AB64" s="2146"/>
      <c r="AC64" s="2146"/>
    </row>
    <row r="65" spans="1:29" ht="15.75" thickTop="1">
      <c r="A65" s="672"/>
      <c r="B65" s="1897" t="s">
        <v>2562</v>
      </c>
      <c r="C65" s="711" t="s">
        <v>580</v>
      </c>
      <c r="D65" s="711" t="s">
        <v>581</v>
      </c>
      <c r="E65" s="711" t="s">
        <v>582</v>
      </c>
      <c r="F65" s="711" t="s">
        <v>583</v>
      </c>
      <c r="G65" s="711" t="s">
        <v>584</v>
      </c>
      <c r="H65" s="677"/>
      <c r="I65" s="677"/>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2622" t="s">
        <v>2563</v>
      </c>
      <c r="C67" s="2623" t="s">
        <v>2564</v>
      </c>
      <c r="D67" s="2623" t="s">
        <v>2565</v>
      </c>
      <c r="E67" s="2623" t="s">
        <v>2566</v>
      </c>
      <c r="F67" s="2623" t="s">
        <v>2567</v>
      </c>
      <c r="G67" s="2623" t="s">
        <v>2568</v>
      </c>
      <c r="H67" s="677"/>
      <c r="I67" s="677"/>
      <c r="J67" s="677"/>
      <c r="K67" s="677"/>
      <c r="L67" s="677"/>
      <c r="M67" s="2626"/>
      <c r="N67" s="2167"/>
      <c r="O67" s="2167"/>
      <c r="P67" s="2166"/>
      <c r="Q67" s="2159"/>
      <c r="R67" s="2146"/>
      <c r="S67" s="2146"/>
      <c r="T67" s="2146"/>
      <c r="U67" s="2146"/>
      <c r="V67" s="2146"/>
      <c r="W67" s="2146"/>
      <c r="X67" s="2146"/>
      <c r="Y67" s="2146"/>
      <c r="Z67" s="2146"/>
      <c r="AA67" s="2146"/>
      <c r="AB67" s="2146"/>
      <c r="AC67" s="2146"/>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7"/>
      <c r="O68" s="2167"/>
      <c r="P68" s="2166"/>
      <c r="Q68" s="2159"/>
      <c r="R68" s="2146"/>
      <c r="S68" s="2146"/>
      <c r="T68" s="2146"/>
      <c r="U68" s="2146"/>
      <c r="V68" s="2146"/>
      <c r="W68" s="2146"/>
      <c r="X68" s="2146"/>
      <c r="Y68" s="2146"/>
      <c r="Z68" s="2146"/>
      <c r="AA68" s="2146"/>
      <c r="AB68" s="2146"/>
      <c r="AC68" s="2146"/>
    </row>
    <row r="69" spans="1:29" ht="15.75" thickTop="1">
      <c r="A69" s="672"/>
      <c r="B69" s="676" t="s">
        <v>745</v>
      </c>
      <c r="C69" s="711" t="s">
        <v>580</v>
      </c>
      <c r="D69" s="711" t="s">
        <v>581</v>
      </c>
      <c r="E69" s="711" t="s">
        <v>582</v>
      </c>
      <c r="F69" s="711" t="s">
        <v>583</v>
      </c>
      <c r="G69" s="711" t="s">
        <v>584</v>
      </c>
      <c r="H69" s="677"/>
      <c r="I69" s="677"/>
      <c r="J69" s="677"/>
      <c r="K69" s="678"/>
      <c r="L69" s="679"/>
      <c r="M69" s="680"/>
      <c r="N69" s="2165"/>
      <c r="O69" s="2165"/>
      <c r="P69" s="2166"/>
      <c r="Q69" s="2159"/>
      <c r="R69" s="2146"/>
      <c r="S69" s="2146"/>
      <c r="T69" s="2146"/>
      <c r="U69" s="2146"/>
      <c r="V69" s="2146"/>
      <c r="W69" s="2146"/>
      <c r="X69" s="2146"/>
      <c r="Y69" s="2146"/>
      <c r="Z69" s="2146"/>
      <c r="AA69" s="2146"/>
      <c r="AB69" s="2146"/>
      <c r="AC69" s="214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7"/>
      <c r="O70" s="2167"/>
      <c r="P70" s="2166"/>
      <c r="Q70" s="2159"/>
      <c r="R70" s="2146"/>
      <c r="S70" s="2146"/>
      <c r="T70" s="2146"/>
      <c r="U70" s="2146"/>
      <c r="V70" s="2146"/>
      <c r="W70" s="2146"/>
      <c r="X70" s="2146"/>
      <c r="Y70" s="2146"/>
      <c r="Z70" s="2146"/>
      <c r="AA70" s="2146"/>
      <c r="AB70" s="2146"/>
      <c r="AC70" s="2146"/>
    </row>
    <row r="71" spans="1:29" ht="15.75" thickTop="1">
      <c r="A71" s="672"/>
      <c r="B71" s="676" t="s">
        <v>746</v>
      </c>
      <c r="C71" s="691"/>
      <c r="D71" s="691"/>
      <c r="E71" s="691"/>
      <c r="F71" s="691"/>
      <c r="G71" s="691"/>
      <c r="H71" s="721"/>
      <c r="I71" s="721"/>
      <c r="J71" s="721"/>
      <c r="K71" s="722"/>
      <c r="L71" s="723"/>
      <c r="M71" s="724"/>
      <c r="N71" s="2165"/>
      <c r="O71" s="2165"/>
      <c r="P71" s="2166"/>
      <c r="Q71" s="2159"/>
      <c r="R71" s="2146"/>
      <c r="S71" s="2146"/>
      <c r="T71" s="2146"/>
      <c r="U71" s="2146"/>
      <c r="V71" s="2146"/>
      <c r="W71" s="2146"/>
      <c r="X71" s="2146"/>
      <c r="Y71" s="2146"/>
      <c r="Z71" s="2146"/>
      <c r="AA71" s="2146"/>
      <c r="AB71" s="2146"/>
      <c r="AC71" s="214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7"/>
      <c r="O72" s="2167"/>
      <c r="P72" s="2166"/>
      <c r="Q72" s="2159"/>
      <c r="R72" s="2146"/>
      <c r="S72" s="2146"/>
      <c r="T72" s="2146"/>
      <c r="U72" s="2146"/>
      <c r="V72" s="2146"/>
      <c r="W72" s="2146"/>
      <c r="X72" s="2146"/>
      <c r="Y72" s="2146"/>
      <c r="Z72" s="2146"/>
      <c r="AA72" s="2146"/>
      <c r="AB72" s="2146"/>
      <c r="AC72" s="2146"/>
    </row>
    <row r="73" spans="1:29" s="1222" customFormat="1" ht="15.75" thickTop="1">
      <c r="A73" s="712"/>
      <c r="B73" s="676">
        <f>B23</f>
        <v>111</v>
      </c>
      <c r="C73" s="544"/>
      <c r="D73" s="544"/>
      <c r="E73" s="544"/>
      <c r="F73" s="544"/>
      <c r="G73" s="691"/>
      <c r="H73" s="691"/>
      <c r="I73" s="691"/>
      <c r="J73" s="691"/>
      <c r="K73" s="691"/>
      <c r="L73" s="892"/>
      <c r="M73" s="893"/>
      <c r="N73" s="2163"/>
      <c r="O73" s="2163"/>
      <c r="P73" s="2166"/>
      <c r="Q73" s="2159"/>
      <c r="R73" s="1994"/>
      <c r="S73" s="1994"/>
      <c r="T73" s="1994"/>
      <c r="U73" s="1994"/>
      <c r="V73" s="1994"/>
      <c r="W73" s="1994"/>
      <c r="X73" s="1994"/>
      <c r="Y73" s="1994"/>
      <c r="Z73" s="1994"/>
      <c r="AA73" s="1994"/>
      <c r="AB73" s="1994"/>
      <c r="AC73" s="1994"/>
    </row>
    <row r="74" spans="1:29" s="1222" customFormat="1" ht="15.75" thickBot="1">
      <c r="A74" s="712"/>
      <c r="B74" s="681"/>
      <c r="C74" s="695"/>
      <c r="D74" s="674"/>
      <c r="E74" s="674"/>
      <c r="F74" s="674"/>
      <c r="G74" s="674"/>
      <c r="H74" s="674"/>
      <c r="I74" s="674"/>
      <c r="J74" s="674"/>
      <c r="K74" s="674"/>
      <c r="L74" s="674"/>
      <c r="M74" s="675"/>
      <c r="N74" s="2167"/>
      <c r="O74" s="2167"/>
      <c r="P74" s="2166"/>
      <c r="Q74" s="2159"/>
      <c r="R74" s="1994"/>
      <c r="S74" s="1994"/>
      <c r="T74" s="1994"/>
      <c r="U74" s="1994"/>
      <c r="V74" s="1994"/>
      <c r="W74" s="1994"/>
      <c r="X74" s="1994"/>
      <c r="Y74" s="1994"/>
      <c r="Z74" s="1994"/>
      <c r="AA74" s="1994"/>
      <c r="AB74" s="1994"/>
      <c r="AC74" s="1994"/>
    </row>
    <row r="75" spans="1:29" s="1222" customFormat="1" ht="15.75" thickTop="1">
      <c r="A75" s="712"/>
      <c r="B75" s="676">
        <f>B24</f>
        <v>111</v>
      </c>
      <c r="C75" s="544"/>
      <c r="D75" s="544"/>
      <c r="E75" s="544"/>
      <c r="F75" s="544"/>
      <c r="G75" s="691"/>
      <c r="H75" s="691"/>
      <c r="I75" s="691"/>
      <c r="J75" s="691"/>
      <c r="K75" s="691"/>
      <c r="L75" s="691"/>
      <c r="M75" s="893"/>
      <c r="N75" s="2163"/>
      <c r="O75" s="2163"/>
      <c r="P75" s="2166"/>
      <c r="Q75" s="2159"/>
      <c r="R75" s="1994"/>
      <c r="S75" s="1994"/>
      <c r="T75" s="1994"/>
      <c r="U75" s="1994"/>
      <c r="V75" s="1994"/>
      <c r="W75" s="1994"/>
      <c r="X75" s="1994"/>
      <c r="Y75" s="1994"/>
      <c r="Z75" s="1994"/>
      <c r="AA75" s="1994"/>
      <c r="AB75" s="1994"/>
      <c r="AC75" s="1994"/>
    </row>
    <row r="76" spans="1:29" s="1222" customFormat="1" ht="15.75" thickBot="1">
      <c r="A76" s="712"/>
      <c r="B76" s="681"/>
      <c r="C76" s="695"/>
      <c r="D76" s="674"/>
      <c r="E76" s="674"/>
      <c r="F76" s="674"/>
      <c r="G76" s="674"/>
      <c r="H76" s="674"/>
      <c r="I76" s="674"/>
      <c r="J76" s="674"/>
      <c r="K76" s="674"/>
      <c r="L76" s="674"/>
      <c r="M76" s="675"/>
      <c r="N76" s="2167"/>
      <c r="O76" s="2167"/>
      <c r="P76" s="2166"/>
      <c r="Q76" s="2159"/>
      <c r="R76" s="1994"/>
      <c r="S76" s="1994"/>
      <c r="T76" s="1994"/>
      <c r="U76" s="1994"/>
      <c r="V76" s="1994"/>
      <c r="W76" s="1994"/>
      <c r="X76" s="1994"/>
      <c r="Y76" s="1994"/>
      <c r="Z76" s="1994"/>
      <c r="AA76" s="1994"/>
      <c r="AB76" s="1994"/>
      <c r="AC76" s="1994"/>
    </row>
    <row r="77" spans="1:29" s="1341" customFormat="1" ht="15.75" thickTop="1">
      <c r="A77" s="690"/>
      <c r="B77" s="676">
        <f>B25</f>
        <v>111</v>
      </c>
      <c r="C77" s="691"/>
      <c r="D77" s="691"/>
      <c r="E77" s="691"/>
      <c r="F77" s="691"/>
      <c r="G77" s="691"/>
      <c r="H77" s="692"/>
      <c r="I77" s="692"/>
      <c r="J77" s="692"/>
      <c r="K77" s="692"/>
      <c r="L77" s="693"/>
      <c r="M77" s="694"/>
      <c r="N77" s="2168"/>
      <c r="O77" s="2168"/>
      <c r="P77" s="2169"/>
      <c r="Q77" s="2170"/>
      <c r="R77" s="2171"/>
      <c r="S77" s="2171"/>
      <c r="T77" s="2171"/>
      <c r="U77" s="2171"/>
      <c r="V77" s="2171"/>
      <c r="W77" s="2171"/>
      <c r="X77" s="2171"/>
      <c r="Y77" s="2171"/>
      <c r="Z77" s="2171"/>
      <c r="AA77" s="2171"/>
      <c r="AB77" s="2171"/>
      <c r="AC77" s="2171"/>
    </row>
    <row r="78" spans="1:29" s="1341" customFormat="1" ht="15.75" thickBot="1">
      <c r="A78" s="690"/>
      <c r="B78" s="681"/>
      <c r="C78" s="695"/>
      <c r="D78" s="695"/>
      <c r="E78" s="695"/>
      <c r="F78" s="695"/>
      <c r="G78" s="674"/>
      <c r="H78" s="674"/>
      <c r="I78" s="674"/>
      <c r="J78" s="674"/>
      <c r="K78" s="674"/>
      <c r="L78" s="674"/>
      <c r="M78" s="675"/>
      <c r="N78" s="2168"/>
      <c r="O78" s="2168"/>
      <c r="P78" s="2169"/>
      <c r="Q78" s="2170"/>
      <c r="R78" s="2171"/>
      <c r="S78" s="2171"/>
      <c r="T78" s="2171"/>
      <c r="U78" s="2171"/>
      <c r="V78" s="2171"/>
      <c r="W78" s="2171"/>
      <c r="X78" s="2171"/>
      <c r="Y78" s="2171"/>
      <c r="Z78" s="2171"/>
      <c r="AA78" s="2171"/>
      <c r="AB78" s="2171"/>
      <c r="AC78" s="2171"/>
    </row>
    <row r="79" spans="1:29" ht="27.75" thickTop="1">
      <c r="A79" s="667" t="s">
        <v>552</v>
      </c>
      <c r="B79" s="668" t="s">
        <v>815</v>
      </c>
      <c r="C79" s="707">
        <f>C26</f>
        <v>0</v>
      </c>
      <c r="D79" s="601"/>
      <c r="E79" s="601"/>
      <c r="F79" s="601"/>
      <c r="G79" s="601"/>
      <c r="H79" s="601"/>
      <c r="I79" s="601"/>
      <c r="J79" s="601"/>
      <c r="K79" s="669"/>
      <c r="L79" s="670"/>
      <c r="M79" s="671"/>
      <c r="N79" s="2165"/>
      <c r="O79" s="2165"/>
      <c r="P79" s="2166"/>
      <c r="Q79" s="2159"/>
      <c r="R79" s="2146"/>
      <c r="S79" s="2146"/>
      <c r="T79" s="2146"/>
      <c r="U79" s="2146"/>
      <c r="V79" s="2146"/>
      <c r="W79" s="2146"/>
      <c r="X79" s="2146"/>
      <c r="Y79" s="2146"/>
      <c r="Z79" s="2146"/>
      <c r="AA79" s="2146"/>
      <c r="AB79" s="2146"/>
      <c r="AC79" s="214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2"/>
      <c r="B81" s="676" t="s">
        <v>816</v>
      </c>
      <c r="C81" s="938"/>
      <c r="D81" s="938"/>
      <c r="E81" s="938"/>
      <c r="F81" s="938"/>
      <c r="G81" s="938"/>
      <c r="H81" s="938"/>
      <c r="I81" s="938"/>
      <c r="J81" s="938"/>
      <c r="K81" s="939"/>
      <c r="L81" s="940"/>
      <c r="M81" s="941"/>
      <c r="N81" s="2163"/>
      <c r="O81" s="2163"/>
      <c r="P81" s="2166"/>
      <c r="Q81" s="2159"/>
      <c r="R81" s="2146"/>
      <c r="S81" s="2146"/>
      <c r="T81" s="2146"/>
      <c r="U81" s="2146"/>
      <c r="V81" s="2146"/>
      <c r="W81" s="2146"/>
      <c r="X81" s="2146"/>
      <c r="Y81" s="2146"/>
      <c r="Z81" s="2146"/>
      <c r="AA81" s="2146"/>
      <c r="AB81" s="2146"/>
      <c r="AC81" s="2146"/>
    </row>
    <row r="82" spans="1:29" s="1341" customFormat="1" ht="15.75" thickBot="1">
      <c r="A82" s="690"/>
      <c r="B82" s="681"/>
      <c r="C82" s="695"/>
      <c r="D82" s="674"/>
      <c r="E82" s="674"/>
      <c r="F82" s="674"/>
      <c r="G82" s="674"/>
      <c r="H82" s="674"/>
      <c r="I82" s="674"/>
      <c r="J82" s="674"/>
      <c r="K82" s="674"/>
      <c r="L82" s="674"/>
      <c r="M82" s="675"/>
      <c r="N82" s="2167"/>
      <c r="O82" s="2167"/>
      <c r="P82" s="2169"/>
      <c r="Q82" s="2170"/>
      <c r="R82" s="2171"/>
      <c r="S82" s="2171"/>
      <c r="T82" s="2171"/>
      <c r="U82" s="2171"/>
      <c r="V82" s="2171"/>
      <c r="W82" s="2171"/>
      <c r="X82" s="2171"/>
      <c r="Y82" s="2171"/>
      <c r="Z82" s="2171"/>
      <c r="AA82" s="2171"/>
      <c r="AB82" s="2171"/>
      <c r="AC82" s="2171"/>
    </row>
    <row r="83" spans="1:29" ht="15" thickTop="1">
      <c r="A83" s="738"/>
      <c r="B83" s="676" t="s">
        <v>752</v>
      </c>
      <c r="C83" s="691"/>
      <c r="D83" s="691"/>
      <c r="E83" s="721"/>
      <c r="F83" s="721"/>
      <c r="G83" s="721"/>
      <c r="H83" s="721"/>
      <c r="I83" s="721"/>
      <c r="J83" s="721"/>
      <c r="K83" s="722"/>
      <c r="L83" s="723"/>
      <c r="M83" s="724"/>
      <c r="N83" s="2165"/>
      <c r="O83" s="2165"/>
      <c r="P83" s="2166"/>
      <c r="Q83" s="2159"/>
      <c r="R83" s="2146"/>
      <c r="S83" s="2146"/>
      <c r="T83" s="2146"/>
      <c r="U83" s="2146"/>
      <c r="V83" s="2146"/>
      <c r="W83" s="2146"/>
      <c r="X83" s="2146"/>
      <c r="Y83" s="2146"/>
      <c r="Z83" s="2146"/>
      <c r="AA83" s="2146"/>
      <c r="AB83" s="2146"/>
      <c r="AC83" s="214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5"/>
      <c r="O85" s="2165"/>
      <c r="P85" s="2166"/>
      <c r="Q85" s="2159"/>
      <c r="R85" s="2146"/>
      <c r="S85" s="2146"/>
      <c r="T85" s="2146"/>
      <c r="U85" s="2146"/>
      <c r="V85" s="2146"/>
      <c r="W85" s="2146"/>
      <c r="X85" s="2146"/>
      <c r="Y85" s="2146"/>
      <c r="Z85" s="2146"/>
      <c r="AA85" s="2146"/>
      <c r="AB85" s="2146"/>
      <c r="AC85" s="2146"/>
    </row>
    <row r="86" spans="1:29">
      <c r="A86" s="738"/>
      <c r="B86" s="684"/>
      <c r="C86" s="896">
        <v>0.5</v>
      </c>
      <c r="D86" s="896">
        <v>0.6</v>
      </c>
      <c r="E86" s="896">
        <v>0.7</v>
      </c>
      <c r="F86" s="896">
        <v>0.8</v>
      </c>
      <c r="G86" s="896">
        <v>0.9</v>
      </c>
      <c r="H86" s="896">
        <v>1.0001</v>
      </c>
      <c r="I86" s="907"/>
      <c r="J86" s="907"/>
      <c r="K86" s="908"/>
      <c r="L86" s="909"/>
      <c r="M86" s="910"/>
      <c r="N86" s="2165"/>
      <c r="O86" s="2165"/>
      <c r="P86" s="2166"/>
      <c r="Q86" s="2159"/>
      <c r="R86" s="2146"/>
      <c r="S86" s="2146"/>
      <c r="T86" s="2146"/>
      <c r="U86" s="2146"/>
      <c r="V86" s="2146"/>
      <c r="W86" s="2146"/>
      <c r="X86" s="2146"/>
      <c r="Y86" s="2146"/>
      <c r="Z86" s="2146"/>
      <c r="AA86" s="2146"/>
      <c r="AB86" s="2146"/>
      <c r="AC86" s="214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8"/>
      <c r="B88" s="684" t="s">
        <v>818</v>
      </c>
      <c r="C88" s="601"/>
      <c r="D88" s="601"/>
      <c r="E88" s="601"/>
      <c r="F88" s="601"/>
      <c r="G88" s="601"/>
      <c r="H88" s="601"/>
      <c r="I88" s="601"/>
      <c r="J88" s="601"/>
      <c r="K88" s="669"/>
      <c r="L88" s="670"/>
      <c r="M88" s="671"/>
      <c r="N88" s="2165"/>
      <c r="O88" s="2165"/>
      <c r="P88" s="2166"/>
      <c r="Q88" s="2159"/>
      <c r="R88" s="2146"/>
      <c r="S88" s="2146"/>
      <c r="T88" s="2146"/>
      <c r="U88" s="2146"/>
      <c r="V88" s="2146"/>
      <c r="W88" s="2146"/>
      <c r="X88" s="2146"/>
      <c r="Y88" s="2146"/>
      <c r="Z88" s="2146"/>
      <c r="AA88" s="2146"/>
      <c r="AB88" s="2146"/>
      <c r="AC88" s="214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7"/>
      <c r="O89" s="2167"/>
      <c r="P89" s="2166"/>
      <c r="Q89" s="2159"/>
      <c r="R89" s="2146"/>
      <c r="S89" s="2146"/>
      <c r="T89" s="2146"/>
      <c r="U89" s="2146"/>
      <c r="V89" s="2146"/>
      <c r="W89" s="2146"/>
      <c r="X89" s="2146"/>
      <c r="Y89" s="2146"/>
      <c r="Z89" s="2146"/>
      <c r="AA89" s="2146"/>
      <c r="AB89" s="2146"/>
      <c r="AC89" s="2146"/>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68"/>
      <c r="O90" s="2168"/>
      <c r="P90" s="2169"/>
      <c r="Q90" s="2170"/>
      <c r="R90" s="2171"/>
      <c r="S90" s="2171"/>
      <c r="T90" s="2171"/>
      <c r="U90" s="2171"/>
      <c r="V90" s="2171"/>
      <c r="W90" s="2171"/>
      <c r="X90" s="2171"/>
      <c r="Y90" s="2171"/>
      <c r="Z90" s="2171"/>
      <c r="AA90" s="2171"/>
      <c r="AB90" s="2171"/>
      <c r="AC90" s="2171"/>
    </row>
    <row r="91" spans="1:29" s="1341" customFormat="1">
      <c r="A91" s="731"/>
      <c r="B91" s="684"/>
      <c r="C91" s="733"/>
      <c r="D91" s="733"/>
      <c r="E91" s="733"/>
      <c r="F91" s="733"/>
      <c r="G91" s="733"/>
      <c r="H91" s="733"/>
      <c r="I91" s="733"/>
      <c r="J91" s="734"/>
      <c r="K91" s="734"/>
      <c r="L91" s="735"/>
      <c r="M91" s="736"/>
      <c r="N91" s="2168"/>
      <c r="O91" s="2168"/>
      <c r="P91" s="2169"/>
      <c r="Q91" s="2170"/>
      <c r="R91" s="2171"/>
      <c r="S91" s="2171"/>
      <c r="T91" s="2171"/>
      <c r="U91" s="2171"/>
      <c r="V91" s="2171"/>
      <c r="W91" s="2171"/>
      <c r="X91" s="2171"/>
      <c r="Y91" s="2171"/>
      <c r="Z91" s="2171"/>
      <c r="AA91" s="2171"/>
      <c r="AB91" s="2171"/>
      <c r="AC91" s="2171"/>
    </row>
    <row r="92" spans="1:29" s="1341" customFormat="1" ht="15.75" thickBot="1">
      <c r="A92" s="690"/>
      <c r="B92" s="681"/>
      <c r="C92" s="695"/>
      <c r="D92" s="674"/>
      <c r="E92" s="674"/>
      <c r="F92" s="674"/>
      <c r="G92" s="674"/>
      <c r="H92" s="674"/>
      <c r="I92" s="674"/>
      <c r="J92" s="674"/>
      <c r="K92" s="674"/>
      <c r="L92" s="674"/>
      <c r="M92" s="675"/>
      <c r="N92" s="2168"/>
      <c r="O92" s="2168"/>
      <c r="P92" s="2169"/>
      <c r="Q92" s="2170"/>
      <c r="R92" s="2171"/>
      <c r="S92" s="2171"/>
      <c r="T92" s="2171"/>
      <c r="U92" s="2171"/>
      <c r="V92" s="2171"/>
      <c r="W92" s="2171"/>
      <c r="X92" s="2171"/>
      <c r="Y92" s="2171"/>
      <c r="Z92" s="2171"/>
      <c r="AA92" s="2171"/>
      <c r="AB92" s="2171"/>
      <c r="AC92" s="2171"/>
    </row>
    <row r="93" spans="1:29" ht="15" thickTop="1">
      <c r="A93" s="738"/>
      <c r="B93" s="676" t="s">
        <v>820</v>
      </c>
      <c r="C93" s="691"/>
      <c r="D93" s="691"/>
      <c r="E93" s="721"/>
      <c r="F93" s="721"/>
      <c r="G93" s="721"/>
      <c r="H93" s="721"/>
      <c r="I93" s="721"/>
      <c r="J93" s="721"/>
      <c r="K93" s="722"/>
      <c r="L93" s="723"/>
      <c r="M93" s="72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8"/>
      <c r="B95" s="676" t="s">
        <v>821</v>
      </c>
      <c r="C95" s="601"/>
      <c r="D95" s="601"/>
      <c r="E95" s="601"/>
      <c r="F95" s="601"/>
      <c r="G95" s="601"/>
      <c r="H95" s="601"/>
      <c r="I95" s="601"/>
      <c r="J95" s="601"/>
      <c r="K95" s="669"/>
      <c r="L95" s="670"/>
      <c r="M95" s="671"/>
      <c r="N95" s="2165"/>
      <c r="O95" s="2165"/>
      <c r="P95" s="2166"/>
      <c r="Q95" s="2159"/>
      <c r="R95" s="2146"/>
      <c r="S95" s="2146"/>
      <c r="T95" s="2146"/>
      <c r="U95" s="2146"/>
      <c r="V95" s="2146"/>
      <c r="W95" s="2146"/>
      <c r="X95" s="2146"/>
      <c r="Y95" s="2146"/>
      <c r="Z95" s="2146"/>
      <c r="AA95" s="2146"/>
      <c r="AB95" s="2146"/>
      <c r="AC95" s="214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7"/>
      <c r="O96" s="2167"/>
      <c r="P96" s="2166"/>
      <c r="Q96" s="2159"/>
      <c r="R96" s="2146"/>
      <c r="S96" s="2146"/>
      <c r="T96" s="2146"/>
      <c r="U96" s="2146"/>
      <c r="V96" s="2146"/>
      <c r="W96" s="2146"/>
      <c r="X96" s="2146"/>
      <c r="Y96" s="2146"/>
      <c r="Z96" s="2146"/>
      <c r="AA96" s="2146"/>
      <c r="AB96" s="2146"/>
      <c r="AC96" s="2146"/>
    </row>
    <row r="97" spans="1:29" ht="15" thickTop="1">
      <c r="A97" s="738"/>
      <c r="B97" s="919">
        <f>B34</f>
        <v>111</v>
      </c>
      <c r="C97" s="544"/>
      <c r="D97" s="544"/>
      <c r="E97" s="544"/>
      <c r="F97" s="544"/>
      <c r="G97" s="691"/>
      <c r="H97" s="692"/>
      <c r="I97" s="692"/>
      <c r="J97" s="692"/>
      <c r="K97" s="692"/>
      <c r="L97" s="693"/>
      <c r="M97" s="694"/>
      <c r="N97" s="2167"/>
      <c r="O97" s="2167"/>
      <c r="P97" s="2206"/>
      <c r="Q97" s="2207"/>
      <c r="R97" s="2146"/>
      <c r="S97" s="2146"/>
      <c r="T97" s="2146"/>
      <c r="U97" s="2146"/>
      <c r="V97" s="2146"/>
      <c r="W97" s="2146"/>
      <c r="X97" s="2146"/>
      <c r="Y97" s="2146"/>
      <c r="Z97" s="2146"/>
      <c r="AA97" s="2146"/>
      <c r="AB97" s="2146"/>
      <c r="AC97" s="2146"/>
    </row>
    <row r="98" spans="1:29" ht="15.75" thickBot="1">
      <c r="A98" s="672"/>
      <c r="B98" s="681"/>
      <c r="C98" s="695"/>
      <c r="D98" s="674"/>
      <c r="E98" s="674"/>
      <c r="F98" s="674"/>
      <c r="G98" s="695"/>
      <c r="H98" s="696"/>
      <c r="I98" s="696"/>
      <c r="J98" s="696"/>
      <c r="K98" s="696"/>
      <c r="L98" s="696"/>
      <c r="M98" s="697"/>
      <c r="N98" s="2167"/>
      <c r="O98" s="2167"/>
      <c r="P98" s="2166"/>
      <c r="Q98" s="2159"/>
      <c r="R98" s="2146"/>
      <c r="S98" s="2146"/>
      <c r="T98" s="2146"/>
      <c r="U98" s="2146"/>
      <c r="V98" s="2146"/>
      <c r="W98" s="2146"/>
      <c r="X98" s="2146"/>
      <c r="Y98" s="2146"/>
      <c r="Z98" s="2146"/>
      <c r="AA98" s="2146"/>
      <c r="AB98" s="2146"/>
      <c r="AC98" s="2146"/>
    </row>
    <row r="99" spans="1:29" s="1341" customFormat="1" ht="15" thickTop="1">
      <c r="A99" s="731"/>
      <c r="B99" s="676">
        <f>B35</f>
        <v>111</v>
      </c>
      <c r="C99" s="544"/>
      <c r="D99" s="544"/>
      <c r="E99" s="544"/>
      <c r="F99" s="544"/>
      <c r="G99" s="691"/>
      <c r="H99" s="692"/>
      <c r="I99" s="692"/>
      <c r="J99" s="692"/>
      <c r="K99" s="692"/>
      <c r="L99" s="693"/>
      <c r="M99" s="694"/>
      <c r="N99" s="2168"/>
      <c r="O99" s="2168"/>
      <c r="P99" s="2169"/>
      <c r="Q99" s="2170"/>
      <c r="R99" s="2171"/>
      <c r="S99" s="2171"/>
      <c r="T99" s="2171"/>
      <c r="U99" s="2171"/>
      <c r="V99" s="2171"/>
      <c r="W99" s="2171"/>
      <c r="X99" s="2171"/>
      <c r="Y99" s="2171"/>
      <c r="Z99" s="2171"/>
      <c r="AA99" s="2171"/>
      <c r="AB99" s="2171"/>
      <c r="AC99" s="2171"/>
    </row>
    <row r="100" spans="1:29" s="1341" customFormat="1" ht="15.75" thickBot="1">
      <c r="A100" s="690"/>
      <c r="B100" s="673"/>
      <c r="C100" s="695"/>
      <c r="D100" s="674"/>
      <c r="E100" s="674"/>
      <c r="F100" s="674"/>
      <c r="G100" s="695"/>
      <c r="H100" s="696"/>
      <c r="I100" s="696"/>
      <c r="J100" s="696"/>
      <c r="K100" s="696"/>
      <c r="L100" s="696"/>
      <c r="M100" s="697"/>
      <c r="N100" s="2168"/>
      <c r="O100" s="2168"/>
      <c r="P100" s="2169"/>
      <c r="Q100" s="2170"/>
      <c r="R100" s="2171"/>
      <c r="S100" s="2171"/>
      <c r="T100" s="2171"/>
      <c r="U100" s="2171"/>
      <c r="V100" s="2171"/>
      <c r="W100" s="2171"/>
      <c r="X100" s="2171"/>
      <c r="Y100" s="2171"/>
      <c r="Z100" s="2171"/>
      <c r="AA100" s="2171"/>
      <c r="AB100" s="2171"/>
      <c r="AC100" s="2171"/>
    </row>
    <row r="101" spans="1:29" ht="15" thickTop="1">
      <c r="A101" s="738"/>
      <c r="B101" s="676">
        <f>B36</f>
        <v>111</v>
      </c>
      <c r="C101" s="691"/>
      <c r="D101" s="691"/>
      <c r="E101" s="691"/>
      <c r="F101" s="691"/>
      <c r="G101" s="691"/>
      <c r="H101" s="692"/>
      <c r="I101" s="692"/>
      <c r="J101" s="692"/>
      <c r="K101" s="692"/>
      <c r="L101" s="693"/>
      <c r="M101" s="694"/>
      <c r="N101" s="2165"/>
      <c r="O101" s="2165"/>
      <c r="P101" s="2166"/>
      <c r="Q101" s="2159"/>
      <c r="R101" s="2146"/>
      <c r="S101" s="2146"/>
      <c r="T101" s="2146"/>
      <c r="U101" s="2146"/>
      <c r="V101" s="2146"/>
      <c r="W101" s="2146"/>
      <c r="X101" s="2146"/>
      <c r="Y101" s="2146"/>
      <c r="Z101" s="2146"/>
      <c r="AA101" s="2146"/>
      <c r="AB101" s="2146"/>
      <c r="AC101" s="2146"/>
    </row>
    <row r="102" spans="1:29" ht="15.75" thickBot="1">
      <c r="A102" s="672"/>
      <c r="B102" s="681"/>
      <c r="C102" s="695"/>
      <c r="D102" s="695"/>
      <c r="E102" s="695"/>
      <c r="F102" s="695"/>
      <c r="G102" s="695"/>
      <c r="H102" s="696"/>
      <c r="I102" s="696"/>
      <c r="J102" s="696"/>
      <c r="K102" s="696"/>
      <c r="L102" s="696"/>
      <c r="M102" s="697"/>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4"/>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29"/>
      <c r="F3" s="2130"/>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798</v>
      </c>
      <c r="B4" s="516"/>
      <c r="C4" s="3366" t="s">
        <v>799</v>
      </c>
      <c r="D4" s="3367"/>
      <c r="E4" s="3400" t="s">
        <v>800</v>
      </c>
      <c r="F4" s="3401"/>
      <c r="G4" s="3366" t="s">
        <v>801</v>
      </c>
      <c r="H4" s="3367"/>
      <c r="I4" s="3366" t="s">
        <v>802</v>
      </c>
      <c r="J4" s="3367"/>
      <c r="K4" s="517" t="s">
        <v>803</v>
      </c>
      <c r="L4" s="2134"/>
      <c r="M4" s="2135"/>
      <c r="N4" s="2135"/>
      <c r="O4" s="2135"/>
      <c r="P4" s="3368" t="s">
        <v>804</v>
      </c>
      <c r="Q4" s="3369"/>
      <c r="R4" s="3374" t="s">
        <v>800</v>
      </c>
      <c r="S4" s="3375"/>
      <c r="T4" s="3374" t="s">
        <v>801</v>
      </c>
      <c r="U4" s="3375"/>
      <c r="V4" s="3361" t="s">
        <v>802</v>
      </c>
      <c r="W4" s="3361"/>
      <c r="X4" s="1569"/>
      <c r="Y4" s="3374" t="s">
        <v>804</v>
      </c>
      <c r="Z4" s="3375"/>
      <c r="AA4" s="3363" t="s">
        <v>800</v>
      </c>
      <c r="AB4" s="3364" t="s">
        <v>801</v>
      </c>
      <c r="AC4" s="3363" t="s">
        <v>802</v>
      </c>
    </row>
    <row r="5" spans="1:29" ht="15">
      <c r="A5" s="518"/>
      <c r="B5" s="519"/>
      <c r="C5" s="3384" t="s">
        <v>2934</v>
      </c>
      <c r="D5" s="3383"/>
      <c r="E5" s="3417" t="s">
        <v>2935</v>
      </c>
      <c r="F5" s="3403"/>
      <c r="G5" s="3384" t="s">
        <v>2936</v>
      </c>
      <c r="H5" s="3383"/>
      <c r="I5" s="3384" t="s">
        <v>2937</v>
      </c>
      <c r="J5" s="3383"/>
      <c r="K5" s="517"/>
      <c r="L5" s="2134"/>
      <c r="M5" s="2135"/>
      <c r="N5" s="2135"/>
      <c r="O5" s="2135"/>
      <c r="P5" s="3370"/>
      <c r="Q5" s="3371"/>
      <c r="R5" s="3376"/>
      <c r="S5" s="3377"/>
      <c r="T5" s="3376"/>
      <c r="U5" s="3377"/>
      <c r="V5" s="3361"/>
      <c r="W5" s="3361"/>
      <c r="X5" s="1569"/>
      <c r="Y5" s="3376"/>
      <c r="Z5" s="3377"/>
      <c r="AA5" s="3364"/>
      <c r="AB5" s="3364"/>
      <c r="AC5" s="3364"/>
    </row>
    <row r="6" spans="1:29" ht="15.75" thickBot="1">
      <c r="A6" s="520"/>
      <c r="B6" s="521"/>
      <c r="C6" s="3404" t="s">
        <v>2938</v>
      </c>
      <c r="D6" s="3381"/>
      <c r="E6" s="3416" t="s">
        <v>2938</v>
      </c>
      <c r="F6" s="3406"/>
      <c r="G6" s="3404" t="s">
        <v>2938</v>
      </c>
      <c r="H6" s="3381"/>
      <c r="I6" s="3404" t="s">
        <v>2938</v>
      </c>
      <c r="J6" s="3381"/>
      <c r="K6" s="517" t="s">
        <v>529</v>
      </c>
      <c r="L6" s="2134"/>
      <c r="M6" s="2135"/>
      <c r="N6" s="2135"/>
      <c r="O6" s="2135"/>
      <c r="P6" s="3372"/>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c r="F7" s="525">
        <f>SUMIF(46:46,YEAR(E7)&amp;"-"&amp;MONTH(E7),47:47)</f>
        <v>0</v>
      </c>
      <c r="G7" s="526"/>
      <c r="H7" s="523">
        <f>SUMIF(46:46,YEAR(G7)&amp;"-"&amp;MONTH(G7),47:47)</f>
        <v>0</v>
      </c>
      <c r="I7" s="526"/>
      <c r="J7" s="523">
        <f>SUMIF(46:46,YEAR(I7)&amp;"-"&amp;MONTH(I7),47:47)</f>
        <v>0</v>
      </c>
      <c r="K7" s="527"/>
      <c r="L7" s="2136"/>
      <c r="M7" s="2137"/>
      <c r="N7" s="2137"/>
      <c r="O7" s="2137"/>
      <c r="P7" s="3393" t="s">
        <v>531</v>
      </c>
      <c r="Q7" s="3395"/>
      <c r="R7" s="1570" t="s">
        <v>8</v>
      </c>
      <c r="S7" s="1571">
        <f t="shared" ref="S7:S14" si="0">F7</f>
        <v>0</v>
      </c>
      <c r="T7" s="1570" t="s">
        <v>8</v>
      </c>
      <c r="U7" s="1571">
        <f t="shared" ref="U7:U14" si="1">H7</f>
        <v>0</v>
      </c>
      <c r="V7" s="1570" t="s">
        <v>8</v>
      </c>
      <c r="W7" s="1571">
        <f t="shared" ref="W7:W14"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SUMIF(49:49,E8,50:50)-SUMIF(49:49,C8,50:50)+100</f>
        <v>0</v>
      </c>
      <c r="G8" s="528"/>
      <c r="H8" s="523">
        <f>SUMIF(49:49,G8,50:50)-SUMIF(49:49,C8,50:50)+100</f>
        <v>0</v>
      </c>
      <c r="I8" s="528"/>
      <c r="J8" s="523">
        <f>SUMIF(49:49,I8,50:50)-SUMIF(49:49,C8,50:50)+100</f>
        <v>0</v>
      </c>
      <c r="K8" s="527"/>
      <c r="L8" s="2136"/>
      <c r="M8" s="2137"/>
      <c r="N8" s="2137"/>
      <c r="O8" s="2137"/>
      <c r="P8" s="3393" t="s">
        <v>534</v>
      </c>
      <c r="Q8" s="3394"/>
      <c r="R8" s="1570" t="s">
        <v>8</v>
      </c>
      <c r="S8" s="1571">
        <f t="shared" si="0"/>
        <v>0</v>
      </c>
      <c r="T8" s="1570" t="s">
        <v>8</v>
      </c>
      <c r="U8" s="1571">
        <f t="shared" si="1"/>
        <v>0</v>
      </c>
      <c r="V8" s="1570" t="s">
        <v>8</v>
      </c>
      <c r="W8" s="1571">
        <f t="shared" si="2"/>
        <v>0</v>
      </c>
      <c r="X8" s="1572"/>
      <c r="Y8" s="3393" t="s">
        <v>534</v>
      </c>
      <c r="Z8" s="3394"/>
      <c r="AA8" s="1573" t="e">
        <f t="shared" ref="AA8:AA34" si="3">D8/F8</f>
        <v>#DIV/0!</v>
      </c>
      <c r="AB8" s="1573" t="e">
        <f t="shared" ref="AB8:AB34" si="4">D8/H8</f>
        <v>#DIV/0!</v>
      </c>
      <c r="AC8" s="1573" t="e">
        <f t="shared" ref="AC8:AC34" si="5">D8/J8</f>
        <v>#DIV/0!</v>
      </c>
    </row>
    <row r="9" spans="1:29" s="1222" customFormat="1" ht="15">
      <c r="A9" s="2941"/>
      <c r="B9" s="2948" t="s">
        <v>2763</v>
      </c>
      <c r="C9" s="860"/>
      <c r="D9" s="254">
        <v>100</v>
      </c>
      <c r="E9" s="863"/>
      <c r="F9" s="254">
        <f>SUMIF(51:51,E9,52:52)-SUMIF(51:51,C9,52:52)+100</f>
        <v>100</v>
      </c>
      <c r="G9" s="863"/>
      <c r="H9" s="254">
        <f>SUMIF(51:51,G9,52:52)-SUMIF(51:51,C9,52:52)+100</f>
        <v>100</v>
      </c>
      <c r="I9" s="863"/>
      <c r="J9" s="254">
        <f>SUMIF(51:51,I9,52:52)-SUMIF(51:51,C9,52:52)+100</f>
        <v>100</v>
      </c>
      <c r="K9" s="527"/>
      <c r="L9" s="2136"/>
      <c r="M9" s="2137"/>
      <c r="N9" s="2137"/>
      <c r="O9" s="2138"/>
      <c r="P9" s="3360" t="s">
        <v>536</v>
      </c>
      <c r="Q9" s="1153" t="str">
        <f t="shared" ref="Q9:Q14" si="6">B9</f>
        <v>用途</v>
      </c>
      <c r="R9" s="1570" t="s">
        <v>8</v>
      </c>
      <c r="S9" s="1571">
        <f t="shared" si="0"/>
        <v>100</v>
      </c>
      <c r="T9" s="1570" t="s">
        <v>8</v>
      </c>
      <c r="U9" s="1571">
        <f t="shared" si="1"/>
        <v>100</v>
      </c>
      <c r="V9" s="1570" t="s">
        <v>8</v>
      </c>
      <c r="W9" s="1571">
        <f t="shared" si="2"/>
        <v>100</v>
      </c>
      <c r="X9" s="1572"/>
      <c r="Y9" s="3306" t="s">
        <v>537</v>
      </c>
      <c r="Z9" s="1152" t="str">
        <f t="shared" ref="Z9:Z14" si="7">Q9</f>
        <v>用途</v>
      </c>
      <c r="AA9" s="1573">
        <f t="shared" si="3"/>
        <v>1</v>
      </c>
      <c r="AB9" s="1573">
        <f t="shared" si="4"/>
        <v>1</v>
      </c>
      <c r="AC9" s="1573">
        <f t="shared" si="5"/>
        <v>1</v>
      </c>
    </row>
    <row r="10" spans="1:29" s="1340" customFormat="1" ht="27">
      <c r="A10" s="2942"/>
      <c r="B10" s="2947" t="s">
        <v>2764</v>
      </c>
      <c r="C10" s="864"/>
      <c r="D10" s="255">
        <v>100</v>
      </c>
      <c r="E10" s="864"/>
      <c r="F10" s="255">
        <f>SUMIF(53:53,E10,54:54)-SUMIF(53:53,C10,54:54)+100</f>
        <v>100</v>
      </c>
      <c r="G10" s="865"/>
      <c r="H10" s="255">
        <f>SUMIF(53:53,G10,54:54)-SUMIF(53:53,C10,54:54)+100</f>
        <v>100</v>
      </c>
      <c r="I10" s="864"/>
      <c r="J10" s="255">
        <f>SUMIF(53:53,I10,54:54)-SUMIF(53:53,C10,54:54)+100</f>
        <v>100</v>
      </c>
      <c r="K10" s="587"/>
      <c r="L10" s="2139"/>
      <c r="M10" s="2179"/>
      <c r="N10" s="2179"/>
      <c r="O10" s="2140"/>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4"/>
      <c r="B11" s="2950">
        <v>111</v>
      </c>
      <c r="C11" s="531"/>
      <c r="D11" s="255">
        <v>100</v>
      </c>
      <c r="E11" s="882"/>
      <c r="F11" s="255">
        <f>SUMIF(55:55,E11,56:56)-SUMIF(55:55,C11,56:56)+100</f>
        <v>100</v>
      </c>
      <c r="G11" s="882"/>
      <c r="H11" s="255">
        <f>SUMIF(55:55,G11,56:56)-SUMIF(55:55,C11,56:56)+100</f>
        <v>100</v>
      </c>
      <c r="I11" s="882"/>
      <c r="J11" s="255">
        <f>SUMIF(55:55,I11,56:56)-SUMIF(55:55,C11,56:56)+100</f>
        <v>100</v>
      </c>
      <c r="K11" s="584"/>
      <c r="L11" s="2141"/>
      <c r="M11" s="2135"/>
      <c r="N11" s="2135"/>
      <c r="O11" s="2142"/>
      <c r="P11" s="3360"/>
      <c r="Q11" s="1153">
        <f t="shared" si="6"/>
        <v>111</v>
      </c>
      <c r="R11" s="1570" t="s">
        <v>8</v>
      </c>
      <c r="S11" s="1571">
        <f t="shared" si="0"/>
        <v>100</v>
      </c>
      <c r="T11" s="1570" t="s">
        <v>8</v>
      </c>
      <c r="U11" s="1571">
        <f t="shared" si="1"/>
        <v>100</v>
      </c>
      <c r="V11" s="1570" t="s">
        <v>8</v>
      </c>
      <c r="W11" s="1571">
        <f t="shared" si="2"/>
        <v>100</v>
      </c>
      <c r="X11" s="1572"/>
      <c r="Y11" s="3306"/>
      <c r="Z11" s="1152">
        <f t="shared" si="7"/>
        <v>111</v>
      </c>
      <c r="AA11" s="1573">
        <f t="shared" si="3"/>
        <v>1</v>
      </c>
      <c r="AB11" s="1573">
        <f t="shared" si="4"/>
        <v>1</v>
      </c>
      <c r="AC11" s="1573">
        <f t="shared" si="5"/>
        <v>1</v>
      </c>
    </row>
    <row r="12" spans="1:29" s="1222" customFormat="1" ht="15">
      <c r="A12" s="2944"/>
      <c r="B12" s="2950">
        <v>111</v>
      </c>
      <c r="C12" s="531"/>
      <c r="D12" s="541">
        <v>100</v>
      </c>
      <c r="E12" s="882"/>
      <c r="F12" s="255">
        <f>SUMIF(57:57,E12,58:58)-SUMIF(57:57,C12,58:58)+100</f>
        <v>100</v>
      </c>
      <c r="G12" s="882"/>
      <c r="H12" s="255">
        <f>SUMIF(57:57,G12,58:58)-SUMIF(57:57,C12,58:58)+100</f>
        <v>100</v>
      </c>
      <c r="I12" s="882"/>
      <c r="J12" s="255">
        <f>SUMIF(57:57,I12,58:58)-SUMIF(57:57,C12,58:58)+100</f>
        <v>100</v>
      </c>
      <c r="K12" s="584"/>
      <c r="L12" s="2136"/>
      <c r="M12" s="2137"/>
      <c r="N12" s="2137"/>
      <c r="O12" s="2138"/>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75" thickBot="1">
      <c r="A13" s="2945"/>
      <c r="B13" s="2951">
        <v>111</v>
      </c>
      <c r="C13" s="542"/>
      <c r="D13" s="543">
        <v>100</v>
      </c>
      <c r="E13" s="882"/>
      <c r="F13" s="255">
        <f>SUMIF(59:59,E13,60:60)-SUMIF(59:59,C13,60:60)+100</f>
        <v>100</v>
      </c>
      <c r="G13" s="882"/>
      <c r="H13" s="543">
        <f>SUMIF(59:59,G13,60:60)-SUMIF(59:59,C13,60:60)+100</f>
        <v>100</v>
      </c>
      <c r="I13" s="882"/>
      <c r="J13" s="543">
        <f>SUMIF(59:59,I13,60:60)-SUMIF(59:59,C13,60:60)+100</f>
        <v>100</v>
      </c>
      <c r="K13" s="584"/>
      <c r="L13" s="2143"/>
      <c r="M13" s="2135"/>
      <c r="N13" s="2135"/>
      <c r="O13" s="2142"/>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85.5">
      <c r="A14" s="2937" t="s">
        <v>2761</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3"/>
      <c r="M14" s="2135"/>
      <c r="N14" s="2135"/>
      <c r="O14" s="2142"/>
      <c r="P14" s="3396" t="s">
        <v>541</v>
      </c>
      <c r="Q14" s="1574" t="str">
        <f t="shared" si="6"/>
        <v>交通便捷度</v>
      </c>
      <c r="R14" s="1575" t="s">
        <v>8</v>
      </c>
      <c r="S14" s="1576">
        <f t="shared" si="0"/>
        <v>100</v>
      </c>
      <c r="T14" s="1575" t="s">
        <v>8</v>
      </c>
      <c r="U14" s="1576">
        <f t="shared" si="1"/>
        <v>100</v>
      </c>
      <c r="V14" s="1575" t="s">
        <v>8</v>
      </c>
      <c r="W14" s="1576">
        <f t="shared" si="2"/>
        <v>100</v>
      </c>
      <c r="X14" s="1569"/>
      <c r="Y14" s="3396"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3"/>
      <c r="M15" s="2135"/>
      <c r="N15" s="2135"/>
      <c r="O15" s="2142"/>
      <c r="P15" s="3397"/>
      <c r="Q15" s="1574"/>
      <c r="R15" s="1575"/>
      <c r="S15" s="1576"/>
      <c r="T15" s="1575"/>
      <c r="U15" s="1576"/>
      <c r="V15" s="1575"/>
      <c r="W15" s="1576"/>
      <c r="X15" s="1569"/>
      <c r="Y15" s="3397"/>
      <c r="Z15" s="1577"/>
      <c r="AA15" s="1578">
        <v>1</v>
      </c>
      <c r="AB15" s="1578">
        <v>1</v>
      </c>
      <c r="AC15" s="1578">
        <v>1</v>
      </c>
    </row>
    <row r="16" spans="1:29" ht="42.75">
      <c r="A16" s="535"/>
      <c r="B16" s="2628" t="s">
        <v>2551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43"/>
      <c r="M16" s="2135"/>
      <c r="N16" s="2135"/>
      <c r="O16" s="2142"/>
      <c r="P16" s="3397"/>
      <c r="Q16" s="1574" t="str">
        <f>B16</f>
        <v>公共配套设施</v>
      </c>
      <c r="R16" s="1575" t="s">
        <v>8</v>
      </c>
      <c r="S16" s="1576">
        <f>F16</f>
        <v>100</v>
      </c>
      <c r="T16" s="1575" t="s">
        <v>8</v>
      </c>
      <c r="U16" s="1576">
        <f>H16</f>
        <v>100</v>
      </c>
      <c r="V16" s="1575" t="s">
        <v>8</v>
      </c>
      <c r="W16" s="1576">
        <f>J16</f>
        <v>100</v>
      </c>
      <c r="X16" s="1569"/>
      <c r="Y16" s="3397"/>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3"/>
      <c r="M17" s="2135"/>
      <c r="N17" s="2135"/>
      <c r="O17" s="2142"/>
      <c r="P17" s="3397"/>
      <c r="Q17" s="1574"/>
      <c r="R17" s="1575"/>
      <c r="S17" s="1576"/>
      <c r="T17" s="1575"/>
      <c r="U17" s="1576"/>
      <c r="V17" s="1575"/>
      <c r="W17" s="1576"/>
      <c r="X17" s="1569"/>
      <c r="Y17" s="3397"/>
      <c r="Z17" s="1577"/>
      <c r="AA17" s="1578">
        <v>1</v>
      </c>
      <c r="AB17" s="1578">
        <v>1</v>
      </c>
      <c r="AC17" s="1578">
        <v>1</v>
      </c>
    </row>
    <row r="18" spans="1:29" ht="28.5">
      <c r="A18" s="535"/>
      <c r="B18" s="2616" t="s">
        <v>2563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43"/>
      <c r="M18" s="2135"/>
      <c r="N18" s="2135"/>
      <c r="O18" s="2142"/>
      <c r="P18" s="3397"/>
      <c r="Q18" s="2604" t="str">
        <f>B18</f>
        <v>基础设施水平</v>
      </c>
      <c r="R18" s="1575" t="s">
        <v>8</v>
      </c>
      <c r="S18" s="1576">
        <f>F18</f>
        <v>100</v>
      </c>
      <c r="T18" s="1575" t="s">
        <v>8</v>
      </c>
      <c r="U18" s="1576">
        <f>H18</f>
        <v>100</v>
      </c>
      <c r="V18" s="1575" t="s">
        <v>8</v>
      </c>
      <c r="W18" s="1576">
        <f>J18</f>
        <v>100</v>
      </c>
      <c r="X18" s="2606"/>
      <c r="Y18" s="3397"/>
      <c r="Z18" s="2605"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7"/>
      <c r="L19" s="2143"/>
      <c r="M19" s="2135"/>
      <c r="N19" s="2135"/>
      <c r="O19" s="2142"/>
      <c r="P19" s="3397"/>
      <c r="Q19" s="2604"/>
      <c r="R19" s="1575"/>
      <c r="S19" s="1576"/>
      <c r="T19" s="1575"/>
      <c r="U19" s="1576"/>
      <c r="V19" s="1575"/>
      <c r="W19" s="1576"/>
      <c r="X19" s="2606"/>
      <c r="Y19" s="3397"/>
      <c r="Z19" s="2605"/>
      <c r="AA19" s="1578">
        <v>1</v>
      </c>
      <c r="AB19" s="1578">
        <v>1</v>
      </c>
      <c r="AC19" s="1578">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43"/>
      <c r="M20" s="2135"/>
      <c r="N20" s="2135"/>
      <c r="O20" s="2142"/>
      <c r="P20" s="3397"/>
      <c r="Q20" s="1574" t="str">
        <f>B20</f>
        <v>自然及人文环境</v>
      </c>
      <c r="R20" s="1575" t="s">
        <v>8</v>
      </c>
      <c r="S20" s="1576">
        <f>F20</f>
        <v>100</v>
      </c>
      <c r="T20" s="1575" t="s">
        <v>8</v>
      </c>
      <c r="U20" s="1576">
        <f>H20</f>
        <v>100</v>
      </c>
      <c r="V20" s="1575" t="s">
        <v>8</v>
      </c>
      <c r="W20" s="1576">
        <f>J20</f>
        <v>100</v>
      </c>
      <c r="X20" s="1569"/>
      <c r="Y20" s="3397"/>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3"/>
      <c r="M21" s="2135"/>
      <c r="N21" s="2135"/>
      <c r="O21" s="2142"/>
      <c r="P21" s="3397"/>
      <c r="Q21" s="1574"/>
      <c r="R21" s="1575"/>
      <c r="S21" s="1576"/>
      <c r="T21" s="1575"/>
      <c r="U21" s="1576"/>
      <c r="V21" s="1575"/>
      <c r="W21" s="1576"/>
      <c r="X21" s="1569"/>
      <c r="Y21" s="3397"/>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3"/>
      <c r="M22" s="2135"/>
      <c r="N22" s="2135"/>
      <c r="O22" s="2142"/>
      <c r="P22" s="3397"/>
      <c r="Q22" s="1574" t="str">
        <f>B22</f>
        <v>楼层</v>
      </c>
      <c r="R22" s="1575" t="s">
        <v>8</v>
      </c>
      <c r="S22" s="1576">
        <f>F22</f>
        <v>100</v>
      </c>
      <c r="T22" s="1575" t="s">
        <v>8</v>
      </c>
      <c r="U22" s="1576">
        <f>H22</f>
        <v>100</v>
      </c>
      <c r="V22" s="1575" t="s">
        <v>8</v>
      </c>
      <c r="W22" s="1576">
        <f>J22</f>
        <v>100</v>
      </c>
      <c r="X22" s="1569"/>
      <c r="Y22" s="3397"/>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3"/>
      <c r="M23" s="2135"/>
      <c r="N23" s="2135"/>
      <c r="O23" s="2142"/>
      <c r="P23" s="3397"/>
      <c r="Q23" s="1574">
        <f>B23</f>
        <v>111</v>
      </c>
      <c r="R23" s="1575" t="s">
        <v>8</v>
      </c>
      <c r="S23" s="1576">
        <f>F23</f>
        <v>100</v>
      </c>
      <c r="T23" s="1575" t="s">
        <v>8</v>
      </c>
      <c r="U23" s="1576">
        <f>H23</f>
        <v>100</v>
      </c>
      <c r="V23" s="1575" t="s">
        <v>8</v>
      </c>
      <c r="W23" s="1576">
        <f>J23</f>
        <v>100</v>
      </c>
      <c r="X23" s="1569"/>
      <c r="Y23" s="3397"/>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3"/>
      <c r="M24" s="2135"/>
      <c r="N24" s="2135"/>
      <c r="O24" s="2142"/>
      <c r="P24" s="3397"/>
      <c r="Q24" s="1574">
        <f t="shared" ref="Q24:Q34" si="11">B24</f>
        <v>111</v>
      </c>
      <c r="R24" s="1575" t="s">
        <v>8</v>
      </c>
      <c r="S24" s="1576">
        <f>F24</f>
        <v>100</v>
      </c>
      <c r="T24" s="1575" t="s">
        <v>8</v>
      </c>
      <c r="U24" s="1576">
        <f>H24</f>
        <v>100</v>
      </c>
      <c r="V24" s="1575" t="s">
        <v>8</v>
      </c>
      <c r="W24" s="1576">
        <f>J24</f>
        <v>100</v>
      </c>
      <c r="X24" s="1569"/>
      <c r="Y24" s="3397"/>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6"/>
      <c r="M25" s="2137"/>
      <c r="N25" s="2137"/>
      <c r="O25" s="2138"/>
      <c r="P25" s="3397"/>
      <c r="Q25" s="1153">
        <f t="shared" si="11"/>
        <v>111</v>
      </c>
      <c r="R25" s="1570" t="s">
        <v>8</v>
      </c>
      <c r="S25" s="1571">
        <f>F25</f>
        <v>100</v>
      </c>
      <c r="T25" s="1570" t="s">
        <v>8</v>
      </c>
      <c r="U25" s="1571">
        <f>H25</f>
        <v>100</v>
      </c>
      <c r="V25" s="1570" t="s">
        <v>8</v>
      </c>
      <c r="W25" s="1571">
        <f>J25</f>
        <v>100</v>
      </c>
      <c r="X25" s="1572"/>
      <c r="Y25" s="3397"/>
      <c r="Z25" s="1152">
        <f>Q25</f>
        <v>111</v>
      </c>
      <c r="AA25" s="1578">
        <f>D25/F25</f>
        <v>1</v>
      </c>
      <c r="AB25" s="1578">
        <f>D25/H25</f>
        <v>1</v>
      </c>
      <c r="AC25" s="1578">
        <f>D25/J25</f>
        <v>1</v>
      </c>
    </row>
    <row r="26" spans="1:29" ht="15">
      <c r="A26" s="2934" t="s">
        <v>2762</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3"/>
      <c r="M26" s="2135"/>
      <c r="N26" s="2135"/>
      <c r="O26" s="2142"/>
      <c r="P26" s="3398"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99"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1"/>
      <c r="M27" s="2172"/>
      <c r="N27" s="2172"/>
      <c r="O27" s="2144"/>
      <c r="P27" s="3399"/>
      <c r="Q27" s="1607" t="str">
        <f t="shared" si="11"/>
        <v>成新率</v>
      </c>
      <c r="R27" s="1579" t="s">
        <v>8</v>
      </c>
      <c r="S27" s="1580" t="e">
        <f t="shared" si="12"/>
        <v>#N/A</v>
      </c>
      <c r="T27" s="1579" t="s">
        <v>8</v>
      </c>
      <c r="U27" s="1580" t="e">
        <f t="shared" si="13"/>
        <v>#N/A</v>
      </c>
      <c r="V27" s="1579" t="s">
        <v>8</v>
      </c>
      <c r="W27" s="1580" t="e">
        <f t="shared" si="14"/>
        <v>#N/A</v>
      </c>
      <c r="X27" s="1581"/>
      <c r="Y27" s="3399"/>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3"/>
      <c r="M28" s="2135"/>
      <c r="N28" s="2135"/>
      <c r="O28" s="2142"/>
      <c r="P28" s="3399"/>
      <c r="Q28" s="1574" t="str">
        <f t="shared" si="11"/>
        <v>物业等级</v>
      </c>
      <c r="R28" s="1575" t="s">
        <v>8</v>
      </c>
      <c r="S28" s="1576">
        <f t="shared" si="12"/>
        <v>100</v>
      </c>
      <c r="T28" s="1575" t="s">
        <v>8</v>
      </c>
      <c r="U28" s="1576">
        <f t="shared" si="13"/>
        <v>100</v>
      </c>
      <c r="V28" s="1575" t="s">
        <v>8</v>
      </c>
      <c r="W28" s="1576">
        <f t="shared" si="14"/>
        <v>100</v>
      </c>
      <c r="X28" s="1569"/>
      <c r="Y28" s="3399"/>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3"/>
      <c r="M29" s="2135"/>
      <c r="N29" s="2135"/>
      <c r="O29" s="2142"/>
      <c r="P29" s="3399"/>
      <c r="Q29" s="1574" t="str">
        <f t="shared" si="11"/>
        <v>有无电梯</v>
      </c>
      <c r="R29" s="1575" t="s">
        <v>8</v>
      </c>
      <c r="S29" s="1576">
        <f t="shared" si="12"/>
        <v>100</v>
      </c>
      <c r="T29" s="1575" t="s">
        <v>8</v>
      </c>
      <c r="U29" s="1576">
        <f t="shared" si="13"/>
        <v>100</v>
      </c>
      <c r="V29" s="1575" t="s">
        <v>8</v>
      </c>
      <c r="W29" s="1576">
        <f t="shared" si="14"/>
        <v>100</v>
      </c>
      <c r="X29" s="1569"/>
      <c r="Y29" s="3399"/>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3"/>
      <c r="M30" s="2135"/>
      <c r="N30" s="2135"/>
      <c r="O30" s="2142"/>
      <c r="P30" s="3399"/>
      <c r="Q30" s="1574" t="str">
        <f t="shared" si="11"/>
        <v>建筑面积</v>
      </c>
      <c r="R30" s="1575" t="s">
        <v>8</v>
      </c>
      <c r="S30" s="1576" t="e">
        <f t="shared" si="12"/>
        <v>#N/A</v>
      </c>
      <c r="T30" s="1575" t="s">
        <v>8</v>
      </c>
      <c r="U30" s="1576" t="e">
        <f t="shared" si="13"/>
        <v>#N/A</v>
      </c>
      <c r="V30" s="1575" t="s">
        <v>8</v>
      </c>
      <c r="W30" s="1576" t="e">
        <f t="shared" si="14"/>
        <v>#N/A</v>
      </c>
      <c r="X30" s="1569"/>
      <c r="Y30" s="3399"/>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6"/>
      <c r="M31" s="2137"/>
      <c r="N31" s="2137"/>
      <c r="O31" s="2138"/>
      <c r="P31" s="3399"/>
      <c r="Q31" s="1153" t="str">
        <f t="shared" si="11"/>
        <v>是否封闭</v>
      </c>
      <c r="R31" s="1570" t="s">
        <v>8</v>
      </c>
      <c r="S31" s="1571">
        <f t="shared" si="12"/>
        <v>100</v>
      </c>
      <c r="T31" s="1570" t="s">
        <v>8</v>
      </c>
      <c r="U31" s="1571">
        <f t="shared" si="13"/>
        <v>100</v>
      </c>
      <c r="V31" s="1570" t="s">
        <v>8</v>
      </c>
      <c r="W31" s="1571">
        <f t="shared" si="14"/>
        <v>100</v>
      </c>
      <c r="X31" s="1572"/>
      <c r="Y31" s="3399"/>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3"/>
      <c r="M32" s="2135"/>
      <c r="N32" s="2135"/>
      <c r="O32" s="2142"/>
      <c r="P32" s="3399" t="s">
        <v>551</v>
      </c>
      <c r="Q32" s="1574">
        <f t="shared" si="11"/>
        <v>111</v>
      </c>
      <c r="R32" s="1575" t="s">
        <v>8</v>
      </c>
      <c r="S32" s="1576">
        <f t="shared" si="12"/>
        <v>100</v>
      </c>
      <c r="T32" s="1575" t="s">
        <v>8</v>
      </c>
      <c r="U32" s="1576">
        <f t="shared" si="13"/>
        <v>100</v>
      </c>
      <c r="V32" s="1575" t="s">
        <v>8</v>
      </c>
      <c r="W32" s="1576">
        <f t="shared" si="14"/>
        <v>100</v>
      </c>
      <c r="X32" s="1569"/>
      <c r="Y32" s="3399"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3"/>
      <c r="M33" s="2135"/>
      <c r="N33" s="2135"/>
      <c r="O33" s="2142"/>
      <c r="P33" s="3399"/>
      <c r="Q33" s="1574">
        <f t="shared" si="11"/>
        <v>111</v>
      </c>
      <c r="R33" s="1575" t="s">
        <v>8</v>
      </c>
      <c r="S33" s="1576">
        <f t="shared" si="12"/>
        <v>100</v>
      </c>
      <c r="T33" s="1575" t="s">
        <v>8</v>
      </c>
      <c r="U33" s="1576">
        <f t="shared" si="13"/>
        <v>100</v>
      </c>
      <c r="V33" s="1575" t="s">
        <v>8</v>
      </c>
      <c r="W33" s="1576">
        <f t="shared" si="14"/>
        <v>100</v>
      </c>
      <c r="X33" s="1569"/>
      <c r="Y33" s="3399"/>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3"/>
      <c r="M34" s="2135"/>
      <c r="N34" s="2135"/>
      <c r="O34" s="2142"/>
      <c r="P34" s="3399"/>
      <c r="Q34" s="1574">
        <f t="shared" si="11"/>
        <v>111</v>
      </c>
      <c r="R34" s="1575" t="s">
        <v>8</v>
      </c>
      <c r="S34" s="1576">
        <f t="shared" si="12"/>
        <v>100</v>
      </c>
      <c r="T34" s="1575" t="s">
        <v>8</v>
      </c>
      <c r="U34" s="1576">
        <f t="shared" si="13"/>
        <v>100</v>
      </c>
      <c r="V34" s="1575" t="s">
        <v>8</v>
      </c>
      <c r="W34" s="1576">
        <f t="shared" si="14"/>
        <v>100</v>
      </c>
      <c r="X34" s="1569"/>
      <c r="Y34" s="3399"/>
      <c r="Z34" s="1577">
        <f t="shared" si="15"/>
        <v>111</v>
      </c>
      <c r="AA34" s="1578">
        <f t="shared" si="3"/>
        <v>1</v>
      </c>
      <c r="AB34" s="1578">
        <f t="shared" si="4"/>
        <v>1</v>
      </c>
      <c r="AC34" s="1578">
        <f t="shared" si="5"/>
        <v>1</v>
      </c>
    </row>
    <row r="35" spans="1:29" ht="15">
      <c r="A35" s="610" t="s">
        <v>737</v>
      </c>
      <c r="B35" s="889"/>
      <c r="C35" s="2652" t="s">
        <v>1</v>
      </c>
      <c r="D35" s="2653"/>
      <c r="E35" s="2654"/>
      <c r="F35" s="2655"/>
      <c r="G35" s="2656"/>
      <c r="H35" s="2657"/>
      <c r="I35" s="2654"/>
      <c r="J35" s="2657"/>
      <c r="K35" s="1613"/>
      <c r="L35" s="2145"/>
      <c r="M35" s="2146"/>
      <c r="N35" s="2135"/>
      <c r="O35" s="2146"/>
      <c r="P35" s="3360" t="str">
        <f>A35</f>
        <v>成交单价（元/平方米）</v>
      </c>
      <c r="Q35" s="3360"/>
      <c r="R35" s="3408">
        <f>E35</f>
        <v>0</v>
      </c>
      <c r="S35" s="3408"/>
      <c r="T35" s="3408">
        <f>G35</f>
        <v>0</v>
      </c>
      <c r="U35" s="3408"/>
      <c r="V35" s="3408">
        <f>I35</f>
        <v>0</v>
      </c>
      <c r="W35" s="3408"/>
      <c r="X35" s="1561"/>
      <c r="Y35" s="1583"/>
      <c r="Z35" s="1561"/>
      <c r="AA35" s="1561"/>
      <c r="AB35" s="1561"/>
      <c r="AC35" s="1561"/>
    </row>
    <row r="36" spans="1:29" ht="15.75" thickBot="1">
      <c r="A36" s="618" t="s">
        <v>2767</v>
      </c>
      <c r="B36" s="890"/>
      <c r="C36" s="2658" t="e">
        <f>R37</f>
        <v>#DIV/0!</v>
      </c>
      <c r="D36" s="2659"/>
      <c r="E36" s="2660" t="e">
        <f>R36</f>
        <v>#DIV/0!</v>
      </c>
      <c r="F36" s="2660"/>
      <c r="G36" s="2658" t="e">
        <f>T36</f>
        <v>#DIV/0!</v>
      </c>
      <c r="H36" s="2659"/>
      <c r="I36" s="2660" t="e">
        <f>V36</f>
        <v>#DIV/0!</v>
      </c>
      <c r="J36" s="2659"/>
      <c r="K36" s="1614"/>
      <c r="L36" s="2145"/>
      <c r="M36" s="2146"/>
      <c r="N36" s="2135"/>
      <c r="O36" s="2146"/>
      <c r="P36" s="3360" t="str">
        <f>A36</f>
        <v>比较价格（元/平方米）</v>
      </c>
      <c r="Q36" s="3360"/>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1561"/>
      <c r="Y36" s="1561"/>
      <c r="Z36" s="1561"/>
      <c r="AA36" s="1561"/>
      <c r="AB36" s="1561"/>
      <c r="AC36" s="1561"/>
    </row>
    <row r="37" spans="1:29" ht="15.75" thickBot="1">
      <c r="A37" s="624" t="s">
        <v>2940</v>
      </c>
      <c r="B37" s="625"/>
      <c r="C37" s="2661" t="e">
        <f>R37</f>
        <v>#DIV/0!</v>
      </c>
      <c r="D37" s="2661"/>
      <c r="E37" s="2661"/>
      <c r="F37" s="2661"/>
      <c r="G37" s="2661"/>
      <c r="H37" s="2661"/>
      <c r="I37" s="2661"/>
      <c r="J37" s="2661"/>
      <c r="K37" s="1615"/>
      <c r="L37" s="2145"/>
      <c r="M37" s="2146"/>
      <c r="N37" s="2146"/>
      <c r="O37" s="2146"/>
      <c r="P37" s="3357" t="str">
        <f>A37</f>
        <v>估价对象XX用房的比较价格（楼面单价，元/平方米）</v>
      </c>
      <c r="Q37" s="3358"/>
      <c r="R37" s="3409" t="e">
        <f>IF(F1="售价",ROUND(AVERAGE(R36:V36),0),ROUND(AVERAGE(R36:V36),1))</f>
        <v>#DIV/0!</v>
      </c>
      <c r="S37" s="3409"/>
      <c r="T37" s="3409"/>
      <c r="U37" s="3409"/>
      <c r="V37" s="3409"/>
      <c r="W37" s="3409"/>
      <c r="X37" s="1561"/>
      <c r="Y37" s="1561"/>
      <c r="Z37" s="1561"/>
      <c r="AA37" s="1561"/>
      <c r="AB37" s="1561"/>
      <c r="AC37" s="1561"/>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7" customFormat="1" ht="13.5" customHeight="1">
      <c r="A42" s="2147"/>
      <c r="B42" s="214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7"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6" t="s">
        <v>575</v>
      </c>
      <c r="B45" s="1561"/>
      <c r="C45" s="1585"/>
      <c r="D45" s="1585"/>
      <c r="E45" s="1585"/>
      <c r="F45" s="1587"/>
      <c r="G45" s="1587"/>
      <c r="H45" s="1585"/>
      <c r="I45" s="1585"/>
      <c r="J45" s="1585"/>
      <c r="K45" s="1588"/>
      <c r="L45" s="1584"/>
      <c r="M45" s="1585"/>
      <c r="N45" s="1585"/>
      <c r="O45" s="1585"/>
      <c r="P45" s="2158"/>
      <c r="Q45" s="2159"/>
      <c r="R45" s="2146"/>
      <c r="S45" s="2146"/>
      <c r="T45" s="2146"/>
      <c r="U45" s="2146"/>
      <c r="V45" s="2146"/>
      <c r="W45" s="2146"/>
      <c r="X45" s="2146"/>
      <c r="Y45" s="2146"/>
      <c r="Z45" s="2146"/>
      <c r="AA45" s="2146"/>
      <c r="AB45" s="2146"/>
      <c r="AC45" s="2146"/>
    </row>
    <row r="46" spans="1:29" s="1349" customFormat="1" ht="15">
      <c r="A46" s="648" t="s">
        <v>530</v>
      </c>
      <c r="B46" s="649"/>
      <c r="C46" s="2829" t="str">
        <f>YEAR(C7)&amp;"-"&amp;MONTH(C7)</f>
        <v>2017-10</v>
      </c>
      <c r="D46" s="2831">
        <f>EDATE(C46,-1)</f>
        <v>42979</v>
      </c>
      <c r="E46" s="2831">
        <f t="shared" ref="E46:O46" si="16">EDATE(D46,-1)</f>
        <v>42948</v>
      </c>
      <c r="F46" s="2831">
        <f t="shared" si="16"/>
        <v>42917</v>
      </c>
      <c r="G46" s="2831">
        <f t="shared" si="16"/>
        <v>42887</v>
      </c>
      <c r="H46" s="2831">
        <f t="shared" si="16"/>
        <v>42856</v>
      </c>
      <c r="I46" s="2831">
        <f t="shared" si="16"/>
        <v>42826</v>
      </c>
      <c r="J46" s="2831">
        <f t="shared" si="16"/>
        <v>42795</v>
      </c>
      <c r="K46" s="2831">
        <f t="shared" si="16"/>
        <v>42767</v>
      </c>
      <c r="L46" s="2831">
        <f t="shared" si="16"/>
        <v>42736</v>
      </c>
      <c r="M46" s="2831">
        <f t="shared" si="16"/>
        <v>42705</v>
      </c>
      <c r="N46" s="2831">
        <f t="shared" si="16"/>
        <v>42675</v>
      </c>
      <c r="O46" s="2831">
        <f t="shared" si="16"/>
        <v>42644</v>
      </c>
      <c r="P46" s="2161"/>
      <c r="Q46" s="2162"/>
      <c r="R46" s="2162"/>
      <c r="S46" s="2162"/>
      <c r="T46" s="2162"/>
      <c r="U46" s="2162"/>
      <c r="V46" s="2162"/>
      <c r="W46" s="2162"/>
      <c r="X46" s="2162"/>
      <c r="Y46" s="2162"/>
      <c r="Z46" s="2162"/>
      <c r="AA46" s="2162"/>
      <c r="AB46" s="2162"/>
      <c r="AC46" s="2162"/>
    </row>
    <row r="47" spans="1:29" s="1222" customFormat="1" ht="15">
      <c r="A47" s="650"/>
      <c r="B47" s="651"/>
      <c r="C47" s="652">
        <v>100</v>
      </c>
      <c r="D47" s="653"/>
      <c r="E47" s="653"/>
      <c r="F47" s="653"/>
      <c r="G47" s="653"/>
      <c r="H47" s="653"/>
      <c r="I47" s="653"/>
      <c r="J47" s="653"/>
      <c r="K47" s="653"/>
      <c r="L47" s="653"/>
      <c r="M47" s="654"/>
      <c r="N47" s="653"/>
      <c r="O47" s="655"/>
      <c r="P47" s="2159"/>
      <c r="Q47" s="1994"/>
      <c r="R47" s="1994"/>
      <c r="S47" s="1994"/>
      <c r="T47" s="1994"/>
      <c r="U47" s="1994"/>
      <c r="V47" s="1994"/>
      <c r="W47" s="1994"/>
      <c r="X47" s="1994"/>
      <c r="Y47" s="1994"/>
      <c r="Z47" s="1994"/>
      <c r="AA47" s="1994"/>
      <c r="AB47" s="1994"/>
      <c r="AC47" s="1994"/>
    </row>
    <row r="48" spans="1:29" s="1222" customFormat="1" ht="15.75" thickBot="1">
      <c r="A48" s="656" t="s">
        <v>576</v>
      </c>
      <c r="B48" s="657"/>
      <c r="C48" s="658"/>
      <c r="D48" s="659"/>
      <c r="E48" s="659"/>
      <c r="F48" s="659"/>
      <c r="G48" s="659"/>
      <c r="H48" s="659"/>
      <c r="I48" s="659"/>
      <c r="J48" s="659"/>
      <c r="K48" s="659"/>
      <c r="L48" s="659"/>
      <c r="M48" s="660"/>
      <c r="N48" s="659"/>
      <c r="O48" s="661"/>
      <c r="P48" s="2159"/>
      <c r="Q48" s="2159"/>
      <c r="R48" s="1994"/>
      <c r="S48" s="1994"/>
      <c r="T48" s="1994"/>
      <c r="U48" s="1994"/>
      <c r="V48" s="1994"/>
      <c r="W48" s="1994"/>
      <c r="X48" s="1994"/>
      <c r="Y48" s="1994"/>
      <c r="Z48" s="1994"/>
      <c r="AA48" s="1994"/>
      <c r="AB48" s="1994"/>
      <c r="AC48" s="1994"/>
    </row>
    <row r="49" spans="1:29" s="1222" customFormat="1" ht="15">
      <c r="A49" s="662" t="s">
        <v>532</v>
      </c>
      <c r="B49" s="651"/>
      <c r="C49" s="663" t="s">
        <v>577</v>
      </c>
      <c r="D49" s="664"/>
      <c r="E49" s="664"/>
      <c r="F49" s="664"/>
      <c r="G49" s="664"/>
      <c r="H49" s="664"/>
      <c r="I49" s="664"/>
      <c r="J49" s="664"/>
      <c r="K49" s="664"/>
      <c r="L49" s="665"/>
      <c r="M49" s="666"/>
      <c r="N49" s="2163"/>
      <c r="O49" s="2163"/>
      <c r="P49" s="2164"/>
      <c r="Q49" s="2159"/>
      <c r="R49" s="1994"/>
      <c r="S49" s="1994"/>
      <c r="T49" s="1994"/>
      <c r="U49" s="1994"/>
      <c r="V49" s="1994"/>
      <c r="W49" s="1994"/>
      <c r="X49" s="1994"/>
      <c r="Y49" s="1994"/>
      <c r="Z49" s="1994"/>
      <c r="AA49" s="1994"/>
      <c r="AB49" s="1994"/>
      <c r="AC49" s="1994"/>
    </row>
    <row r="50" spans="1:29" s="1222" customFormat="1" ht="15.75" thickBot="1">
      <c r="A50" s="662"/>
      <c r="B50" s="651"/>
      <c r="C50" s="652">
        <v>100</v>
      </c>
      <c r="D50" s="653"/>
      <c r="E50" s="653"/>
      <c r="F50" s="653"/>
      <c r="G50" s="653"/>
      <c r="H50" s="653"/>
      <c r="I50" s="653"/>
      <c r="J50" s="653"/>
      <c r="K50" s="653"/>
      <c r="L50" s="653"/>
      <c r="M50" s="655"/>
      <c r="N50" s="2163"/>
      <c r="O50" s="2163"/>
      <c r="P50" s="2159"/>
      <c r="Q50" s="2159"/>
      <c r="R50" s="1994"/>
      <c r="S50" s="1994"/>
      <c r="T50" s="1994"/>
      <c r="U50" s="1994"/>
      <c r="V50" s="1994"/>
      <c r="W50" s="1994"/>
      <c r="X50" s="1994"/>
      <c r="Y50" s="1994"/>
      <c r="Z50" s="1994"/>
      <c r="AA50" s="1994"/>
      <c r="AB50" s="1994"/>
      <c r="AC50" s="1994"/>
    </row>
    <row r="51" spans="1:29">
      <c r="A51" s="667" t="s">
        <v>578</v>
      </c>
      <c r="B51" s="668" t="s">
        <v>535</v>
      </c>
      <c r="C51" s="707">
        <f>C9</f>
        <v>0</v>
      </c>
      <c r="D51" s="601"/>
      <c r="E51" s="601"/>
      <c r="F51" s="601"/>
      <c r="G51" s="601"/>
      <c r="H51" s="601"/>
      <c r="I51" s="601"/>
      <c r="J51" s="601"/>
      <c r="K51" s="669"/>
      <c r="L51" s="670"/>
      <c r="M51" s="671"/>
      <c r="N51" s="2165"/>
      <c r="O51" s="2165"/>
      <c r="P51" s="2166"/>
      <c r="Q51" s="2159"/>
      <c r="R51" s="2146"/>
      <c r="S51" s="2146"/>
      <c r="T51" s="2146"/>
      <c r="U51" s="2146"/>
      <c r="V51" s="2146"/>
      <c r="W51" s="2146"/>
      <c r="X51" s="2146"/>
      <c r="Y51" s="2146"/>
      <c r="Z51" s="2146"/>
      <c r="AA51" s="2146"/>
      <c r="AB51" s="2146"/>
      <c r="AC51" s="2146"/>
    </row>
    <row r="52" spans="1:29" ht="15.75" thickBot="1">
      <c r="A52" s="672"/>
      <c r="B52" s="673"/>
      <c r="C52" s="674">
        <v>100</v>
      </c>
      <c r="D52" s="674"/>
      <c r="E52" s="674"/>
      <c r="F52" s="674"/>
      <c r="G52" s="674"/>
      <c r="H52" s="674"/>
      <c r="I52" s="674"/>
      <c r="J52" s="674"/>
      <c r="K52" s="674"/>
      <c r="L52" s="674"/>
      <c r="M52" s="675"/>
      <c r="N52" s="2167"/>
      <c r="O52" s="2167"/>
      <c r="P52" s="2166"/>
      <c r="Q52" s="2159"/>
      <c r="R52" s="2146"/>
      <c r="S52" s="2146"/>
      <c r="T52" s="2146"/>
      <c r="U52" s="2146"/>
      <c r="V52" s="2146"/>
      <c r="W52" s="2146"/>
      <c r="X52" s="2146"/>
      <c r="Y52" s="2146"/>
      <c r="Z52" s="2146"/>
      <c r="AA52" s="2146"/>
      <c r="AB52" s="2146"/>
      <c r="AC52" s="2146"/>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5"/>
      <c r="O53" s="2165"/>
      <c r="P53" s="2166"/>
      <c r="Q53" s="2159"/>
      <c r="R53" s="2146"/>
      <c r="S53" s="2146"/>
      <c r="T53" s="2146"/>
      <c r="U53" s="2146"/>
      <c r="V53" s="2146"/>
      <c r="W53" s="2146"/>
      <c r="X53" s="2146"/>
      <c r="Y53" s="2146"/>
      <c r="Z53" s="2146"/>
      <c r="AA53" s="2146"/>
      <c r="AB53" s="2146"/>
      <c r="AC53" s="214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7"/>
      <c r="O54" s="2167"/>
      <c r="P54" s="2166"/>
      <c r="Q54" s="2159"/>
      <c r="R54" s="2146"/>
      <c r="S54" s="2146"/>
      <c r="T54" s="2146"/>
      <c r="U54" s="2146"/>
      <c r="V54" s="2146"/>
      <c r="W54" s="2146"/>
      <c r="X54" s="2146"/>
      <c r="Y54" s="2146"/>
      <c r="Z54" s="2146"/>
      <c r="AA54" s="2146"/>
      <c r="AB54" s="2146"/>
      <c r="AC54" s="2146"/>
    </row>
    <row r="55" spans="1:29" ht="15.75" thickTop="1">
      <c r="A55" s="672"/>
      <c r="B55" s="937">
        <f>B11</f>
        <v>111</v>
      </c>
      <c r="C55" s="544"/>
      <c r="D55" s="544"/>
      <c r="E55" s="544"/>
      <c r="F55" s="544"/>
      <c r="G55" s="544"/>
      <c r="H55" s="544"/>
      <c r="I55" s="544"/>
      <c r="J55" s="544"/>
      <c r="K55" s="687"/>
      <c r="L55" s="688"/>
      <c r="M55" s="689"/>
      <c r="N55" s="2165"/>
      <c r="O55" s="2165"/>
      <c r="P55" s="2166"/>
      <c r="Q55" s="2159"/>
      <c r="R55" s="2146"/>
      <c r="S55" s="2146"/>
      <c r="T55" s="2146"/>
      <c r="U55" s="2146"/>
      <c r="V55" s="2146"/>
      <c r="W55" s="2146"/>
      <c r="X55" s="2146"/>
      <c r="Y55" s="2146"/>
      <c r="Z55" s="2146"/>
      <c r="AA55" s="2146"/>
      <c r="AB55" s="2146"/>
      <c r="AC55" s="2146"/>
    </row>
    <row r="56" spans="1:29" ht="15.75" thickBot="1">
      <c r="A56" s="672"/>
      <c r="B56" s="673"/>
      <c r="C56" s="695"/>
      <c r="D56" s="674"/>
      <c r="E56" s="674"/>
      <c r="F56" s="674"/>
      <c r="G56" s="674"/>
      <c r="H56" s="674"/>
      <c r="I56" s="674"/>
      <c r="J56" s="674"/>
      <c r="K56" s="674"/>
      <c r="L56" s="674"/>
      <c r="M56" s="675"/>
      <c r="N56" s="2167"/>
      <c r="O56" s="2167"/>
      <c r="P56" s="2166"/>
      <c r="Q56" s="2159"/>
      <c r="R56" s="2146"/>
      <c r="S56" s="2146"/>
      <c r="T56" s="2146"/>
      <c r="U56" s="2146"/>
      <c r="V56" s="2146"/>
      <c r="W56" s="2146"/>
      <c r="X56" s="2146"/>
      <c r="Y56" s="2146"/>
      <c r="Z56" s="2146"/>
      <c r="AA56" s="2146"/>
      <c r="AB56" s="2146"/>
      <c r="AC56" s="2146"/>
    </row>
    <row r="57" spans="1:29" s="1341" customFormat="1" ht="15.75" thickTop="1">
      <c r="A57" s="690"/>
      <c r="B57" s="676">
        <f>B12</f>
        <v>111</v>
      </c>
      <c r="C57" s="544"/>
      <c r="D57" s="544"/>
      <c r="E57" s="544"/>
      <c r="F57" s="544"/>
      <c r="G57" s="691"/>
      <c r="H57" s="692"/>
      <c r="I57" s="692"/>
      <c r="J57" s="692"/>
      <c r="K57" s="692"/>
      <c r="L57" s="693"/>
      <c r="M57" s="694"/>
      <c r="N57" s="2168"/>
      <c r="O57" s="2168"/>
      <c r="P57" s="2169"/>
      <c r="Q57" s="2170"/>
      <c r="R57" s="2171"/>
      <c r="S57" s="2171"/>
      <c r="T57" s="2171"/>
      <c r="U57" s="2171"/>
      <c r="V57" s="2171"/>
      <c r="W57" s="2171"/>
      <c r="X57" s="2171"/>
      <c r="Y57" s="2171"/>
      <c r="Z57" s="2171"/>
      <c r="AA57" s="2171"/>
      <c r="AB57" s="2171"/>
      <c r="AC57" s="2171"/>
    </row>
    <row r="58" spans="1:29" s="1341" customFormat="1" ht="15.75" thickBot="1">
      <c r="A58" s="690"/>
      <c r="B58" s="681"/>
      <c r="C58" s="695"/>
      <c r="D58" s="674"/>
      <c r="E58" s="674"/>
      <c r="F58" s="674"/>
      <c r="G58" s="674"/>
      <c r="H58" s="674"/>
      <c r="I58" s="674"/>
      <c r="J58" s="674"/>
      <c r="K58" s="674"/>
      <c r="L58" s="674"/>
      <c r="M58" s="675"/>
      <c r="N58" s="2167"/>
      <c r="O58" s="2167"/>
      <c r="P58" s="2169"/>
      <c r="Q58" s="2170"/>
      <c r="R58" s="2171"/>
      <c r="S58" s="2171"/>
      <c r="T58" s="2171"/>
      <c r="U58" s="2171"/>
      <c r="V58" s="2171"/>
      <c r="W58" s="2171"/>
      <c r="X58" s="2171"/>
      <c r="Y58" s="2171"/>
      <c r="Z58" s="2171"/>
      <c r="AA58" s="2171"/>
      <c r="AB58" s="2171"/>
      <c r="AC58" s="2171"/>
    </row>
    <row r="59" spans="1:29" s="1341" customFormat="1" ht="15.75" thickTop="1">
      <c r="A59" s="690"/>
      <c r="B59" s="676">
        <f>B13</f>
        <v>111</v>
      </c>
      <c r="C59" s="544"/>
      <c r="D59" s="544"/>
      <c r="E59" s="544"/>
      <c r="F59" s="544"/>
      <c r="G59" s="691"/>
      <c r="H59" s="692"/>
      <c r="I59" s="692"/>
      <c r="J59" s="692"/>
      <c r="K59" s="692"/>
      <c r="L59" s="693"/>
      <c r="M59" s="694"/>
      <c r="N59" s="2168"/>
      <c r="O59" s="2168"/>
      <c r="P59" s="2172"/>
      <c r="Q59" s="2173"/>
      <c r="R59" s="2171"/>
      <c r="S59" s="2171"/>
      <c r="T59" s="2171"/>
      <c r="U59" s="2171"/>
      <c r="V59" s="2171"/>
      <c r="W59" s="2171"/>
      <c r="X59" s="2171"/>
      <c r="Y59" s="2171"/>
      <c r="Z59" s="2171"/>
      <c r="AA59" s="2171"/>
      <c r="AB59" s="2171"/>
      <c r="AC59" s="2171"/>
    </row>
    <row r="60" spans="1:29" s="1341" customFormat="1" ht="15.75" thickBot="1">
      <c r="A60" s="690"/>
      <c r="B60" s="681"/>
      <c r="C60" s="695"/>
      <c r="D60" s="695"/>
      <c r="E60" s="695"/>
      <c r="F60" s="695"/>
      <c r="G60" s="695"/>
      <c r="H60" s="696"/>
      <c r="I60" s="696"/>
      <c r="J60" s="696"/>
      <c r="K60" s="696"/>
      <c r="L60" s="696"/>
      <c r="M60" s="697"/>
      <c r="N60" s="2168"/>
      <c r="O60" s="2168"/>
      <c r="P60" s="2169"/>
      <c r="Q60" s="2170"/>
      <c r="R60" s="2171"/>
      <c r="S60" s="2171"/>
      <c r="T60" s="2171"/>
      <c r="U60" s="2171"/>
      <c r="V60" s="2171"/>
      <c r="W60" s="2171"/>
      <c r="X60" s="2171"/>
      <c r="Y60" s="2171"/>
      <c r="Z60" s="2171"/>
      <c r="AA60" s="2171"/>
      <c r="AB60" s="2171"/>
      <c r="AC60" s="217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5"/>
      <c r="O61" s="2165"/>
      <c r="P61" s="2175"/>
      <c r="Q61" s="2159"/>
      <c r="R61" s="2146"/>
      <c r="S61" s="2146"/>
      <c r="T61" s="2146"/>
      <c r="U61" s="2146"/>
      <c r="V61" s="2146"/>
      <c r="W61" s="2146"/>
      <c r="X61" s="2146"/>
      <c r="Y61" s="2146"/>
      <c r="Z61" s="2146"/>
      <c r="AA61" s="2146"/>
      <c r="AB61" s="2146"/>
      <c r="AC61" s="214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7"/>
      <c r="O62" s="2167"/>
      <c r="P62" s="2166"/>
      <c r="Q62" s="2159"/>
      <c r="R62" s="2146"/>
      <c r="S62" s="2146"/>
      <c r="T62" s="2146"/>
      <c r="U62" s="2146"/>
      <c r="V62" s="2146"/>
      <c r="W62" s="2146"/>
      <c r="X62" s="2146"/>
      <c r="Y62" s="2146"/>
      <c r="Z62" s="2146"/>
      <c r="AA62" s="2146"/>
      <c r="AB62" s="2146"/>
      <c r="AC62" s="2146"/>
    </row>
    <row r="63" spans="1:29" ht="15.75" thickTop="1">
      <c r="A63" s="672"/>
      <c r="B63" s="1897" t="s">
        <v>2562</v>
      </c>
      <c r="C63" s="711" t="s">
        <v>580</v>
      </c>
      <c r="D63" s="711" t="s">
        <v>581</v>
      </c>
      <c r="E63" s="711" t="s">
        <v>582</v>
      </c>
      <c r="F63" s="711" t="s">
        <v>583</v>
      </c>
      <c r="G63" s="711" t="s">
        <v>584</v>
      </c>
      <c r="H63" s="677"/>
      <c r="I63" s="677"/>
      <c r="J63" s="677"/>
      <c r="K63" s="678"/>
      <c r="L63" s="679"/>
      <c r="M63" s="680"/>
      <c r="N63" s="2165"/>
      <c r="O63" s="2165"/>
      <c r="P63" s="2166"/>
      <c r="Q63" s="2159"/>
      <c r="R63" s="2146"/>
      <c r="S63" s="2146"/>
      <c r="T63" s="2146"/>
      <c r="U63" s="2146"/>
      <c r="V63" s="2146"/>
      <c r="W63" s="2146"/>
      <c r="X63" s="2146"/>
      <c r="Y63" s="2146"/>
      <c r="Z63" s="2146"/>
      <c r="AA63" s="2146"/>
      <c r="AB63" s="2146"/>
      <c r="AC63" s="214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7"/>
      <c r="O64" s="2167"/>
      <c r="P64" s="2166"/>
      <c r="Q64" s="2159"/>
      <c r="R64" s="2146"/>
      <c r="S64" s="2146"/>
      <c r="T64" s="2146"/>
      <c r="U64" s="2146"/>
      <c r="V64" s="2146"/>
      <c r="W64" s="2146"/>
      <c r="X64" s="2146"/>
      <c r="Y64" s="2146"/>
      <c r="Z64" s="2146"/>
      <c r="AA64" s="2146"/>
      <c r="AB64" s="2146"/>
      <c r="AC64" s="2146"/>
    </row>
    <row r="65" spans="1:29" ht="15.75" thickTop="1">
      <c r="A65" s="672"/>
      <c r="B65" s="2622" t="s">
        <v>2563</v>
      </c>
      <c r="C65" s="2623" t="s">
        <v>2564</v>
      </c>
      <c r="D65" s="2623" t="s">
        <v>2565</v>
      </c>
      <c r="E65" s="2623" t="s">
        <v>2566</v>
      </c>
      <c r="F65" s="2623" t="s">
        <v>2567</v>
      </c>
      <c r="G65" s="2623" t="s">
        <v>2568</v>
      </c>
      <c r="H65" s="677"/>
      <c r="I65" s="677"/>
      <c r="J65" s="677"/>
      <c r="K65" s="677"/>
      <c r="L65" s="677"/>
      <c r="M65" s="2626"/>
      <c r="N65" s="2167"/>
      <c r="O65" s="2167"/>
      <c r="P65" s="2166"/>
      <c r="Q65" s="2159"/>
      <c r="R65" s="2146"/>
      <c r="S65" s="2146"/>
      <c r="T65" s="2146"/>
      <c r="U65" s="2146"/>
      <c r="V65" s="2146"/>
      <c r="W65" s="2146"/>
      <c r="X65" s="2146"/>
      <c r="Y65" s="2146"/>
      <c r="Z65" s="2146"/>
      <c r="AA65" s="2146"/>
      <c r="AB65" s="2146"/>
      <c r="AC65" s="2146"/>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7"/>
      <c r="O66" s="2167"/>
      <c r="P66" s="2166"/>
      <c r="Q66" s="2159"/>
      <c r="R66" s="2146"/>
      <c r="S66" s="2146"/>
      <c r="T66" s="2146"/>
      <c r="U66" s="2146"/>
      <c r="V66" s="2146"/>
      <c r="W66" s="2146"/>
      <c r="X66" s="2146"/>
      <c r="Y66" s="2146"/>
      <c r="Z66" s="2146"/>
      <c r="AA66" s="2146"/>
      <c r="AB66" s="2146"/>
      <c r="AC66" s="2146"/>
    </row>
    <row r="67" spans="1:29" ht="15.75" thickTop="1">
      <c r="A67" s="672"/>
      <c r="B67" s="676" t="s">
        <v>745</v>
      </c>
      <c r="C67" s="711" t="s">
        <v>580</v>
      </c>
      <c r="D67" s="711" t="s">
        <v>581</v>
      </c>
      <c r="E67" s="711" t="s">
        <v>582</v>
      </c>
      <c r="F67" s="711" t="s">
        <v>583</v>
      </c>
      <c r="G67" s="711" t="s">
        <v>584</v>
      </c>
      <c r="H67" s="677"/>
      <c r="I67" s="677"/>
      <c r="J67" s="677"/>
      <c r="K67" s="678"/>
      <c r="L67" s="679"/>
      <c r="M67" s="680"/>
      <c r="N67" s="2165"/>
      <c r="O67" s="2165"/>
      <c r="P67" s="2166"/>
      <c r="Q67" s="2159"/>
      <c r="R67" s="2146"/>
      <c r="S67" s="2146"/>
      <c r="T67" s="2146"/>
      <c r="U67" s="2146"/>
      <c r="V67" s="2146"/>
      <c r="W67" s="2146"/>
      <c r="X67" s="2146"/>
      <c r="Y67" s="2146"/>
      <c r="Z67" s="2146"/>
      <c r="AA67" s="2146"/>
      <c r="AB67" s="2146"/>
      <c r="AC67" s="214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7"/>
      <c r="O68" s="2167"/>
      <c r="P68" s="2166"/>
      <c r="Q68" s="2159"/>
      <c r="R68" s="2146"/>
      <c r="S68" s="2146"/>
      <c r="T68" s="2146"/>
      <c r="U68" s="2146"/>
      <c r="V68" s="2146"/>
      <c r="W68" s="2146"/>
      <c r="X68" s="2146"/>
      <c r="Y68" s="2146"/>
      <c r="Z68" s="2146"/>
      <c r="AA68" s="2146"/>
      <c r="AB68" s="2146"/>
      <c r="AC68" s="2146"/>
    </row>
    <row r="69" spans="1:29" ht="15.75" thickTop="1">
      <c r="A69" s="672"/>
      <c r="B69" s="676" t="s">
        <v>746</v>
      </c>
      <c r="C69" s="691"/>
      <c r="D69" s="691"/>
      <c r="E69" s="691"/>
      <c r="F69" s="691"/>
      <c r="G69" s="691"/>
      <c r="H69" s="721"/>
      <c r="I69" s="721"/>
      <c r="J69" s="721"/>
      <c r="K69" s="722"/>
      <c r="L69" s="723"/>
      <c r="M69" s="724"/>
      <c r="N69" s="2165"/>
      <c r="O69" s="2165"/>
      <c r="P69" s="2166"/>
      <c r="Q69" s="2159"/>
      <c r="R69" s="2146"/>
      <c r="S69" s="2146"/>
      <c r="T69" s="2146"/>
      <c r="U69" s="2146"/>
      <c r="V69" s="2146"/>
      <c r="W69" s="2146"/>
      <c r="X69" s="2146"/>
      <c r="Y69" s="2146"/>
      <c r="Z69" s="2146"/>
      <c r="AA69" s="2146"/>
      <c r="AB69" s="2146"/>
      <c r="AC69" s="2146"/>
    </row>
    <row r="70" spans="1:29" ht="15.75" thickBot="1">
      <c r="A70" s="672"/>
      <c r="B70" s="681"/>
      <c r="C70" s="682">
        <v>100</v>
      </c>
      <c r="D70" s="682">
        <f>C70-$K22</f>
        <v>100</v>
      </c>
      <c r="E70" s="682"/>
      <c r="F70" s="682"/>
      <c r="G70" s="682"/>
      <c r="H70" s="682"/>
      <c r="I70" s="682"/>
      <c r="J70" s="682"/>
      <c r="K70" s="682"/>
      <c r="L70" s="682"/>
      <c r="M70" s="683"/>
      <c r="N70" s="2167"/>
      <c r="O70" s="2167"/>
      <c r="P70" s="2166"/>
      <c r="Q70" s="2159"/>
      <c r="R70" s="2146"/>
      <c r="S70" s="2146"/>
      <c r="T70" s="2146"/>
      <c r="U70" s="2146"/>
      <c r="V70" s="2146"/>
      <c r="W70" s="2146"/>
      <c r="X70" s="2146"/>
      <c r="Y70" s="2146"/>
      <c r="Z70" s="2146"/>
      <c r="AA70" s="2146"/>
      <c r="AB70" s="2146"/>
      <c r="AC70" s="2146"/>
    </row>
    <row r="71" spans="1:29" s="1222" customFormat="1" ht="15.75" thickTop="1">
      <c r="A71" s="712"/>
      <c r="B71" s="676">
        <f>B23</f>
        <v>111</v>
      </c>
      <c r="C71" s="544"/>
      <c r="D71" s="544"/>
      <c r="E71" s="544"/>
      <c r="F71" s="544"/>
      <c r="G71" s="691"/>
      <c r="H71" s="691"/>
      <c r="I71" s="691"/>
      <c r="J71" s="691"/>
      <c r="K71" s="691"/>
      <c r="L71" s="892"/>
      <c r="M71" s="893"/>
      <c r="N71" s="2163"/>
      <c r="O71" s="2163"/>
      <c r="P71" s="2166"/>
      <c r="Q71" s="2159"/>
      <c r="R71" s="1994"/>
      <c r="S71" s="1994"/>
      <c r="T71" s="1994"/>
      <c r="U71" s="1994"/>
      <c r="V71" s="1994"/>
      <c r="W71" s="1994"/>
      <c r="X71" s="1994"/>
      <c r="Y71" s="1994"/>
      <c r="Z71" s="1994"/>
      <c r="AA71" s="1994"/>
      <c r="AB71" s="1994"/>
      <c r="AC71" s="1994"/>
    </row>
    <row r="72" spans="1:29" s="1222" customFormat="1" ht="15.75" thickBot="1">
      <c r="A72" s="712"/>
      <c r="B72" s="681"/>
      <c r="C72" s="695"/>
      <c r="D72" s="674"/>
      <c r="E72" s="674"/>
      <c r="F72" s="674"/>
      <c r="G72" s="674"/>
      <c r="H72" s="674"/>
      <c r="I72" s="674"/>
      <c r="J72" s="674"/>
      <c r="K72" s="674"/>
      <c r="L72" s="674"/>
      <c r="M72" s="675"/>
      <c r="N72" s="2167"/>
      <c r="O72" s="2167"/>
      <c r="P72" s="2166"/>
      <c r="Q72" s="2159"/>
      <c r="R72" s="1994"/>
      <c r="S72" s="1994"/>
      <c r="T72" s="1994"/>
      <c r="U72" s="1994"/>
      <c r="V72" s="1994"/>
      <c r="W72" s="1994"/>
      <c r="X72" s="1994"/>
      <c r="Y72" s="1994"/>
      <c r="Z72" s="1994"/>
      <c r="AA72" s="1994"/>
      <c r="AB72" s="1994"/>
      <c r="AC72" s="1994"/>
    </row>
    <row r="73" spans="1:29" s="1222" customFormat="1" ht="15.75" thickTop="1">
      <c r="A73" s="712"/>
      <c r="B73" s="676">
        <f>B24</f>
        <v>111</v>
      </c>
      <c r="C73" s="544"/>
      <c r="D73" s="544"/>
      <c r="E73" s="544"/>
      <c r="F73" s="544"/>
      <c r="G73" s="691"/>
      <c r="H73" s="691"/>
      <c r="I73" s="691"/>
      <c r="J73" s="691"/>
      <c r="K73" s="691"/>
      <c r="L73" s="691"/>
      <c r="M73" s="893"/>
      <c r="N73" s="2163"/>
      <c r="O73" s="2163"/>
      <c r="P73" s="2166"/>
      <c r="Q73" s="2159"/>
      <c r="R73" s="1994"/>
      <c r="S73" s="1994"/>
      <c r="T73" s="1994"/>
      <c r="U73" s="1994"/>
      <c r="V73" s="1994"/>
      <c r="W73" s="1994"/>
      <c r="X73" s="1994"/>
      <c r="Y73" s="1994"/>
      <c r="Z73" s="1994"/>
      <c r="AA73" s="1994"/>
      <c r="AB73" s="1994"/>
      <c r="AC73" s="1994"/>
    </row>
    <row r="74" spans="1:29" s="1222" customFormat="1" ht="15.75" thickBot="1">
      <c r="A74" s="712"/>
      <c r="B74" s="681"/>
      <c r="C74" s="695"/>
      <c r="D74" s="674"/>
      <c r="E74" s="674"/>
      <c r="F74" s="674"/>
      <c r="G74" s="674"/>
      <c r="H74" s="674"/>
      <c r="I74" s="674"/>
      <c r="J74" s="674"/>
      <c r="K74" s="674"/>
      <c r="L74" s="674"/>
      <c r="M74" s="675"/>
      <c r="N74" s="2167"/>
      <c r="O74" s="2167"/>
      <c r="P74" s="2166"/>
      <c r="Q74" s="2159"/>
      <c r="R74" s="1994"/>
      <c r="S74" s="1994"/>
      <c r="T74" s="1994"/>
      <c r="U74" s="1994"/>
      <c r="V74" s="1994"/>
      <c r="W74" s="1994"/>
      <c r="X74" s="1994"/>
      <c r="Y74" s="1994"/>
      <c r="Z74" s="1994"/>
      <c r="AA74" s="1994"/>
      <c r="AB74" s="1994"/>
      <c r="AC74" s="1994"/>
    </row>
    <row r="75" spans="1:29" s="1341" customFormat="1" ht="15.75" thickTop="1">
      <c r="A75" s="690"/>
      <c r="B75" s="676">
        <f>B25</f>
        <v>111</v>
      </c>
      <c r="C75" s="544"/>
      <c r="D75" s="544"/>
      <c r="E75" s="544"/>
      <c r="F75" s="544"/>
      <c r="G75" s="691"/>
      <c r="H75" s="692"/>
      <c r="I75" s="692"/>
      <c r="J75" s="692"/>
      <c r="K75" s="692"/>
      <c r="L75" s="693"/>
      <c r="M75" s="694"/>
      <c r="N75" s="2168"/>
      <c r="O75" s="2168"/>
      <c r="P75" s="2169"/>
      <c r="Q75" s="2170"/>
      <c r="R75" s="2171"/>
      <c r="S75" s="2171"/>
      <c r="T75" s="2171"/>
      <c r="U75" s="2171"/>
      <c r="V75" s="2171"/>
      <c r="W75" s="2171"/>
      <c r="X75" s="2171"/>
      <c r="Y75" s="2171"/>
      <c r="Z75" s="2171"/>
      <c r="AA75" s="2171"/>
      <c r="AB75" s="2171"/>
      <c r="AC75" s="2171"/>
    </row>
    <row r="76" spans="1:29" s="1341" customFormat="1" ht="15.75" thickBot="1">
      <c r="A76" s="690"/>
      <c r="B76" s="681"/>
      <c r="C76" s="695"/>
      <c r="D76" s="695"/>
      <c r="E76" s="695"/>
      <c r="F76" s="695"/>
      <c r="G76" s="674"/>
      <c r="H76" s="674"/>
      <c r="I76" s="674"/>
      <c r="J76" s="674"/>
      <c r="K76" s="674"/>
      <c r="L76" s="674"/>
      <c r="M76" s="675"/>
      <c r="N76" s="2168"/>
      <c r="O76" s="2168"/>
      <c r="P76" s="2169"/>
      <c r="Q76" s="2170"/>
      <c r="R76" s="2171"/>
      <c r="S76" s="2171"/>
      <c r="T76" s="2171"/>
      <c r="U76" s="2171"/>
      <c r="V76" s="2171"/>
      <c r="W76" s="2171"/>
      <c r="X76" s="2171"/>
      <c r="Y76" s="2171"/>
      <c r="Z76" s="2171"/>
      <c r="AA76" s="2171"/>
      <c r="AB76" s="2171"/>
      <c r="AC76" s="2171"/>
    </row>
    <row r="77" spans="1:29" ht="15" thickTop="1">
      <c r="A77" s="667" t="s">
        <v>552</v>
      </c>
      <c r="B77" s="668" t="s">
        <v>752</v>
      </c>
      <c r="C77" s="691"/>
      <c r="D77" s="691"/>
      <c r="E77" s="601"/>
      <c r="F77" s="601"/>
      <c r="G77" s="601"/>
      <c r="H77" s="601"/>
      <c r="I77" s="601"/>
      <c r="J77" s="601"/>
      <c r="K77" s="669"/>
      <c r="L77" s="670"/>
      <c r="M77" s="671"/>
      <c r="N77" s="2165"/>
      <c r="O77" s="2165"/>
      <c r="P77" s="2166"/>
      <c r="Q77" s="2159"/>
      <c r="R77" s="2146"/>
      <c r="S77" s="2146"/>
      <c r="T77" s="2146"/>
      <c r="U77" s="2146"/>
      <c r="V77" s="2146"/>
      <c r="W77" s="2146"/>
      <c r="X77" s="2146"/>
      <c r="Y77" s="2146"/>
      <c r="Z77" s="2146"/>
      <c r="AA77" s="2146"/>
      <c r="AB77" s="2146"/>
      <c r="AC77" s="214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3"/>
      <c r="O79" s="2163"/>
      <c r="P79" s="2166"/>
      <c r="Q79" s="2159"/>
      <c r="R79" s="2146"/>
      <c r="S79" s="2146"/>
      <c r="T79" s="2146"/>
      <c r="U79" s="2146"/>
      <c r="V79" s="2146"/>
      <c r="W79" s="2146"/>
      <c r="X79" s="2146"/>
      <c r="Y79" s="2146"/>
      <c r="Z79" s="2146"/>
      <c r="AA79" s="2146"/>
      <c r="AB79" s="2146"/>
      <c r="AC79" s="2146"/>
    </row>
    <row r="80" spans="1:29" ht="15">
      <c r="A80" s="672"/>
      <c r="B80" s="684"/>
      <c r="C80" s="896">
        <v>0.5</v>
      </c>
      <c r="D80" s="896">
        <v>0.6</v>
      </c>
      <c r="E80" s="896">
        <v>0.7</v>
      </c>
      <c r="F80" s="896">
        <v>0.8</v>
      </c>
      <c r="G80" s="896">
        <v>0.9</v>
      </c>
      <c r="H80" s="896">
        <v>1.0001</v>
      </c>
      <c r="I80" s="937"/>
      <c r="J80" s="937"/>
      <c r="K80" s="947"/>
      <c r="L80" s="948"/>
      <c r="M80" s="949"/>
      <c r="N80" s="2163"/>
      <c r="O80" s="2163"/>
      <c r="P80" s="2166"/>
      <c r="Q80" s="2159"/>
      <c r="R80" s="2146"/>
      <c r="S80" s="2146"/>
      <c r="T80" s="2146"/>
      <c r="U80" s="2146"/>
      <c r="V80" s="2146"/>
      <c r="W80" s="2146"/>
      <c r="X80" s="2146"/>
      <c r="Y80" s="2146"/>
      <c r="Z80" s="2146"/>
      <c r="AA80" s="2146"/>
      <c r="AB80" s="2146"/>
      <c r="AC80" s="2146"/>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8"/>
      <c r="B82" s="684" t="s">
        <v>818</v>
      </c>
      <c r="C82" s="691"/>
      <c r="D82" s="691"/>
      <c r="E82" s="721"/>
      <c r="F82" s="721"/>
      <c r="G82" s="721"/>
      <c r="H82" s="721"/>
      <c r="I82" s="721"/>
      <c r="J82" s="721"/>
      <c r="K82" s="722"/>
      <c r="L82" s="723"/>
      <c r="M82" s="724"/>
      <c r="N82" s="2165"/>
      <c r="O82" s="2165"/>
      <c r="P82" s="2166"/>
      <c r="Q82" s="2159"/>
      <c r="R82" s="2146"/>
      <c r="S82" s="2146"/>
      <c r="T82" s="2146"/>
      <c r="U82" s="2146"/>
      <c r="V82" s="2146"/>
      <c r="W82" s="2146"/>
      <c r="X82" s="2146"/>
      <c r="Y82" s="2146"/>
      <c r="Z82" s="2146"/>
      <c r="AA82" s="2146"/>
      <c r="AB82" s="2146"/>
      <c r="AC82" s="214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8"/>
      <c r="B84" s="676" t="s">
        <v>826</v>
      </c>
      <c r="C84" s="691"/>
      <c r="D84" s="691"/>
      <c r="E84" s="691"/>
      <c r="F84" s="691"/>
      <c r="G84" s="691"/>
      <c r="H84" s="691"/>
      <c r="I84" s="721"/>
      <c r="J84" s="721"/>
      <c r="K84" s="722"/>
      <c r="L84" s="723"/>
      <c r="M84" s="724"/>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5"/>
      <c r="O86" s="2165"/>
      <c r="P86" s="2166"/>
      <c r="Q86" s="2159"/>
      <c r="R86" s="2146"/>
      <c r="S86" s="2146"/>
      <c r="T86" s="2146"/>
      <c r="U86" s="2146"/>
      <c r="V86" s="2146"/>
      <c r="W86" s="2146"/>
      <c r="X86" s="2146"/>
      <c r="Y86" s="2146"/>
      <c r="Z86" s="2146"/>
      <c r="AA86" s="2146"/>
      <c r="AB86" s="2146"/>
      <c r="AC86" s="2146"/>
    </row>
    <row r="87" spans="1:29">
      <c r="A87" s="738"/>
      <c r="B87" s="684"/>
      <c r="C87" s="733"/>
      <c r="D87" s="733"/>
      <c r="E87" s="733"/>
      <c r="F87" s="733"/>
      <c r="G87" s="733"/>
      <c r="H87" s="733"/>
      <c r="I87" s="733"/>
      <c r="J87" s="734"/>
      <c r="K87" s="734"/>
      <c r="L87" s="735"/>
      <c r="M87" s="736"/>
      <c r="N87" s="2165"/>
      <c r="O87" s="2165"/>
      <c r="P87" s="2166"/>
      <c r="Q87" s="2159"/>
      <c r="R87" s="2146"/>
      <c r="S87" s="2146"/>
      <c r="T87" s="2146"/>
      <c r="U87" s="2146"/>
      <c r="V87" s="2146"/>
      <c r="W87" s="2146"/>
      <c r="X87" s="2146"/>
      <c r="Y87" s="2146"/>
      <c r="Z87" s="2146"/>
      <c r="AA87" s="2146"/>
      <c r="AB87" s="2146"/>
      <c r="AC87" s="2146"/>
    </row>
    <row r="88" spans="1:29" ht="15.75" thickBot="1">
      <c r="A88" s="672"/>
      <c r="B88" s="681"/>
      <c r="C88" s="695"/>
      <c r="D88" s="674"/>
      <c r="E88" s="674"/>
      <c r="F88" s="674"/>
      <c r="G88" s="674"/>
      <c r="H88" s="674"/>
      <c r="I88" s="674"/>
      <c r="J88" s="674"/>
      <c r="K88" s="674"/>
      <c r="L88" s="674"/>
      <c r="M88" s="674"/>
      <c r="N88" s="2167"/>
      <c r="O88" s="2167"/>
      <c r="P88" s="2166"/>
      <c r="Q88" s="2159"/>
      <c r="R88" s="2146"/>
      <c r="S88" s="2146"/>
      <c r="T88" s="2146"/>
      <c r="U88" s="2146"/>
      <c r="V88" s="2146"/>
      <c r="W88" s="2146"/>
      <c r="X88" s="2146"/>
      <c r="Y88" s="2146"/>
      <c r="Z88" s="2146"/>
      <c r="AA88" s="2146"/>
      <c r="AB88" s="2146"/>
      <c r="AC88" s="2146"/>
    </row>
    <row r="89" spans="1:29" s="1341" customFormat="1" ht="15" thickTop="1">
      <c r="A89" s="731"/>
      <c r="B89" s="676" t="s">
        <v>828</v>
      </c>
      <c r="C89" s="691"/>
      <c r="D89" s="691"/>
      <c r="E89" s="691"/>
      <c r="F89" s="691"/>
      <c r="G89" s="691"/>
      <c r="H89" s="691"/>
      <c r="I89" s="691"/>
      <c r="J89" s="691"/>
      <c r="K89" s="691"/>
      <c r="L89" s="691"/>
      <c r="M89" s="893"/>
      <c r="N89" s="2168"/>
      <c r="O89" s="2168"/>
      <c r="P89" s="2169"/>
      <c r="Q89" s="2170"/>
      <c r="R89" s="2171"/>
      <c r="S89" s="2171"/>
      <c r="T89" s="2171"/>
      <c r="U89" s="2171"/>
      <c r="V89" s="2171"/>
      <c r="W89" s="2171"/>
      <c r="X89" s="2171"/>
      <c r="Y89" s="2171"/>
      <c r="Z89" s="2171"/>
      <c r="AA89" s="2171"/>
      <c r="AB89" s="2171"/>
      <c r="AC89" s="2171"/>
    </row>
    <row r="90" spans="1:29" s="1341" customFormat="1" ht="15.75" thickBot="1">
      <c r="A90" s="690"/>
      <c r="B90" s="681"/>
      <c r="C90" s="695"/>
      <c r="D90" s="674"/>
      <c r="E90" s="674"/>
      <c r="F90" s="674"/>
      <c r="G90" s="674"/>
      <c r="H90" s="674"/>
      <c r="I90" s="674"/>
      <c r="J90" s="674"/>
      <c r="K90" s="674"/>
      <c r="L90" s="674"/>
      <c r="M90" s="675"/>
      <c r="N90" s="2168"/>
      <c r="O90" s="2168"/>
      <c r="P90" s="2169"/>
      <c r="Q90" s="2170"/>
      <c r="R90" s="2171"/>
      <c r="S90" s="2171"/>
      <c r="T90" s="2171"/>
      <c r="U90" s="2171"/>
      <c r="V90" s="2171"/>
      <c r="W90" s="2171"/>
      <c r="X90" s="2171"/>
      <c r="Y90" s="2171"/>
      <c r="Z90" s="2171"/>
      <c r="AA90" s="2171"/>
      <c r="AB90" s="2171"/>
      <c r="AC90" s="2171"/>
    </row>
    <row r="91" spans="1:29" ht="15" thickTop="1">
      <c r="A91" s="738"/>
      <c r="B91" s="676">
        <f>B32</f>
        <v>111</v>
      </c>
      <c r="C91" s="544"/>
      <c r="D91" s="544"/>
      <c r="E91" s="544"/>
      <c r="F91" s="544"/>
      <c r="G91" s="691"/>
      <c r="H91" s="692"/>
      <c r="I91" s="692"/>
      <c r="J91" s="692"/>
      <c r="K91" s="692"/>
      <c r="L91" s="693"/>
      <c r="M91" s="694"/>
      <c r="N91" s="2165"/>
      <c r="O91" s="2165"/>
      <c r="P91" s="2166"/>
      <c r="Q91" s="2159"/>
      <c r="R91" s="2146"/>
      <c r="S91" s="2146"/>
      <c r="T91" s="2146"/>
      <c r="U91" s="2146"/>
      <c r="V91" s="2146"/>
      <c r="W91" s="2146"/>
      <c r="X91" s="2146"/>
      <c r="Y91" s="2146"/>
      <c r="Z91" s="2146"/>
      <c r="AA91" s="2146"/>
      <c r="AB91" s="2146"/>
      <c r="AC91" s="2146"/>
    </row>
    <row r="92" spans="1:29" ht="15.75" thickBot="1">
      <c r="A92" s="672"/>
      <c r="B92" s="681"/>
      <c r="C92" s="695"/>
      <c r="D92" s="674"/>
      <c r="E92" s="674"/>
      <c r="F92" s="674"/>
      <c r="G92" s="695"/>
      <c r="H92" s="696"/>
      <c r="I92" s="696"/>
      <c r="J92" s="696"/>
      <c r="K92" s="696"/>
      <c r="L92" s="696"/>
      <c r="M92" s="697"/>
      <c r="N92" s="2167"/>
      <c r="O92" s="2167"/>
      <c r="P92" s="2166"/>
      <c r="Q92" s="2159"/>
      <c r="R92" s="2146"/>
      <c r="S92" s="2146"/>
      <c r="T92" s="2146"/>
      <c r="U92" s="2146"/>
      <c r="V92" s="2146"/>
      <c r="W92" s="2146"/>
      <c r="X92" s="2146"/>
      <c r="Y92" s="2146"/>
      <c r="Z92" s="2146"/>
      <c r="AA92" s="2146"/>
      <c r="AB92" s="2146"/>
      <c r="AC92" s="2146"/>
    </row>
    <row r="93" spans="1:29" ht="15" thickTop="1">
      <c r="A93" s="738"/>
      <c r="B93" s="676">
        <f>B33</f>
        <v>111</v>
      </c>
      <c r="C93" s="544"/>
      <c r="D93" s="544"/>
      <c r="E93" s="544"/>
      <c r="F93" s="544"/>
      <c r="G93" s="691"/>
      <c r="H93" s="692"/>
      <c r="I93" s="692"/>
      <c r="J93" s="692"/>
      <c r="K93" s="692"/>
      <c r="L93" s="693"/>
      <c r="M93" s="69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95"/>
      <c r="D94" s="674"/>
      <c r="E94" s="674"/>
      <c r="F94" s="674"/>
      <c r="G94" s="695"/>
      <c r="H94" s="696"/>
      <c r="I94" s="696"/>
      <c r="J94" s="696"/>
      <c r="K94" s="696"/>
      <c r="L94" s="696"/>
      <c r="M94" s="697"/>
      <c r="N94" s="2167"/>
      <c r="O94" s="2167"/>
      <c r="P94" s="2166"/>
      <c r="Q94" s="2159"/>
      <c r="R94" s="2146"/>
      <c r="S94" s="2146"/>
      <c r="T94" s="2146"/>
      <c r="U94" s="2146"/>
      <c r="V94" s="2146"/>
      <c r="W94" s="2146"/>
      <c r="X94" s="2146"/>
      <c r="Y94" s="2146"/>
      <c r="Z94" s="2146"/>
      <c r="AA94" s="2146"/>
      <c r="AB94" s="2146"/>
      <c r="AC94" s="2146"/>
    </row>
    <row r="95" spans="1:29" ht="15" thickTop="1">
      <c r="A95" s="738"/>
      <c r="B95" s="919">
        <f>B34</f>
        <v>111</v>
      </c>
      <c r="C95" s="544"/>
      <c r="D95" s="544"/>
      <c r="E95" s="544"/>
      <c r="F95" s="544"/>
      <c r="G95" s="691"/>
      <c r="H95" s="692"/>
      <c r="I95" s="692"/>
      <c r="J95" s="692"/>
      <c r="K95" s="692"/>
      <c r="L95" s="693"/>
      <c r="M95" s="694"/>
      <c r="N95" s="2167"/>
      <c r="O95" s="2167"/>
      <c r="P95" s="2206"/>
      <c r="Q95" s="2207"/>
      <c r="R95" s="2146"/>
      <c r="S95" s="2146"/>
      <c r="T95" s="2146"/>
      <c r="U95" s="2146"/>
      <c r="V95" s="2146"/>
      <c r="W95" s="2146"/>
      <c r="X95" s="2146"/>
      <c r="Y95" s="2146"/>
      <c r="Z95" s="2146"/>
      <c r="AA95" s="2146"/>
      <c r="AB95" s="2146"/>
      <c r="AC95" s="2146"/>
    </row>
    <row r="96" spans="1:29" ht="15.75" thickBot="1">
      <c r="A96" s="672"/>
      <c r="B96" s="681"/>
      <c r="C96" s="695"/>
      <c r="D96" s="695"/>
      <c r="E96" s="695"/>
      <c r="F96" s="695"/>
      <c r="G96" s="695"/>
      <c r="H96" s="696"/>
      <c r="I96" s="696"/>
      <c r="J96" s="696"/>
      <c r="K96" s="696"/>
      <c r="L96" s="696"/>
      <c r="M96" s="697"/>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5" t="s">
        <v>2307</v>
      </c>
      <c r="C1" s="3487" t="s">
        <v>2308</v>
      </c>
      <c r="D1" s="3488"/>
      <c r="E1" s="3488"/>
      <c r="F1" s="3488"/>
      <c r="G1" s="3488"/>
      <c r="H1" s="3488"/>
      <c r="I1" s="3488"/>
      <c r="J1" s="3488"/>
      <c r="K1" s="3488"/>
      <c r="L1" s="3488"/>
      <c r="M1" s="3488"/>
      <c r="N1" s="3488"/>
      <c r="O1" s="3488"/>
      <c r="P1" s="3488"/>
      <c r="Q1" s="3488"/>
      <c r="R1" s="3488"/>
      <c r="S1" s="3489"/>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7" t="str">
        <f>S3&amp;"(含)"&amp;"-"</f>
        <v>(含)-</v>
      </c>
      <c r="T2" s="954"/>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5"/>
      <c r="C3" s="956"/>
      <c r="D3" s="957"/>
      <c r="E3" s="957"/>
      <c r="F3" s="957"/>
      <c r="G3" s="957"/>
      <c r="H3" s="957"/>
      <c r="I3" s="957"/>
      <c r="J3" s="958"/>
      <c r="K3" s="958"/>
      <c r="L3" s="959"/>
      <c r="M3" s="2240"/>
      <c r="N3" s="2241"/>
      <c r="O3" s="957"/>
      <c r="P3" s="957"/>
      <c r="Q3" s="957"/>
      <c r="R3" s="957"/>
      <c r="S3" s="2242"/>
      <c r="T3" s="960"/>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2932</v>
      </c>
      <c r="C7" s="1962"/>
      <c r="D7" s="1963"/>
      <c r="E7" s="1963"/>
      <c r="F7" s="1963"/>
      <c r="G7" s="1963"/>
      <c r="H7" s="1963"/>
      <c r="I7" s="1963"/>
      <c r="J7" s="1963"/>
      <c r="K7" s="1963"/>
      <c r="L7" s="1963"/>
      <c r="M7" s="2260"/>
      <c r="N7" s="2261"/>
      <c r="O7" s="2262"/>
      <c r="P7" s="2263"/>
      <c r="Q7" s="2264"/>
      <c r="R7" s="2265"/>
      <c r="S7" s="2266"/>
      <c r="T7" s="961"/>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2931</v>
      </c>
      <c r="C9" s="1962"/>
      <c r="D9" s="1963"/>
      <c r="E9" s="1963"/>
      <c r="F9" s="1963"/>
      <c r="G9" s="1963"/>
      <c r="H9" s="1963"/>
      <c r="I9" s="1963"/>
      <c r="J9" s="1963"/>
      <c r="K9" s="1963"/>
      <c r="L9" s="1964"/>
      <c r="M9" s="2260"/>
      <c r="N9" s="2261"/>
      <c r="O9" s="2262"/>
      <c r="P9" s="2263"/>
      <c r="Q9" s="2264"/>
      <c r="R9" s="2265"/>
      <c r="S9" s="2266"/>
      <c r="T9" s="961"/>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4"/>
      <c r="B19" s="950"/>
      <c r="C19" s="1991"/>
      <c r="D19" s="1991"/>
      <c r="E19" s="1991"/>
      <c r="F19" s="1991"/>
      <c r="G19" s="1991"/>
      <c r="H19" s="1991"/>
      <c r="I19" s="1991"/>
      <c r="J19" s="1991"/>
      <c r="K19" s="1991"/>
      <c r="L19" s="1991"/>
      <c r="M19" s="1991"/>
      <c r="N19" s="1991"/>
      <c r="O19" s="1991"/>
      <c r="P19" s="1991"/>
      <c r="Q19" s="1991"/>
      <c r="R19" s="2226"/>
      <c r="S19" s="2029"/>
    </row>
    <row r="20" spans="1:45" ht="15.75">
      <c r="A20" s="962" t="s">
        <v>829</v>
      </c>
      <c r="B20" s="778">
        <f>S22</f>
        <v>0</v>
      </c>
      <c r="C20" s="1991"/>
      <c r="D20" s="1991"/>
      <c r="E20" s="1991"/>
      <c r="F20" s="1991"/>
      <c r="G20" s="1991"/>
      <c r="H20" s="1991"/>
      <c r="I20" s="1991"/>
      <c r="J20" s="1991"/>
      <c r="K20" s="1991"/>
      <c r="L20" s="1991"/>
      <c r="M20" s="1991"/>
      <c r="N20" s="1991"/>
      <c r="O20" s="1991"/>
      <c r="P20" s="1991"/>
      <c r="Q20" s="1991"/>
      <c r="R20" s="2226"/>
      <c r="S20" s="2029"/>
    </row>
    <row r="21" spans="1:45" ht="15.75">
      <c r="A21" s="962" t="s">
        <v>830</v>
      </c>
      <c r="B21" s="778" t="e">
        <f>R22</f>
        <v>#DIV/0!</v>
      </c>
      <c r="C21" s="1991"/>
      <c r="D21" s="1991"/>
      <c r="E21" s="1991"/>
      <c r="F21" s="1991"/>
      <c r="G21" s="1991"/>
      <c r="H21" s="1991"/>
      <c r="I21" s="1991"/>
      <c r="J21" s="1991"/>
      <c r="K21" s="1991"/>
      <c r="L21" s="1991"/>
      <c r="M21" s="1991"/>
      <c r="N21" s="1991"/>
      <c r="O21" s="1991"/>
      <c r="P21" s="1991"/>
      <c r="Q21" s="1991"/>
      <c r="R21" s="2226"/>
      <c r="S21" s="2029"/>
    </row>
    <row r="22" spans="1:45">
      <c r="A22" s="802" t="s">
        <v>831</v>
      </c>
      <c r="B22" s="53">
        <f>SUM(B24:B10000)</f>
        <v>0</v>
      </c>
      <c r="C22" s="3484" t="s">
        <v>20</v>
      </c>
      <c r="D22" s="3485"/>
      <c r="E22" s="3485"/>
      <c r="F22" s="3485"/>
      <c r="G22" s="3485"/>
      <c r="H22" s="3485"/>
      <c r="I22" s="3485"/>
      <c r="J22" s="3485"/>
      <c r="K22" s="3485"/>
      <c r="L22" s="3485"/>
      <c r="M22" s="3485"/>
      <c r="N22" s="3485"/>
      <c r="O22" s="3485"/>
      <c r="P22" s="3485"/>
      <c r="Q22" s="3486"/>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43025</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2.5</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2042</v>
      </c>
      <c r="B1" s="3196"/>
      <c r="C1" s="3196"/>
      <c r="D1" s="3196"/>
      <c r="E1" s="3196"/>
      <c r="F1" s="3196"/>
      <c r="G1" s="3196"/>
      <c r="H1" s="3196"/>
      <c r="I1" s="3196"/>
      <c r="J1" s="3196"/>
      <c r="K1" s="3196"/>
      <c r="L1" s="3196"/>
      <c r="M1" s="3196"/>
      <c r="N1" s="3196"/>
      <c r="O1" s="3196"/>
      <c r="P1" s="3196"/>
      <c r="Q1" s="3196"/>
      <c r="R1" s="3196"/>
    </row>
    <row r="2" spans="1:18">
      <c r="A2" s="1808" t="s">
        <v>2044</v>
      </c>
      <c r="B2" s="1808"/>
      <c r="C2" s="1808"/>
      <c r="D2" s="1808"/>
      <c r="E2" s="1808"/>
      <c r="F2" s="1808"/>
      <c r="G2" s="1808"/>
      <c r="H2" s="1808"/>
      <c r="I2" s="1809"/>
      <c r="J2" s="1809"/>
      <c r="K2" s="1810" t="str">
        <f>"估价期日："&amp;TEXT(项目基本情况!D3,"yyyy年m月d日;;")</f>
        <v>估价期日：2017年10月17日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7" t="s">
        <v>2033</v>
      </c>
      <c r="B3" s="3197" t="s">
        <v>2738</v>
      </c>
      <c r="C3" s="3198" t="s">
        <v>2034</v>
      </c>
      <c r="D3" s="3197" t="s">
        <v>2742</v>
      </c>
      <c r="E3" s="3200" t="s">
        <v>2035</v>
      </c>
      <c r="F3" s="3200"/>
      <c r="G3" s="3200"/>
      <c r="H3" s="3200" t="s">
        <v>2036</v>
      </c>
      <c r="I3" s="3200"/>
      <c r="J3" s="3200"/>
      <c r="K3" s="3198" t="s">
        <v>2037</v>
      </c>
      <c r="L3" s="3198" t="s">
        <v>2038</v>
      </c>
      <c r="M3" s="3197" t="s">
        <v>2739</v>
      </c>
      <c r="N3" s="3199" t="str">
        <f>"（分摊）"&amp;项目基本情况!B16&amp;"国有建设用地使用权面积/㎡"</f>
        <v>（分摊）出让国有建设用地使用权面积/㎡</v>
      </c>
      <c r="O3" s="3197" t="s">
        <v>2067</v>
      </c>
      <c r="P3" s="3198" t="s">
        <v>2047</v>
      </c>
      <c r="Q3" s="3198" t="s">
        <v>2068</v>
      </c>
      <c r="R3" s="3198" t="s">
        <v>2039</v>
      </c>
    </row>
    <row r="4" spans="1:18" ht="36.75" customHeight="1">
      <c r="A4" s="3197"/>
      <c r="B4" s="3197"/>
      <c r="C4" s="3198"/>
      <c r="D4" s="3197"/>
      <c r="E4" s="2675" t="s">
        <v>2046</v>
      </c>
      <c r="F4" s="2675" t="s">
        <v>2751</v>
      </c>
      <c r="G4" s="2675" t="s">
        <v>2040</v>
      </c>
      <c r="H4" s="2675" t="s">
        <v>2041</v>
      </c>
      <c r="I4" s="2675" t="s">
        <v>2752</v>
      </c>
      <c r="J4" s="2675" t="s">
        <v>2040</v>
      </c>
      <c r="K4" s="3198"/>
      <c r="L4" s="3198"/>
      <c r="M4" s="3197"/>
      <c r="N4" s="3199"/>
      <c r="O4" s="3197"/>
      <c r="P4" s="3198"/>
      <c r="Q4" s="3198"/>
      <c r="R4" s="3198"/>
    </row>
    <row r="5" spans="1:18" ht="135" customHeight="1">
      <c r="A5" s="1944" t="s">
        <v>2662</v>
      </c>
      <c r="B5" s="2894" t="s">
        <v>2660</v>
      </c>
      <c r="C5" s="2674">
        <v>22</v>
      </c>
      <c r="D5" s="2673" t="s">
        <v>2661</v>
      </c>
      <c r="E5" s="1811" t="str">
        <f>项目基本情况!B12</f>
        <v>混合住宅</v>
      </c>
      <c r="F5" s="2673">
        <v>258</v>
      </c>
      <c r="G5" s="1811" t="str">
        <f>项目基本情况!B13</f>
        <v>住宅、商业</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97754.96</v>
      </c>
      <c r="O5" s="1811">
        <f>项目基本情况!C21</f>
        <v>331165.86</v>
      </c>
      <c r="P5" s="1811">
        <f ca="1">结果表!E42</f>
        <v>21312</v>
      </c>
      <c r="Q5" s="1811">
        <f ca="1">结果表!D42</f>
        <v>6291</v>
      </c>
      <c r="R5" s="1812">
        <f ca="1">结果表!C42</f>
        <v>208331</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3">
        <f ca="1">结果表!O39</f>
        <v>208331</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3" t="str">
        <f>结果表!O40</f>
        <v>——</v>
      </c>
    </row>
    <row r="8" spans="1:18">
      <c r="A8" s="3193" t="str">
        <f>IF(项目基本情况!B9="市场价格","——",项目基本情况!E9)</f>
        <v>抵押净值</v>
      </c>
      <c r="B8" s="3194"/>
      <c r="C8" s="3194"/>
      <c r="D8" s="3194"/>
      <c r="E8" s="3194"/>
      <c r="F8" s="3194"/>
      <c r="G8" s="3194"/>
      <c r="H8" s="3194"/>
      <c r="I8" s="3194"/>
      <c r="J8" s="3194"/>
      <c r="K8" s="3194"/>
      <c r="L8" s="3194"/>
      <c r="M8" s="3194"/>
      <c r="N8" s="3194"/>
      <c r="O8" s="3194"/>
      <c r="P8" s="3194"/>
      <c r="Q8" s="3195"/>
      <c r="R8" s="1813">
        <f ca="1">结果表!O41</f>
        <v>107749</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2" t="s">
        <v>2069</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2070</v>
      </c>
      <c r="B5" s="3201"/>
      <c r="C5" s="3201"/>
      <c r="D5" s="3201"/>
    </row>
    <row r="6" spans="1:4">
      <c r="A6" s="3202" t="s">
        <v>2048</v>
      </c>
      <c r="B6" s="3202"/>
      <c r="C6" s="3202"/>
      <c r="D6" s="3202"/>
    </row>
    <row r="7" spans="1:4" ht="33" customHeight="1">
      <c r="A7" s="3202" t="s">
        <v>2580</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1" t="s">
        <v>2072</v>
      </c>
      <c r="B12" s="3201"/>
      <c r="C12" s="3201"/>
      <c r="D12" s="3201"/>
    </row>
    <row r="13" spans="1:4">
      <c r="A13" s="3205" t="s">
        <v>2753</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2709</v>
      </c>
      <c r="B17" s="3202"/>
      <c r="C17" s="3202"/>
      <c r="D17" s="3202"/>
    </row>
    <row r="18" spans="1:4">
      <c r="A18" s="3202" t="s">
        <v>2701</v>
      </c>
      <c r="B18" s="3202"/>
      <c r="C18" s="3202"/>
      <c r="D18" s="3202"/>
    </row>
    <row r="19" spans="1:4">
      <c r="A19" s="2895" t="s">
        <v>2702</v>
      </c>
      <c r="B19" s="2895" t="s">
        <v>2703</v>
      </c>
      <c r="C19" s="2895" t="s">
        <v>2704</v>
      </c>
      <c r="D19" s="2895" t="s">
        <v>2705</v>
      </c>
    </row>
    <row r="20" spans="1:4">
      <c r="A20" s="2895" t="str">
        <f>项目基本情况!B4</f>
        <v>土地估价师</v>
      </c>
      <c r="B20" s="2895">
        <f>项目基本情况!C4</f>
        <v>0</v>
      </c>
      <c r="C20" s="2897"/>
      <c r="D20" s="1801" t="s">
        <v>2710</v>
      </c>
    </row>
    <row r="21" spans="1:4">
      <c r="A21" s="2895" t="str">
        <f>项目基本情况!D4</f>
        <v>土地估价师</v>
      </c>
      <c r="B21" s="2895">
        <f>项目基本情况!E4</f>
        <v>0</v>
      </c>
      <c r="C21" s="2897"/>
      <c r="D21" s="1801" t="s">
        <v>2711</v>
      </c>
    </row>
    <row r="23" spans="1:4">
      <c r="A23" s="3202" t="s">
        <v>2706</v>
      </c>
      <c r="B23" s="3202"/>
      <c r="C23" s="3202"/>
      <c r="D23" s="3202"/>
    </row>
    <row r="24" spans="1:4">
      <c r="A24" s="2895" t="s">
        <v>2702</v>
      </c>
      <c r="B24" s="2895" t="s">
        <v>2707</v>
      </c>
      <c r="C24" s="2895" t="s">
        <v>2704</v>
      </c>
      <c r="D24" s="2895" t="s">
        <v>2705</v>
      </c>
    </row>
    <row r="25" spans="1:4">
      <c r="A25" s="2898" t="s">
        <v>2708</v>
      </c>
      <c r="B25" s="2895" t="s">
        <v>953</v>
      </c>
      <c r="C25" s="2897"/>
      <c r="D25" s="1801" t="s">
        <v>2711</v>
      </c>
    </row>
    <row r="29" spans="1:4">
      <c r="D29" s="2896" t="s">
        <v>2043</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3" t="s">
        <v>53</v>
      </c>
      <c r="B15" s="3214" t="s">
        <v>847</v>
      </c>
      <c r="C15" s="3210"/>
    </row>
    <row r="16" spans="1:7" ht="14.25">
      <c r="A16" s="3213"/>
      <c r="B16" s="3211" t="s">
        <v>54</v>
      </c>
      <c r="C16" s="1174" t="s">
        <v>53</v>
      </c>
    </row>
    <row r="17" spans="1:3" ht="14.25">
      <c r="A17" s="3213"/>
      <c r="B17" s="3211"/>
      <c r="C17" s="1174" t="s">
        <v>55</v>
      </c>
    </row>
    <row r="18" spans="1:3" ht="14.25">
      <c r="A18" s="3213"/>
      <c r="B18" s="3211"/>
      <c r="C18" s="1174" t="s">
        <v>56</v>
      </c>
    </row>
    <row r="19" spans="1:3" ht="14.25">
      <c r="A19" s="3213"/>
      <c r="B19" s="3209" t="s">
        <v>57</v>
      </c>
      <c r="C19" s="3210"/>
    </row>
    <row r="20" spans="1:3" ht="14.25">
      <c r="A20" s="1175" t="s">
        <v>58</v>
      </c>
      <c r="B20" s="1176"/>
      <c r="C20" s="1177"/>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8" t="s">
        <v>838</v>
      </c>
    </row>
    <row r="25" spans="1:3" ht="14.25">
      <c r="A25" s="3212"/>
      <c r="B25" s="3216"/>
      <c r="C25" s="1178" t="s">
        <v>839</v>
      </c>
    </row>
    <row r="26" spans="1:3" ht="14.25">
      <c r="A26" s="3212"/>
      <c r="B26" s="3216"/>
      <c r="C26" s="1178" t="s">
        <v>840</v>
      </c>
    </row>
    <row r="27" spans="1:3" ht="14.25">
      <c r="A27" s="3212"/>
      <c r="B27" s="3216"/>
      <c r="C27" s="1178" t="s">
        <v>841</v>
      </c>
    </row>
    <row r="28" spans="1:3" ht="14.25">
      <c r="A28" s="3212"/>
      <c r="B28" s="3216"/>
      <c r="C28" s="1178" t="s">
        <v>842</v>
      </c>
    </row>
    <row r="29" spans="1:3" ht="14.25">
      <c r="A29" s="3212"/>
      <c r="B29" s="3216"/>
      <c r="C29" s="1178" t="s">
        <v>843</v>
      </c>
    </row>
    <row r="30" spans="1:3" ht="14.25">
      <c r="A30" s="3212"/>
      <c r="B30" s="3216"/>
      <c r="C30" s="1178" t="s">
        <v>844</v>
      </c>
    </row>
    <row r="31" spans="1:3" ht="14.25">
      <c r="A31" s="3212"/>
      <c r="B31" s="3216"/>
      <c r="C31" s="1178" t="s">
        <v>845</v>
      </c>
    </row>
    <row r="32" spans="1:3" ht="14.25">
      <c r="A32" s="3212"/>
      <c r="B32" s="3216"/>
      <c r="C32" s="1178" t="s">
        <v>1648</v>
      </c>
    </row>
    <row r="33" spans="1:3" ht="14.25">
      <c r="A33" s="3212"/>
      <c r="B33" s="3206" t="s">
        <v>1654</v>
      </c>
      <c r="C33" s="1178" t="s">
        <v>1649</v>
      </c>
    </row>
    <row r="34" spans="1:3" ht="14.25">
      <c r="A34" s="3212"/>
      <c r="B34" s="3207"/>
      <c r="C34" s="1183" t="s">
        <v>1650</v>
      </c>
    </row>
    <row r="35" spans="1:3" ht="14.25">
      <c r="A35" s="3212"/>
      <c r="B35" s="3207"/>
      <c r="C35" s="1184" t="s">
        <v>1651</v>
      </c>
    </row>
    <row r="36" spans="1:3" ht="14.25">
      <c r="A36" s="3212"/>
      <c r="B36" s="3207"/>
      <c r="C36" s="1184" t="s">
        <v>1652</v>
      </c>
    </row>
    <row r="37" spans="1:3" ht="14.25">
      <c r="A37" s="3212"/>
      <c r="B37" s="320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D7" sqref="D7"/>
    </sheetView>
  </sheetViews>
  <sheetFormatPr defaultRowHeight="13.5"/>
  <cols>
    <col min="1" max="1" width="13.375" customWidth="1"/>
    <col min="2" max="2" width="15.625" customWidth="1"/>
    <col min="4" max="4" width="11.875" customWidth="1"/>
  </cols>
  <sheetData>
    <row r="1" spans="1:4">
      <c r="A1" s="3163" t="s">
        <v>3033</v>
      </c>
      <c r="B1" s="3163" t="s">
        <v>3034</v>
      </c>
      <c r="D1" s="3163" t="s">
        <v>3035</v>
      </c>
    </row>
    <row r="2" spans="1:4">
      <c r="A2" s="3163" t="s">
        <v>3002</v>
      </c>
      <c r="B2">
        <v>90040</v>
      </c>
      <c r="D2">
        <v>128112</v>
      </c>
    </row>
    <row r="4" spans="1:4">
      <c r="A4" s="3163" t="s">
        <v>3003</v>
      </c>
      <c r="B4">
        <v>4220.24</v>
      </c>
      <c r="D4">
        <v>1175.6199999999999</v>
      </c>
    </row>
    <row r="6" spans="1:4">
      <c r="A6" s="3163" t="s">
        <v>3021</v>
      </c>
      <c r="B6">
        <v>33040</v>
      </c>
      <c r="D6">
        <v>43925</v>
      </c>
    </row>
    <row r="7" spans="1:4">
      <c r="A7" s="3163" t="s">
        <v>3036</v>
      </c>
      <c r="B7">
        <v>826</v>
      </c>
      <c r="D7">
        <v>1255</v>
      </c>
    </row>
    <row r="8" spans="1:4">
      <c r="A8" s="3163" t="s">
        <v>3016</v>
      </c>
      <c r="B8">
        <f>560+300</f>
        <v>860</v>
      </c>
      <c r="D8">
        <f>765+360+110+160+25+620</f>
        <v>2040</v>
      </c>
    </row>
    <row r="9" spans="1:4">
      <c r="A9" s="3163" t="s">
        <v>3037</v>
      </c>
      <c r="D9">
        <v>2000</v>
      </c>
    </row>
    <row r="10" spans="1:4">
      <c r="A10" s="3163" t="s">
        <v>3018</v>
      </c>
      <c r="B10">
        <v>11830</v>
      </c>
      <c r="D10">
        <v>13783</v>
      </c>
    </row>
    <row r="12" spans="1:4">
      <c r="A12" s="3163" t="s">
        <v>3019</v>
      </c>
      <c r="B12">
        <v>140</v>
      </c>
    </row>
    <row r="14" spans="1:4">
      <c r="A14" s="3163" t="s">
        <v>3020</v>
      </c>
      <c r="B14">
        <f>B12+B10+B8+B4+B2</f>
        <v>107090.23999999999</v>
      </c>
      <c r="D14">
        <f>D10+D9+D8+D4+D2</f>
        <v>147110.62</v>
      </c>
    </row>
    <row r="16" spans="1:4">
      <c r="A16" s="3163" t="s">
        <v>3038</v>
      </c>
      <c r="B16" s="3182">
        <v>42851.6</v>
      </c>
      <c r="C16" s="3182"/>
      <c r="D16" s="3182">
        <v>54903.360000000001</v>
      </c>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9">
        <f ca="1">TODAY()</f>
        <v>43049</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2579</v>
      </c>
      <c r="B15" s="2344">
        <v>1120070085</v>
      </c>
      <c r="C15" s="3033">
        <v>43814</v>
      </c>
      <c r="D15" s="2344" t="s">
        <v>2579</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2057</v>
      </c>
      <c r="B24" s="2346" t="s">
        <v>2057</v>
      </c>
      <c r="C24" s="3033"/>
      <c r="D24" s="3035" t="s">
        <v>2057</v>
      </c>
      <c r="E24" s="2346" t="s">
        <v>2057</v>
      </c>
      <c r="F24" s="2347"/>
    </row>
    <row r="25" spans="1:7" ht="20.25" customHeight="1">
      <c r="A25" s="3217" t="s">
        <v>1930</v>
      </c>
      <c r="B25" s="3217"/>
      <c r="C25" s="3217"/>
      <c r="D25" s="3217"/>
      <c r="E25" s="3217"/>
      <c r="F25" s="3217"/>
      <c r="G25" s="3217"/>
    </row>
    <row r="26" spans="1:7" ht="20.25" customHeight="1">
      <c r="A26" s="3218" t="s">
        <v>1931</v>
      </c>
      <c r="B26" s="3218"/>
      <c r="C26" s="3218"/>
      <c r="D26" s="3218" t="s">
        <v>1932</v>
      </c>
      <c r="E26" s="3218"/>
      <c r="F26" s="321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150</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不动产比较法-公寓</vt:lpstr>
      <vt:lpstr>不动产比较法-住宅</vt:lpstr>
      <vt:lpstr>不动产收益法 (商业)</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'不动产比较法-公寓'!Print_Area</vt:lpstr>
      <vt:lpstr>'不动产比较法-住宅'!Print_Area</vt:lpstr>
      <vt:lpstr>不动产收益法!Print_Area</vt:lpstr>
      <vt:lpstr>'不动产收益法 (商业)'!Print_Area</vt:lpstr>
      <vt:lpstr>结果表!Print_Area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2017-11-10T06:22:19Z</dcterms:modified>
</cp:coreProperties>
</file>