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土地\结果\"/>
    </mc:Choice>
  </mc:AlternateContent>
  <bookViews>
    <workbookView xWindow="0" yWindow="0" windowWidth="19200" windowHeight="1071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土地证信息" sheetId="68" r:id="rId31"/>
    <sheet name="土地案例"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0">土地证信息!$A$1:$S$40</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5" i="66" l="1"/>
  <c r="B15" i="66" l="1"/>
  <c r="C15" i="66"/>
  <c r="E7" i="39" l="1"/>
  <c r="D15" i="66" l="1"/>
  <c r="G15" i="66" l="1"/>
  <c r="S8" i="68"/>
  <c r="M34" i="68" s="1"/>
  <c r="P10" i="68"/>
  <c r="S9" i="68" l="1"/>
  <c r="M35" i="68" s="1"/>
  <c r="P9" i="68"/>
  <c r="P8" i="68"/>
  <c r="O8" i="68"/>
  <c r="O3" i="68"/>
  <c r="Q8" i="68" l="1"/>
  <c r="R8" i="68"/>
  <c r="O13" i="68" l="1"/>
  <c r="C106" i="9" s="1"/>
  <c r="O9" i="68" l="1"/>
  <c r="G27" i="68" l="1"/>
  <c r="Q6" i="1"/>
  <c r="M2" i="69"/>
  <c r="E48" i="39"/>
  <c r="I55" i="39" s="1"/>
  <c r="J55" i="39" s="1"/>
  <c r="I7" i="39"/>
  <c r="G7" i="39"/>
  <c r="K10" i="68"/>
  <c r="I48" i="39"/>
  <c r="V48" i="39" s="1"/>
  <c r="I6" i="1"/>
  <c r="V6" i="1"/>
  <c r="I40" i="39"/>
  <c r="G40" i="39"/>
  <c r="E40" i="39"/>
  <c r="E13" i="39"/>
  <c r="A3" i="3"/>
  <c r="C40" i="39" s="1"/>
  <c r="E73" i="39"/>
  <c r="F73" i="39"/>
  <c r="G73" i="39"/>
  <c r="H73" i="39"/>
  <c r="I73" i="39"/>
  <c r="J73" i="39"/>
  <c r="K73" i="39"/>
  <c r="L73" i="39"/>
  <c r="M73" i="39"/>
  <c r="N73" i="39"/>
  <c r="D73" i="39"/>
  <c r="I9" i="39"/>
  <c r="G9" i="39"/>
  <c r="H9" i="39" s="1"/>
  <c r="E9" i="39"/>
  <c r="M78" i="69"/>
  <c r="G78" i="69"/>
  <c r="M77" i="69"/>
  <c r="G77" i="69"/>
  <c r="M76" i="69"/>
  <c r="G76" i="69"/>
  <c r="M75" i="69"/>
  <c r="G75" i="69"/>
  <c r="M74" i="69"/>
  <c r="G74" i="69"/>
  <c r="M73" i="69"/>
  <c r="G73" i="69"/>
  <c r="M72" i="69"/>
  <c r="G72" i="69"/>
  <c r="M71" i="69"/>
  <c r="G71" i="69"/>
  <c r="I13" i="39" s="1"/>
  <c r="M70" i="69"/>
  <c r="G70" i="69"/>
  <c r="M69" i="69"/>
  <c r="G69" i="69"/>
  <c r="M68" i="69"/>
  <c r="G68" i="69"/>
  <c r="M67" i="69"/>
  <c r="G67" i="69"/>
  <c r="M66" i="69"/>
  <c r="G66" i="69"/>
  <c r="M65" i="69"/>
  <c r="G65" i="69"/>
  <c r="M64" i="69"/>
  <c r="G64" i="69"/>
  <c r="M63" i="69"/>
  <c r="G48" i="39" s="1"/>
  <c r="G63" i="69"/>
  <c r="M62" i="69"/>
  <c r="G62" i="69"/>
  <c r="M61" i="69"/>
  <c r="G61" i="69"/>
  <c r="M60" i="69"/>
  <c r="G60" i="69"/>
  <c r="M59" i="69"/>
  <c r="G59" i="69"/>
  <c r="M58" i="69"/>
  <c r="G58" i="69"/>
  <c r="G13" i="39" s="1"/>
  <c r="M57" i="69"/>
  <c r="G57" i="69"/>
  <c r="M56" i="69"/>
  <c r="G56" i="69"/>
  <c r="M55" i="69"/>
  <c r="G55" i="69"/>
  <c r="M54" i="69"/>
  <c r="G54" i="69"/>
  <c r="M53" i="69"/>
  <c r="G53" i="69"/>
  <c r="M52" i="69"/>
  <c r="G52" i="69"/>
  <c r="M51" i="69"/>
  <c r="G51" i="69"/>
  <c r="M50" i="69"/>
  <c r="G50" i="69"/>
  <c r="M49" i="69"/>
  <c r="G49" i="69"/>
  <c r="M48" i="69"/>
  <c r="G48" i="69"/>
  <c r="M47" i="69"/>
  <c r="G47" i="69"/>
  <c r="M46" i="69"/>
  <c r="G46" i="69"/>
  <c r="M45" i="69"/>
  <c r="G45" i="69"/>
  <c r="M44" i="69"/>
  <c r="G44" i="69"/>
  <c r="M43" i="69"/>
  <c r="G43" i="69"/>
  <c r="M42" i="69"/>
  <c r="G42" i="69"/>
  <c r="M41" i="69"/>
  <c r="G41" i="69"/>
  <c r="M40" i="69"/>
  <c r="G40" i="69"/>
  <c r="M39" i="69"/>
  <c r="G39" i="69"/>
  <c r="M38" i="69"/>
  <c r="G38" i="69"/>
  <c r="M37" i="69"/>
  <c r="G37" i="69"/>
  <c r="M36" i="69"/>
  <c r="G36" i="69"/>
  <c r="M35" i="69"/>
  <c r="G35" i="69"/>
  <c r="M34" i="69"/>
  <c r="G34" i="69"/>
  <c r="M33" i="69"/>
  <c r="G33" i="69"/>
  <c r="M32" i="69"/>
  <c r="G32" i="69"/>
  <c r="M31" i="69"/>
  <c r="G31" i="69"/>
  <c r="M30" i="69"/>
  <c r="G30" i="69"/>
  <c r="M29" i="69"/>
  <c r="G29" i="69"/>
  <c r="M28" i="69"/>
  <c r="G28" i="69"/>
  <c r="M27" i="69"/>
  <c r="G27" i="69"/>
  <c r="M26" i="69"/>
  <c r="G26" i="69"/>
  <c r="M25" i="69"/>
  <c r="G25" i="69"/>
  <c r="M24" i="69"/>
  <c r="G24" i="69"/>
  <c r="M23" i="69"/>
  <c r="G23" i="69"/>
  <c r="M22" i="69"/>
  <c r="G22" i="69"/>
  <c r="M21" i="69"/>
  <c r="G21" i="69"/>
  <c r="M20" i="69"/>
  <c r="G20" i="69"/>
  <c r="M19" i="69"/>
  <c r="G19" i="69"/>
  <c r="M18" i="69"/>
  <c r="G18" i="69"/>
  <c r="M17" i="69"/>
  <c r="G17" i="69"/>
  <c r="M16" i="69"/>
  <c r="G16" i="69"/>
  <c r="M15" i="69"/>
  <c r="G15" i="69"/>
  <c r="M14" i="69"/>
  <c r="G14" i="69"/>
  <c r="M13" i="69"/>
  <c r="G13" i="69"/>
  <c r="M12" i="69"/>
  <c r="G12" i="69"/>
  <c r="M11" i="69"/>
  <c r="G11" i="69"/>
  <c r="M10" i="69"/>
  <c r="G10" i="69"/>
  <c r="M9" i="69"/>
  <c r="G9" i="69"/>
  <c r="M8" i="69"/>
  <c r="G8" i="69"/>
  <c r="M7" i="69"/>
  <c r="G7" i="69"/>
  <c r="M6" i="69"/>
  <c r="G6" i="69"/>
  <c r="M5" i="69"/>
  <c r="G5" i="69"/>
  <c r="M4" i="69"/>
  <c r="G4" i="69"/>
  <c r="M3" i="69"/>
  <c r="G3" i="69"/>
  <c r="O4" i="68"/>
  <c r="O5" i="68"/>
  <c r="O6" i="68"/>
  <c r="O7" i="68"/>
  <c r="F10" i="68"/>
  <c r="D3" i="4"/>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AA7" i="59"/>
  <c r="O7" i="59"/>
  <c r="O8" i="59"/>
  <c r="N7" i="59"/>
  <c r="N8" i="59"/>
  <c r="X5"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AA8" i="59"/>
  <c r="O10" i="59"/>
  <c r="N10" i="59"/>
  <c r="N11" i="59"/>
  <c r="Q11" i="59"/>
  <c r="P11" i="59"/>
  <c r="O11" i="59"/>
  <c r="K59" i="15"/>
  <c r="P62" i="15" s="1"/>
  <c r="Q74" i="44"/>
  <c r="Q61" i="44"/>
  <c r="Q60" i="44"/>
  <c r="Q53" i="44"/>
  <c r="J51" i="44"/>
  <c r="J52" i="44"/>
  <c r="M48" i="44"/>
  <c r="A16" i="55"/>
  <c r="B67" i="63"/>
  <c r="A15" i="55"/>
  <c r="B66" i="63"/>
  <c r="A14" i="55"/>
  <c r="B65" i="63"/>
  <c r="A11" i="55"/>
  <c r="A10" i="55"/>
  <c r="B61" i="63"/>
  <c r="A9" i="55"/>
  <c r="B60" i="63"/>
  <c r="A8" i="55"/>
  <c r="A6" i="54"/>
  <c r="A8" i="54"/>
  <c r="A7" i="54"/>
  <c r="A27" i="51"/>
  <c r="B20" i="63"/>
  <c r="Q12" i="59"/>
  <c r="O12" i="59"/>
  <c r="N13" i="59"/>
  <c r="O13" i="59"/>
  <c r="P13" i="59"/>
  <c r="Q13" i="59"/>
  <c r="N12" i="59"/>
  <c r="P12" i="59"/>
  <c r="K75" i="9"/>
  <c r="K6" i="4"/>
  <c r="O76" i="9"/>
  <c r="L76" i="9"/>
  <c r="B22" i="31"/>
  <c r="E16" i="66"/>
  <c r="F16" i="66"/>
  <c r="E17" i="66"/>
  <c r="F17" i="66"/>
  <c r="E18" i="66"/>
  <c r="F18" i="66"/>
  <c r="E19" i="66"/>
  <c r="F19" i="66"/>
  <c r="E20" i="66"/>
  <c r="F20" i="66"/>
  <c r="E21" i="66"/>
  <c r="F21" i="66"/>
  <c r="E22" i="66"/>
  <c r="F22" i="66"/>
  <c r="E23" i="66"/>
  <c r="F23" i="66"/>
  <c r="B3" i="66"/>
  <c r="B10" i="59"/>
  <c r="E10" i="59"/>
  <c r="E9" i="59"/>
  <c r="E8" i="59"/>
  <c r="E7" i="59"/>
  <c r="E6" i="59"/>
  <c r="F10" i="59"/>
  <c r="F9" i="59"/>
  <c r="F8" i="59"/>
  <c r="F7" i="59"/>
  <c r="F6"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s="1"/>
  <c r="C56" i="10"/>
  <c r="C55" i="10"/>
  <c r="C54" i="10"/>
  <c r="B49" i="63"/>
  <c r="B44" i="63"/>
  <c r="B40" i="63"/>
  <c r="B30" i="63"/>
  <c r="B27" i="63"/>
  <c r="B25" i="63"/>
  <c r="A11" i="51"/>
  <c r="B10" i="63"/>
  <c r="A26" i="64"/>
  <c r="A26" i="51"/>
  <c r="B19" i="63"/>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I19" i="46"/>
  <c r="Q14" i="59"/>
  <c r="P14" i="59"/>
  <c r="O14" i="59"/>
  <c r="N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F53" i="59"/>
  <c r="D51" i="59"/>
  <c r="Q50" i="59"/>
  <c r="P50" i="59"/>
  <c r="O50" i="59"/>
  <c r="N50" i="59"/>
  <c r="Q49" i="59"/>
  <c r="P49" i="59"/>
  <c r="O49" i="59"/>
  <c r="N49" i="59"/>
  <c r="Q48" i="59"/>
  <c r="P48" i="59"/>
  <c r="O48" i="59"/>
  <c r="C49" i="59"/>
  <c r="C50" i="59"/>
  <c r="T50"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C41" i="59"/>
  <c r="C42" i="59"/>
  <c r="N40" i="59"/>
  <c r="Q39" i="59"/>
  <c r="F40" i="59"/>
  <c r="F41" i="59"/>
  <c r="F42"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B33" i="59"/>
  <c r="B34" i="59"/>
  <c r="S34" i="59"/>
  <c r="Q31" i="59"/>
  <c r="F32" i="59"/>
  <c r="F33" i="59"/>
  <c r="P31" i="59"/>
  <c r="E32" i="59"/>
  <c r="E33" i="59"/>
  <c r="E34" i="59"/>
  <c r="U34" i="59"/>
  <c r="O31" i="59"/>
  <c r="C32" i="59"/>
  <c r="N31" i="59"/>
  <c r="B32" i="59"/>
  <c r="D31" i="59"/>
  <c r="Q30" i="59"/>
  <c r="P30" i="59"/>
  <c r="O30" i="59"/>
  <c r="N30" i="59"/>
  <c r="Q29" i="59"/>
  <c r="P29" i="59"/>
  <c r="O29" i="59"/>
  <c r="N29" i="59"/>
  <c r="Q28" i="59"/>
  <c r="P28" i="59"/>
  <c r="O28" i="59"/>
  <c r="N28" i="59"/>
  <c r="Q27" i="59"/>
  <c r="F28" i="59"/>
  <c r="P27" i="59"/>
  <c r="E28" i="59"/>
  <c r="E29" i="59"/>
  <c r="E30" i="59"/>
  <c r="U30" i="59"/>
  <c r="O27" i="59"/>
  <c r="C28" i="59"/>
  <c r="C29" i="59"/>
  <c r="C30" i="59"/>
  <c r="N27" i="59"/>
  <c r="B28" i="59"/>
  <c r="B29" i="59"/>
  <c r="B30" i="59"/>
  <c r="S30" i="59"/>
  <c r="D27" i="59"/>
  <c r="Q26" i="59"/>
  <c r="P26" i="59"/>
  <c r="O26" i="59"/>
  <c r="N26" i="59"/>
  <c r="Q25" i="59"/>
  <c r="AB25" i="59"/>
  <c r="P25" i="59"/>
  <c r="O25" i="59"/>
  <c r="Y25" i="59"/>
  <c r="Z25" i="59"/>
  <c r="N25" i="59"/>
  <c r="X25" i="59"/>
  <c r="Q24" i="59"/>
  <c r="AB24" i="59"/>
  <c r="P24" i="59"/>
  <c r="AA24" i="59"/>
  <c r="O24" i="59"/>
  <c r="N24" i="59"/>
  <c r="X24" i="59"/>
  <c r="Q23" i="59"/>
  <c r="AB23" i="59"/>
  <c r="F24" i="59"/>
  <c r="F25" i="59"/>
  <c r="P23" i="59"/>
  <c r="E24" i="59"/>
  <c r="E25" i="59"/>
  <c r="E26" i="59"/>
  <c r="U26" i="59"/>
  <c r="O23" i="59"/>
  <c r="N23" i="59"/>
  <c r="D23" i="59"/>
  <c r="Q22" i="59"/>
  <c r="AB22" i="59"/>
  <c r="P22" i="59"/>
  <c r="O22" i="59"/>
  <c r="Y22" i="59"/>
  <c r="Z22" i="59"/>
  <c r="N22" i="59"/>
  <c r="Q21" i="59"/>
  <c r="AB21" i="59"/>
  <c r="P21" i="59"/>
  <c r="O21" i="59"/>
  <c r="Y21" i="59"/>
  <c r="Z21" i="59"/>
  <c r="N21" i="59"/>
  <c r="Q20" i="59"/>
  <c r="AB20" i="59"/>
  <c r="P20" i="59"/>
  <c r="O20" i="59"/>
  <c r="Y20" i="59"/>
  <c r="Z20" i="59"/>
  <c r="N20" i="59"/>
  <c r="Q19" i="59"/>
  <c r="P19" i="59"/>
  <c r="O19" i="59"/>
  <c r="C20" i="59"/>
  <c r="D20" i="59"/>
  <c r="N19" i="59"/>
  <c r="B20" i="59"/>
  <c r="B21" i="59"/>
  <c r="B22" i="59"/>
  <c r="S22" i="59"/>
  <c r="D19" i="59"/>
  <c r="Q18" i="59"/>
  <c r="P18" i="59"/>
  <c r="AA18" i="59"/>
  <c r="O18" i="59"/>
  <c r="N18" i="59"/>
  <c r="Q17" i="59"/>
  <c r="P17" i="59"/>
  <c r="AA17" i="59"/>
  <c r="O17" i="59"/>
  <c r="N17" i="59"/>
  <c r="Q16" i="59"/>
  <c r="P16" i="59"/>
  <c r="AA16" i="59"/>
  <c r="O16" i="59"/>
  <c r="N16" i="59"/>
  <c r="Q15" i="59"/>
  <c r="F16" i="59"/>
  <c r="F17" i="59"/>
  <c r="P15" i="59"/>
  <c r="O15" i="59"/>
  <c r="N15" i="59"/>
  <c r="D15" i="59"/>
  <c r="X11" i="59"/>
  <c r="AA3" i="59"/>
  <c r="AA12" i="59"/>
  <c r="AA14" i="59"/>
  <c r="E16" i="59"/>
  <c r="E17" i="59"/>
  <c r="E18" i="59"/>
  <c r="U18" i="59"/>
  <c r="B37" i="59"/>
  <c r="B38" i="59"/>
  <c r="S38" i="59"/>
  <c r="E38" i="59"/>
  <c r="U38" i="59"/>
  <c r="S54" i="59"/>
  <c r="AA25" i="59"/>
  <c r="F18" i="59"/>
  <c r="V18" i="59"/>
  <c r="F26" i="59"/>
  <c r="V26" i="59"/>
  <c r="F29" i="59"/>
  <c r="F30" i="59"/>
  <c r="V30" i="59"/>
  <c r="F34" i="59"/>
  <c r="V34" i="59"/>
  <c r="V42" i="59"/>
  <c r="F46" i="59"/>
  <c r="V46" i="59"/>
  <c r="F49" i="59"/>
  <c r="F50" i="59"/>
  <c r="V50" i="59"/>
  <c r="D28" i="59"/>
  <c r="C37" i="59"/>
  <c r="C45" i="59"/>
  <c r="C21" i="59"/>
  <c r="E52" i="59"/>
  <c r="P51" i="59"/>
  <c r="T54" i="59"/>
  <c r="O54" i="59"/>
  <c r="D54" i="59"/>
  <c r="C53" i="59"/>
  <c r="P54" i="59"/>
  <c r="U54" i="59"/>
  <c r="Q54" i="59"/>
  <c r="E57" i="59"/>
  <c r="E56" i="59"/>
  <c r="D58" i="59"/>
  <c r="C61" i="59"/>
  <c r="E61" i="59"/>
  <c r="E60" i="59"/>
  <c r="D62" i="59"/>
  <c r="E65" i="59"/>
  <c r="E64" i="59"/>
  <c r="D66" i="59"/>
  <c r="C69" i="59"/>
  <c r="C73" i="59"/>
  <c r="D73" i="59"/>
  <c r="U16" i="4"/>
  <c r="S16" i="4"/>
  <c r="Q16" i="4"/>
  <c r="O16" i="4"/>
  <c r="M16" i="4"/>
  <c r="K16" i="4"/>
  <c r="P52" i="59"/>
  <c r="C72" i="59"/>
  <c r="D72" i="59"/>
  <c r="C52" i="59"/>
  <c r="O53" i="59"/>
  <c r="D53" i="59"/>
  <c r="D69" i="59"/>
  <c r="C68" i="59"/>
  <c r="D68" i="59"/>
  <c r="D61" i="59"/>
  <c r="C60" i="59"/>
  <c r="D60" i="59"/>
  <c r="D49" i="59"/>
  <c r="D41" i="59"/>
  <c r="D29" i="59"/>
  <c r="D5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D77" i="37"/>
  <c r="E77" i="37"/>
  <c r="F77" i="37"/>
  <c r="G77" i="37"/>
  <c r="Q21" i="34"/>
  <c r="Z21" i="34"/>
  <c r="C21" i="34"/>
  <c r="D84" i="34"/>
  <c r="E84" i="34"/>
  <c r="F21" i="34"/>
  <c r="AA21" i="34"/>
  <c r="Q21" i="33"/>
  <c r="Z21" i="33"/>
  <c r="C21" i="33"/>
  <c r="D83" i="33"/>
  <c r="E83" i="33"/>
  <c r="F83" i="33"/>
  <c r="G83" i="33"/>
  <c r="Z21" i="21"/>
  <c r="Q21" i="21"/>
  <c r="D83" i="21"/>
  <c r="E83" i="21"/>
  <c r="F21" i="21"/>
  <c r="C21" i="21"/>
  <c r="Q27" i="40"/>
  <c r="Z27" i="40"/>
  <c r="D96" i="40"/>
  <c r="E96" i="40"/>
  <c r="F27" i="40"/>
  <c r="AA27" i="40"/>
  <c r="Q31" i="39"/>
  <c r="Z31" i="39"/>
  <c r="D105" i="39"/>
  <c r="E105" i="39"/>
  <c r="F31" i="39"/>
  <c r="AA31" i="39"/>
  <c r="G20" i="20"/>
  <c r="B85" i="46"/>
  <c r="C22" i="20"/>
  <c r="B65" i="46"/>
  <c r="S18" i="36"/>
  <c r="S18" i="35"/>
  <c r="S21" i="34"/>
  <c r="S27" i="40"/>
  <c r="S31" i="39"/>
  <c r="C27" i="40"/>
  <c r="C31" i="39"/>
  <c r="B54" i="46"/>
  <c r="B74" i="46"/>
  <c r="E66" i="36"/>
  <c r="H18" i="35"/>
  <c r="J18" i="35"/>
  <c r="H21" i="37"/>
  <c r="J21" i="37"/>
  <c r="F84" i="34"/>
  <c r="G84" i="34"/>
  <c r="J21" i="34"/>
  <c r="H21" i="34"/>
  <c r="F21" i="33"/>
  <c r="H21" i="33"/>
  <c r="J21" i="33"/>
  <c r="F83" i="21"/>
  <c r="H21" i="21"/>
  <c r="G83" i="21"/>
  <c r="J21" i="21"/>
  <c r="F96" i="40"/>
  <c r="H27" i="40"/>
  <c r="F105" i="39"/>
  <c r="H31" i="39"/>
  <c r="F23" i="15"/>
  <c r="G17" i="11"/>
  <c r="F15" i="15"/>
  <c r="F17" i="15"/>
  <c r="F18" i="15"/>
  <c r="F20" i="15"/>
  <c r="F21" i="15"/>
  <c r="F33" i="15"/>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R10" i="1"/>
  <c r="A11" i="1"/>
  <c r="A6" i="1"/>
  <c r="F3" i="35"/>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s="1"/>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C35" i="4"/>
  <c r="E16" i="12"/>
  <c r="F14" i="12"/>
  <c r="F15" i="12"/>
  <c r="F17" i="12"/>
  <c r="E19" i="12"/>
  <c r="E21" i="12"/>
  <c r="E22" i="12"/>
  <c r="F23" i="12"/>
  <c r="F24" i="12"/>
  <c r="C43" i="9"/>
  <c r="K47" i="9"/>
  <c r="I73" i="9"/>
  <c r="F73" i="9"/>
  <c r="P73" i="9"/>
  <c r="D107" i="9"/>
  <c r="C107" i="9"/>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s="1"/>
  <c r="H10" i="39"/>
  <c r="AB10" i="39"/>
  <c r="H11" i="39"/>
  <c r="AB11" i="39" s="1"/>
  <c r="H36" i="39"/>
  <c r="AB36" i="39"/>
  <c r="H42" i="39"/>
  <c r="AB42" i="39"/>
  <c r="J10" i="39"/>
  <c r="AC10" i="39"/>
  <c r="J11" i="39"/>
  <c r="AC11" i="39" s="1"/>
  <c r="J36" i="39"/>
  <c r="AC36" i="39"/>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s="1"/>
  <c r="Q43" i="39"/>
  <c r="Z43" i="39"/>
  <c r="Q44" i="39"/>
  <c r="Z44" i="39" s="1"/>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c r="F99" i="39"/>
  <c r="G99" i="39"/>
  <c r="D97" i="39"/>
  <c r="D95" i="39"/>
  <c r="E95" i="39"/>
  <c r="F95" i="39"/>
  <c r="G95" i="39"/>
  <c r="D93" i="39"/>
  <c r="E93" i="39"/>
  <c r="F93" i="39"/>
  <c r="G93" i="39"/>
  <c r="D91" i="39"/>
  <c r="E91" i="39"/>
  <c r="F91" i="39"/>
  <c r="G91" i="39"/>
  <c r="B88" i="39"/>
  <c r="B86" i="39"/>
  <c r="F15" i="39" s="1"/>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H30" i="21"/>
  <c r="B94" i="21"/>
  <c r="B92" i="21"/>
  <c r="J28" i="21"/>
  <c r="AC28" i="21"/>
  <c r="B90" i="21"/>
  <c r="B74" i="21"/>
  <c r="J1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 i="3"/>
  <c r="BF13" i="3"/>
  <c r="BF5" i="3"/>
  <c r="BG13" i="3"/>
  <c r="BH13" i="3"/>
  <c r="BI13" i="3"/>
  <c r="BJ13" i="3"/>
  <c r="BK13" i="3"/>
  <c r="BM13" i="3"/>
  <c r="BN13" i="3"/>
  <c r="BN5" i="3"/>
  <c r="G29" i="6"/>
  <c r="E29" i="6"/>
  <c r="K15" i="1"/>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W41" i="21"/>
  <c r="S10" i="39"/>
  <c r="U30" i="37"/>
  <c r="E103" i="37"/>
  <c r="F103" i="37"/>
  <c r="F39" i="37"/>
  <c r="S39" i="37"/>
  <c r="W39" i="37"/>
  <c r="F29" i="36"/>
  <c r="AA29" i="36"/>
  <c r="F16" i="36"/>
  <c r="AA16" i="36"/>
  <c r="U22" i="36"/>
  <c r="W22" i="36"/>
  <c r="U26" i="36"/>
  <c r="AC31" i="36"/>
  <c r="J33" i="36"/>
  <c r="W33" i="36"/>
  <c r="AC27" i="35"/>
  <c r="U31" i="35"/>
  <c r="W36" i="35"/>
  <c r="S31" i="35"/>
  <c r="W31" i="35"/>
  <c r="F36" i="34"/>
  <c r="S36" i="34"/>
  <c r="W9" i="34"/>
  <c r="S34" i="34"/>
  <c r="H39" i="33"/>
  <c r="AB39" i="33"/>
  <c r="F26" i="33"/>
  <c r="AA26" i="33"/>
  <c r="U9" i="33"/>
  <c r="W38" i="33"/>
  <c r="S40" i="33"/>
  <c r="S33" i="33"/>
  <c r="U38" i="33"/>
  <c r="S8" i="21"/>
  <c r="W8" i="21"/>
  <c r="H39" i="37"/>
  <c r="AB39" i="37"/>
  <c r="AB27" i="35"/>
  <c r="S10" i="40"/>
  <c r="W10" i="40"/>
  <c r="S11" i="40"/>
  <c r="U11" i="40"/>
  <c r="S36" i="40"/>
  <c r="U36" i="40"/>
  <c r="S36" i="39"/>
  <c r="F11" i="21"/>
  <c r="S11" i="21"/>
  <c r="AC40" i="21"/>
  <c r="AA38" i="21"/>
  <c r="AB36" i="21"/>
  <c r="AC35" i="21"/>
  <c r="C29"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36" i="33"/>
  <c r="S36" i="33"/>
  <c r="F19" i="33"/>
  <c r="S19" i="33"/>
  <c r="J19" i="33"/>
  <c r="S10" i="21"/>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c r="F14" i="21"/>
  <c r="AA14" i="21"/>
  <c r="H14" i="21"/>
  <c r="U14" i="21"/>
  <c r="H28" i="21"/>
  <c r="AB28" i="21"/>
  <c r="F28" i="21"/>
  <c r="S28"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W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A28" i="21"/>
  <c r="W42"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AZ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A36" i="35"/>
  <c r="H11" i="37"/>
  <c r="AB11" i="37"/>
  <c r="W37" i="37"/>
  <c r="AA30" i="33"/>
  <c r="AA36" i="37"/>
  <c r="U32" i="33"/>
  <c r="AB17" i="37"/>
  <c r="AZ488" i="3"/>
  <c r="AZ516" i="3"/>
  <c r="AZ532" i="3"/>
  <c r="AC29" i="33"/>
  <c r="AA45" i="33"/>
  <c r="AC11" i="36"/>
  <c r="AC10" i="36"/>
  <c r="AB45" i="34"/>
  <c r="AB35" i="35"/>
  <c r="W44" i="33"/>
  <c r="AC30" i="33"/>
  <c r="W30" i="33"/>
  <c r="AC29" i="37"/>
  <c r="W32" i="36"/>
  <c r="AC32" i="36"/>
  <c r="U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W43" i="39" s="1"/>
  <c r="F99" i="37"/>
  <c r="AC27" i="37"/>
  <c r="S45" i="34"/>
  <c r="AC40" i="37"/>
  <c r="W27" i="33"/>
  <c r="S28" i="33"/>
  <c r="AA44" i="34"/>
  <c r="AB29" i="35"/>
  <c r="U29" i="35"/>
  <c r="AC19" i="33"/>
  <c r="W19" i="33"/>
  <c r="U43" i="34"/>
  <c r="AB43" i="34"/>
  <c r="AC34" i="37"/>
  <c r="S35" i="37"/>
  <c r="AA35" i="37"/>
  <c r="AB10" i="35"/>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29" i="39"/>
  <c r="AA29" i="39"/>
  <c r="E103" i="39"/>
  <c r="F103" i="39"/>
  <c r="G103" i="39"/>
  <c r="H29" i="39"/>
  <c r="U29" i="39"/>
  <c r="F34" i="39"/>
  <c r="AA34" i="39"/>
  <c r="H34" i="39"/>
  <c r="AB34" i="39"/>
  <c r="J34" i="39"/>
  <c r="AC34" i="39"/>
  <c r="F39" i="39"/>
  <c r="AA39" i="39"/>
  <c r="H39" i="39"/>
  <c r="AB39" i="39"/>
  <c r="J39" i="39"/>
  <c r="AC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H25" i="39"/>
  <c r="U25" i="39"/>
  <c r="J25" i="39"/>
  <c r="AC25" i="39"/>
  <c r="F25" i="39"/>
  <c r="AA25" i="39"/>
  <c r="F45" i="39"/>
  <c r="AA45" i="39" s="1"/>
  <c r="H45" i="39"/>
  <c r="U45" i="39" s="1"/>
  <c r="J45" i="39"/>
  <c r="AC45" i="39" s="1"/>
  <c r="F47" i="39"/>
  <c r="AA47" i="39" s="1"/>
  <c r="H47" i="39"/>
  <c r="AB47" i="39" s="1"/>
  <c r="J47" i="39"/>
  <c r="W47" i="39" s="1"/>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B25" i="39"/>
  <c r="U37" i="34"/>
  <c r="AB37" i="34"/>
  <c r="W41" i="40"/>
  <c r="J23" i="40"/>
  <c r="AC23" i="40"/>
  <c r="F23" i="40"/>
  <c r="S23" i="40"/>
  <c r="AC15"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U27" i="39"/>
  <c r="H23" i="39"/>
  <c r="AB23" i="39"/>
  <c r="J23" i="39"/>
  <c r="AC23" i="39"/>
  <c r="F97" i="39"/>
  <c r="G97" i="39"/>
  <c r="S16" i="39"/>
  <c r="AA15" i="34"/>
  <c r="AA41" i="33"/>
  <c r="AA34" i="33"/>
  <c r="F106" i="33"/>
  <c r="G106" i="33"/>
  <c r="H106" i="33"/>
  <c r="I106" i="33"/>
  <c r="J106" i="33"/>
  <c r="K106" i="33"/>
  <c r="L106" i="33"/>
  <c r="M106" i="33"/>
  <c r="J34" i="33"/>
  <c r="AC34" i="33"/>
  <c r="U30" i="40"/>
  <c r="W29" i="35"/>
  <c r="W39" i="39"/>
  <c r="AB29"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AP11" i="1"/>
  <c r="B11" i="1"/>
  <c r="E11" i="1"/>
  <c r="K11" i="1"/>
  <c r="M11" i="1" s="1"/>
  <c r="B9" i="1"/>
  <c r="E9" i="1"/>
  <c r="K9" i="1"/>
  <c r="M9" i="1" s="1"/>
  <c r="B7" i="1"/>
  <c r="E7" i="1"/>
  <c r="K7" i="1"/>
  <c r="M7" i="1" s="1"/>
  <c r="C20" i="43"/>
  <c r="F6" i="1"/>
  <c r="AP6" i="1"/>
  <c r="F32" i="15"/>
  <c r="F59" i="15"/>
  <c r="F29" i="12"/>
  <c r="F70" i="9"/>
  <c r="D86" i="9"/>
  <c r="M20" i="44"/>
  <c r="F31" i="43"/>
  <c r="F30" i="44"/>
  <c r="AC25"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AC23" i="34"/>
  <c r="F86" i="34"/>
  <c r="G86" i="34"/>
  <c r="F23" i="34"/>
  <c r="H23" i="34"/>
  <c r="U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W23" i="33"/>
  <c r="F23" i="33"/>
  <c r="H23" i="33"/>
  <c r="U23" i="33"/>
  <c r="U19" i="33"/>
  <c r="F79" i="33"/>
  <c r="G79" i="33"/>
  <c r="F17" i="33"/>
  <c r="AA17" i="33"/>
  <c r="H17" i="33"/>
  <c r="J17" i="33"/>
  <c r="W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U37" i="40"/>
  <c r="G113" i="40"/>
  <c r="H113" i="40"/>
  <c r="I113" i="40"/>
  <c r="J113" i="40"/>
  <c r="K113" i="40"/>
  <c r="L113" i="40"/>
  <c r="M113" i="40"/>
  <c r="F39" i="40"/>
  <c r="AA39" i="40"/>
  <c r="S38"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AB45" i="39"/>
  <c r="AA21" i="39"/>
  <c r="AC21" i="39"/>
  <c r="S14" i="39"/>
  <c r="U11" i="39"/>
  <c r="AB38" i="39"/>
  <c r="U31" i="39"/>
  <c r="AB31" i="39"/>
  <c r="S22" i="31"/>
  <c r="D96" i="9"/>
  <c r="F28" i="15"/>
  <c r="M18" i="15"/>
  <c r="A18" i="64"/>
  <c r="B74" i="63"/>
  <c r="C53" i="10"/>
  <c r="A25" i="64"/>
  <c r="A18" i="51"/>
  <c r="B14" i="63"/>
  <c r="BA16" i="3"/>
  <c r="BA17" i="3"/>
  <c r="AZ17" i="3"/>
  <c r="K1" i="43"/>
  <c r="G1" i="44"/>
  <c r="AZ15" i="3"/>
  <c r="BK5" i="3"/>
  <c r="BO5" i="3"/>
  <c r="BP5" i="3"/>
  <c r="BL18" i="3"/>
  <c r="AZ18" i="3"/>
  <c r="BC5" i="3"/>
  <c r="BD5" i="3"/>
  <c r="BR5" i="3"/>
  <c r="BS5" i="3"/>
  <c r="BQ5" i="3"/>
  <c r="BL16" i="3"/>
  <c r="BM5" i="3"/>
  <c r="H53" i="46"/>
  <c r="G28" i="12"/>
  <c r="G26" i="12"/>
  <c r="D26" i="44"/>
  <c r="G23"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51"/>
  <c r="B6"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c r="K5" i="54"/>
  <c r="B38" i="63"/>
  <c r="T41" i="4"/>
  <c r="A17" i="64"/>
  <c r="B46" i="50"/>
  <c r="B4" i="63"/>
  <c r="C46" i="36"/>
  <c r="H86" i="46"/>
  <c r="H82" i="46"/>
  <c r="H10" i="48"/>
  <c r="H87" i="46"/>
  <c r="H85" i="46"/>
  <c r="H83" i="46"/>
  <c r="K10" i="1"/>
  <c r="M10" i="1" s="1"/>
  <c r="S11" i="1"/>
  <c r="R11" i="1"/>
  <c r="S13" i="1"/>
  <c r="R13" i="1"/>
  <c r="B10" i="1"/>
  <c r="E10" i="1"/>
  <c r="S10" i="1"/>
  <c r="B8" i="1"/>
  <c r="E8" i="1"/>
  <c r="B12" i="1"/>
  <c r="E12" i="1"/>
  <c r="S12" i="1"/>
  <c r="G1" i="15"/>
  <c r="F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W31" i="39"/>
  <c r="S45" i="39"/>
  <c r="AB33" i="39"/>
  <c r="S34" i="39"/>
  <c r="W42" i="39"/>
  <c r="U14" i="39"/>
  <c r="W16" i="39"/>
  <c r="W25" i="39"/>
  <c r="AA44" i="39"/>
  <c r="W10" i="39"/>
  <c r="W11" i="39"/>
  <c r="U42" i="39"/>
  <c r="S32" i="40"/>
  <c r="C17" i="40"/>
  <c r="C19" i="40"/>
  <c r="C17" i="39"/>
  <c r="C21" i="39"/>
  <c r="C23" i="40"/>
  <c r="B55" i="46"/>
  <c r="B53" i="46"/>
  <c r="D24" i="15"/>
  <c r="F29" i="6"/>
  <c r="S14" i="36"/>
  <c r="AB20" i="36"/>
  <c r="AA20" i="36"/>
  <c r="AC14" i="36"/>
  <c r="W14" i="36"/>
  <c r="U14" i="36"/>
  <c r="AB14" i="36"/>
  <c r="AB18" i="36"/>
  <c r="AA26" i="35"/>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AC27" i="40"/>
  <c r="W27" i="40"/>
  <c r="AC31" i="39"/>
  <c r="B20" i="31"/>
  <c r="R22" i="31"/>
  <c r="B21" i="31"/>
  <c r="A17" i="51"/>
  <c r="B13" i="63"/>
  <c r="E5" i="6"/>
  <c r="D21" i="12"/>
  <c r="C21" i="12" s="1"/>
  <c r="AT6" i="3"/>
  <c r="AZ16" i="3"/>
  <c r="A9" i="64"/>
  <c r="A9" i="51"/>
  <c r="B9" i="63"/>
  <c r="A3" i="55"/>
  <c r="B56" i="63"/>
  <c r="G66" i="36"/>
  <c r="J18" i="36"/>
  <c r="AE8" i="1"/>
  <c r="AE7" i="1"/>
  <c r="W18" i="36"/>
  <c r="AC18" i="36"/>
  <c r="AG6" i="1"/>
  <c r="L20" i="6"/>
  <c r="L19" i="6"/>
  <c r="L27" i="6" s="1"/>
  <c r="J7" i="21"/>
  <c r="AC7" i="21"/>
  <c r="V48" i="21"/>
  <c r="I48" i="21"/>
  <c r="S7" i="1"/>
  <c r="S8" i="1"/>
  <c r="S9" i="1"/>
  <c r="R9" i="1"/>
  <c r="R7" i="1"/>
  <c r="R8" i="1"/>
  <c r="C45" i="9"/>
  <c r="H14" i="66"/>
  <c r="B7" i="66"/>
  <c r="N76" i="9"/>
  <c r="M43" i="9"/>
  <c r="D18" i="9"/>
  <c r="M44" i="9"/>
  <c r="AC17" i="39"/>
  <c r="W23" i="39"/>
  <c r="U41" i="39"/>
  <c r="S41" i="39"/>
  <c r="AC43" i="39"/>
  <c r="W36" i="39"/>
  <c r="S39" i="39"/>
  <c r="S11" i="39"/>
  <c r="AA43" i="39"/>
  <c r="W41" i="39"/>
  <c r="U37" i="39"/>
  <c r="AB37" i="39"/>
  <c r="AC37" i="39"/>
  <c r="S38" i="39"/>
  <c r="AC38" i="39"/>
  <c r="AA37" i="39"/>
  <c r="U36" i="39"/>
  <c r="W34" i="39"/>
  <c r="U34" i="39"/>
  <c r="S29" i="39"/>
  <c r="W29" i="39"/>
  <c r="W27" i="39"/>
  <c r="S27" i="39"/>
  <c r="S25" i="39"/>
  <c r="U23" i="39"/>
  <c r="AC19" i="39"/>
  <c r="AA19" i="39"/>
  <c r="S23" i="39"/>
  <c r="AB17" i="39"/>
  <c r="S17" i="39"/>
  <c r="B62" i="46"/>
  <c r="B51" i="46"/>
  <c r="B48" i="46"/>
  <c r="B64" i="46"/>
  <c r="B66" i="46"/>
  <c r="B59" i="46"/>
  <c r="C19" i="39"/>
  <c r="C27" i="39"/>
  <c r="C23" i="39"/>
  <c r="B6" i="1"/>
  <c r="E6" i="1"/>
  <c r="K1" i="12"/>
  <c r="D12" i="11"/>
  <c r="C12" i="11" s="1"/>
  <c r="F28" i="6"/>
  <c r="F30" i="6"/>
  <c r="G11" i="1"/>
  <c r="G9" i="1"/>
  <c r="G12" i="1"/>
  <c r="L16" i="4"/>
  <c r="N16" i="4"/>
  <c r="D24" i="44"/>
  <c r="G21" i="43"/>
  <c r="G27" i="12"/>
  <c r="G22" i="43"/>
  <c r="M20" i="15"/>
  <c r="M22" i="44"/>
  <c r="F36" i="44"/>
  <c r="O40" i="9"/>
  <c r="C51" i="10"/>
  <c r="H7" i="21"/>
  <c r="F7" i="21"/>
  <c r="A25" i="51"/>
  <c r="B18" i="63"/>
  <c r="C7" i="33"/>
  <c r="C58" i="33"/>
  <c r="C7" i="35"/>
  <c r="C48" i="35"/>
  <c r="D48" i="35"/>
  <c r="C7" i="37"/>
  <c r="C52" i="37"/>
  <c r="D52" i="37"/>
  <c r="C9" i="39"/>
  <c r="C70" i="39"/>
  <c r="C9" i="40"/>
  <c r="C65" i="40"/>
  <c r="N67" i="9"/>
  <c r="D38" i="4"/>
  <c r="C39" i="4"/>
  <c r="K31" i="9"/>
  <c r="K32" i="9"/>
  <c r="R7" i="54"/>
  <c r="B52" i="63"/>
  <c r="AB7" i="21"/>
  <c r="T48" i="21"/>
  <c r="G48" i="21"/>
  <c r="G53" i="21"/>
  <c r="H53" i="21"/>
  <c r="U7" i="21"/>
  <c r="AA20" i="35"/>
  <c r="AC13" i="40"/>
  <c r="S41" i="40"/>
  <c r="W34" i="40"/>
  <c r="AB16" i="39"/>
  <c r="U41" i="40"/>
  <c r="W40" i="40"/>
  <c r="AZ370" i="3"/>
  <c r="AZ356" i="3"/>
  <c r="AZ324" i="3"/>
  <c r="AZ381" i="3"/>
  <c r="AZ358" i="3"/>
  <c r="AZ355" i="3"/>
  <c r="W41" i="34"/>
  <c r="AC41" i="34"/>
  <c r="AA42" i="33"/>
  <c r="S42" i="33"/>
  <c r="AZ492" i="3"/>
  <c r="AZ544" i="3"/>
  <c r="AZ493" i="3"/>
  <c r="AZ570" i="3"/>
  <c r="AC14" i="21"/>
  <c r="W14" i="21"/>
  <c r="U30" i="21"/>
  <c r="AB30" i="21"/>
  <c r="U27" i="33"/>
  <c r="AB27" i="33"/>
  <c r="S17" i="40"/>
  <c r="AA15" i="21"/>
  <c r="AA10" i="35"/>
  <c r="S10" i="35"/>
  <c r="AZ508" i="3"/>
  <c r="AZ558" i="3"/>
  <c r="AZ562" i="3"/>
  <c r="W24" i="35"/>
  <c r="AC24" i="35"/>
  <c r="AC23" i="36"/>
  <c r="W23" i="36"/>
  <c r="H25" i="37"/>
  <c r="J25" i="37"/>
  <c r="F25" i="37"/>
  <c r="S14" i="21"/>
  <c r="AC45" i="21"/>
  <c r="U31" i="34"/>
  <c r="U25" i="35"/>
  <c r="S24" i="36"/>
  <c r="S25" i="35"/>
  <c r="AC14" i="37"/>
  <c r="S37" i="34"/>
  <c r="AC33" i="21"/>
  <c r="AC37" i="33"/>
  <c r="S27" i="37"/>
  <c r="S19" i="21"/>
  <c r="U28" i="21"/>
  <c r="S45" i="21"/>
  <c r="AA27" i="33"/>
  <c r="W31" i="34"/>
  <c r="AB14" i="21"/>
  <c r="U46" i="21"/>
  <c r="AB13" i="21"/>
  <c r="AB40" i="37"/>
  <c r="W46" i="33"/>
  <c r="W35" i="35"/>
  <c r="J30" i="21"/>
  <c r="F30" i="21"/>
  <c r="S22" i="35"/>
  <c r="W40" i="33"/>
  <c r="S38" i="33"/>
  <c r="U9" i="21"/>
  <c r="W33" i="33"/>
  <c r="U33" i="33"/>
  <c r="W39" i="34"/>
  <c r="H12" i="21"/>
  <c r="BT5" i="3"/>
  <c r="G28" i="6"/>
  <c r="BI5" i="3"/>
  <c r="BG5" i="3"/>
  <c r="F34" i="35"/>
  <c r="H34" i="35"/>
  <c r="F23" i="36"/>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30" i="51"/>
  <c r="B22" i="63"/>
  <c r="A30" i="64"/>
  <c r="AZ279" i="3"/>
  <c r="AZ283" i="3"/>
  <c r="AZ294" i="3"/>
  <c r="AZ133" i="3"/>
  <c r="AZ136" i="3"/>
  <c r="R12" i="1"/>
  <c r="K12" i="1"/>
  <c r="M12" i="1" s="1"/>
  <c r="O52" i="59"/>
  <c r="O51" i="59"/>
  <c r="C22" i="59"/>
  <c r="D21" i="59"/>
  <c r="C38" i="59"/>
  <c r="D37" i="59"/>
  <c r="AB19" i="59"/>
  <c r="F20" i="59"/>
  <c r="F21" i="59"/>
  <c r="F22" i="59"/>
  <c r="V22" i="59"/>
  <c r="AB3" i="59"/>
  <c r="AB12" i="59"/>
  <c r="AB14" i="59"/>
  <c r="AB13" i="59"/>
  <c r="F52" i="59"/>
  <c r="Q53" i="59"/>
  <c r="F5" i="59"/>
  <c r="V6" i="59"/>
  <c r="AZ145" i="3"/>
  <c r="AZ148" i="3"/>
  <c r="AZ21" i="3"/>
  <c r="AZ25" i="3"/>
  <c r="AZ28" i="3"/>
  <c r="AZ30" i="3"/>
  <c r="AZ34" i="3"/>
  <c r="AZ53" i="3"/>
  <c r="AZ57" i="3"/>
  <c r="AZ60" i="3"/>
  <c r="AZ62" i="3"/>
  <c r="AZ68" i="3"/>
  <c r="AZ72" i="3"/>
  <c r="AZ75" i="3"/>
  <c r="AZ77" i="3"/>
  <c r="AZ81" i="3"/>
  <c r="AZ88" i="3"/>
  <c r="AZ92" i="3"/>
  <c r="AZ95" i="3"/>
  <c r="AZ97" i="3"/>
  <c r="AZ101" i="3"/>
  <c r="D1" i="57"/>
  <c r="E10" i="57"/>
  <c r="D22" i="15"/>
  <c r="D23" i="15"/>
  <c r="D52" i="59"/>
  <c r="D45" i="59"/>
  <c r="C46" i="59"/>
  <c r="AB11" i="59"/>
  <c r="X15" i="59"/>
  <c r="B16" i="59"/>
  <c r="B17" i="59"/>
  <c r="B18" i="59"/>
  <c r="S18" i="59"/>
  <c r="X13" i="59"/>
  <c r="X23" i="59"/>
  <c r="B24" i="59"/>
  <c r="B25" i="59"/>
  <c r="B26" i="59"/>
  <c r="S26" i="59"/>
  <c r="T30" i="59"/>
  <c r="D30" i="59"/>
  <c r="C33" i="59"/>
  <c r="D33" i="59"/>
  <c r="D32" i="59"/>
  <c r="T42" i="59"/>
  <c r="D42" i="59"/>
  <c r="AA21" i="21"/>
  <c r="S21" i="21"/>
  <c r="AA21" i="37"/>
  <c r="S21" i="37"/>
  <c r="Y15" i="59"/>
  <c r="Z15" i="59"/>
  <c r="C16" i="59"/>
  <c r="Y11" i="59"/>
  <c r="Z11" i="59"/>
  <c r="Y12" i="59"/>
  <c r="Z12" i="59"/>
  <c r="Y13" i="59"/>
  <c r="Z13" i="59"/>
  <c r="Y14" i="59"/>
  <c r="Z14" i="59"/>
  <c r="Y3" i="59"/>
  <c r="Z3" i="59"/>
  <c r="X16" i="59"/>
  <c r="X17" i="59"/>
  <c r="X18" i="59"/>
  <c r="AA19" i="59"/>
  <c r="E20" i="59"/>
  <c r="E21" i="59"/>
  <c r="E22" i="59"/>
  <c r="U22" i="59"/>
  <c r="Y23" i="59"/>
  <c r="Z23" i="59"/>
  <c r="C24" i="59"/>
  <c r="N54" i="59"/>
  <c r="B53" i="59"/>
  <c r="T58" i="59"/>
  <c r="C57" i="59"/>
  <c r="T66" i="59"/>
  <c r="C65" i="59"/>
  <c r="B14" i="59"/>
  <c r="X3" i="59"/>
  <c r="X12" i="59"/>
  <c r="X14" i="59"/>
  <c r="E14" i="59"/>
  <c r="AA11" i="59"/>
  <c r="AA13" i="59"/>
  <c r="A28" i="64"/>
  <c r="AA15" i="59"/>
  <c r="AB15" i="59"/>
  <c r="Y16" i="59"/>
  <c r="Z16" i="59"/>
  <c r="AB16" i="59"/>
  <c r="Y17" i="59"/>
  <c r="Z17" i="59"/>
  <c r="AB17" i="59"/>
  <c r="Y18" i="59"/>
  <c r="Z18" i="59"/>
  <c r="AB18" i="59"/>
  <c r="X19" i="59"/>
  <c r="Y19" i="59"/>
  <c r="Z19" i="59"/>
  <c r="X20" i="59"/>
  <c r="AA20" i="59"/>
  <c r="X21" i="59"/>
  <c r="AA21" i="59"/>
  <c r="X22" i="59"/>
  <c r="AA22" i="59"/>
  <c r="AA23" i="59"/>
  <c r="Y24" i="59"/>
  <c r="Z24" i="59"/>
  <c r="Y10" i="59"/>
  <c r="Z10" i="59"/>
  <c r="AB10" i="59"/>
  <c r="E5" i="59"/>
  <c r="U6" i="59"/>
  <c r="X9" i="59"/>
  <c r="Y7" i="59"/>
  <c r="Z7" i="59"/>
  <c r="AB7" i="59"/>
  <c r="X6" i="59"/>
  <c r="Y5" i="59"/>
  <c r="Z5" i="59"/>
  <c r="C10" i="59"/>
  <c r="V10" i="59"/>
  <c r="K76" i="9"/>
  <c r="K77" i="9" s="1"/>
  <c r="K79" i="9" s="1"/>
  <c r="K81" i="9" s="1"/>
  <c r="C14" i="59"/>
  <c r="AA10" i="59"/>
  <c r="X10" i="59"/>
  <c r="Y9" i="59"/>
  <c r="Z9" i="59"/>
  <c r="AA9" i="59"/>
  <c r="AB9" i="59"/>
  <c r="X8" i="59"/>
  <c r="X7" i="59"/>
  <c r="AA6" i="59"/>
  <c r="AA5" i="59"/>
  <c r="F14" i="59"/>
  <c r="Y8" i="59"/>
  <c r="Z8" i="59"/>
  <c r="AB8" i="59"/>
  <c r="Y6" i="59"/>
  <c r="Z6" i="59"/>
  <c r="AB6" i="59"/>
  <c r="AB5" i="59"/>
  <c r="I52" i="21"/>
  <c r="J52" i="21"/>
  <c r="C30" i="44"/>
  <c r="C25" i="12"/>
  <c r="C15" i="43"/>
  <c r="C27" i="43"/>
  <c r="C31" i="43"/>
  <c r="C28" i="15"/>
  <c r="C15" i="12"/>
  <c r="H1" i="65"/>
  <c r="W7" i="21"/>
  <c r="H51" i="46"/>
  <c r="X7" i="46"/>
  <c r="E17" i="46"/>
  <c r="N17" i="46"/>
  <c r="O17" i="46"/>
  <c r="M17" i="46"/>
  <c r="L17" i="46"/>
  <c r="H22" i="46"/>
  <c r="J22" i="46"/>
  <c r="P13" i="1"/>
  <c r="AP7" i="1"/>
  <c r="G13" i="1"/>
  <c r="G52" i="21"/>
  <c r="H52" i="21"/>
  <c r="E52" i="37"/>
  <c r="D46" i="36"/>
  <c r="E48" i="35"/>
  <c r="D59" i="34"/>
  <c r="G6" i="1"/>
  <c r="H70" i="46"/>
  <c r="H73" i="46"/>
  <c r="H50" i="46"/>
  <c r="H48" i="46"/>
  <c r="F35" i="46"/>
  <c r="I17" i="46"/>
  <c r="G17" i="46"/>
  <c r="C16" i="46"/>
  <c r="H63" i="46"/>
  <c r="I101" i="46"/>
  <c r="M101" i="46"/>
  <c r="N101" i="46"/>
  <c r="AC11" i="46"/>
  <c r="AC13" i="46" s="1"/>
  <c r="AD11" i="46"/>
  <c r="AD13" i="46" s="1"/>
  <c r="H64" i="46"/>
  <c r="H66" i="46"/>
  <c r="D100" i="46"/>
  <c r="H62" i="46"/>
  <c r="AF12" i="46"/>
  <c r="K100" i="46"/>
  <c r="AB12" i="46"/>
  <c r="AJ12" i="46"/>
  <c r="J101" i="46"/>
  <c r="N104" i="45"/>
  <c r="F22" i="46"/>
  <c r="Z7" i="46"/>
  <c r="E22"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c r="P22" i="46"/>
  <c r="P23" i="46"/>
  <c r="P25" i="46"/>
  <c r="B73" i="39"/>
  <c r="P24" i="46"/>
  <c r="B68" i="40"/>
  <c r="F33" i="44"/>
  <c r="F31" i="15"/>
  <c r="M17" i="15"/>
  <c r="M19" i="44"/>
  <c r="M109" i="46"/>
  <c r="K17" i="4"/>
  <c r="A22" i="51"/>
  <c r="B16" i="63"/>
  <c r="C67" i="40"/>
  <c r="D65" i="40"/>
  <c r="D58" i="33"/>
  <c r="AA7" i="21"/>
  <c r="R48" i="21"/>
  <c r="S7" i="21"/>
  <c r="D70" i="39"/>
  <c r="C72" i="39"/>
  <c r="G30" i="6"/>
  <c r="G31" i="6"/>
  <c r="E28" i="6"/>
  <c r="F13" i="59"/>
  <c r="F12" i="59"/>
  <c r="V14" i="59"/>
  <c r="D14" i="59"/>
  <c r="T14" i="59"/>
  <c r="C13" i="59"/>
  <c r="U14" i="59"/>
  <c r="E13" i="59"/>
  <c r="E12" i="59"/>
  <c r="S14" i="59"/>
  <c r="B13" i="59"/>
  <c r="B12" i="59"/>
  <c r="AA23" i="36"/>
  <c r="S23" i="36"/>
  <c r="S34" i="35"/>
  <c r="AA34" i="35"/>
  <c r="U12" i="21"/>
  <c r="AB12" i="21"/>
  <c r="S30" i="21"/>
  <c r="AA30" i="21"/>
  <c r="AA25" i="37"/>
  <c r="S25" i="37"/>
  <c r="U25" i="37"/>
  <c r="AB25" i="37"/>
  <c r="C9" i="59"/>
  <c r="T10" i="59"/>
  <c r="D10" i="59"/>
  <c r="C64" i="59"/>
  <c r="D64" i="59"/>
  <c r="D65" i="59"/>
  <c r="D57" i="59"/>
  <c r="C56" i="59"/>
  <c r="D56" i="59"/>
  <c r="N53" i="59"/>
  <c r="B52" i="59"/>
  <c r="C25" i="59"/>
  <c r="D24" i="59"/>
  <c r="C17" i="59"/>
  <c r="D16" i="59"/>
  <c r="T46" i="59"/>
  <c r="D46" i="59"/>
  <c r="Q52" i="59"/>
  <c r="Q51" i="59"/>
  <c r="T38" i="59"/>
  <c r="D38" i="59"/>
  <c r="T22" i="59"/>
  <c r="D22" i="59"/>
  <c r="AB34" i="35"/>
  <c r="U34" i="35"/>
  <c r="W30" i="21"/>
  <c r="AC30" i="21"/>
  <c r="W25" i="37"/>
  <c r="AC25" i="37"/>
  <c r="B5" i="59"/>
  <c r="M104" i="46"/>
  <c r="C5" i="46"/>
  <c r="D5" i="46"/>
  <c r="K14" i="1"/>
  <c r="M14" i="1" s="1"/>
  <c r="O14" i="1" s="1"/>
  <c r="P14" i="1" s="1"/>
  <c r="E30" i="6"/>
  <c r="F48" i="35"/>
  <c r="E46" i="36"/>
  <c r="E59" i="34"/>
  <c r="F59" i="34"/>
  <c r="G59" i="34"/>
  <c r="H59" i="34"/>
  <c r="I59" i="34"/>
  <c r="J59" i="34"/>
  <c r="K59" i="34"/>
  <c r="L59" i="34"/>
  <c r="M59" i="34"/>
  <c r="N59" i="34"/>
  <c r="O59" i="34"/>
  <c r="F52" i="37"/>
  <c r="I103" i="46"/>
  <c r="C23" i="46"/>
  <c r="C21" i="46" s="1"/>
  <c r="J104" i="46"/>
  <c r="C7" i="46"/>
  <c r="F58" i="15"/>
  <c r="E70" i="39"/>
  <c r="D72" i="39"/>
  <c r="E65" i="40"/>
  <c r="D67" i="40"/>
  <c r="G20" i="46"/>
  <c r="R49" i="21"/>
  <c r="E48" i="21"/>
  <c r="E58" i="33"/>
  <c r="N51" i="59"/>
  <c r="N52" i="59"/>
  <c r="C8" i="59"/>
  <c r="D9" i="59"/>
  <c r="C18" i="59"/>
  <c r="D17" i="59"/>
  <c r="C26" i="59"/>
  <c r="D25" i="59"/>
  <c r="D13" i="59"/>
  <c r="C12" i="59"/>
  <c r="D12" i="59"/>
  <c r="E41" i="46"/>
  <c r="C41" i="46"/>
  <c r="C20" i="46"/>
  <c r="S5" i="46"/>
  <c r="S2" i="46"/>
  <c r="T2" i="46" s="1"/>
  <c r="V2" i="46" s="1"/>
  <c r="S3" i="46"/>
  <c r="S7" i="46"/>
  <c r="T7" i="46" s="1"/>
  <c r="V7" i="46" s="1"/>
  <c r="S6" i="46"/>
  <c r="S4" i="46"/>
  <c r="T4" i="46" s="1"/>
  <c r="V4" i="46" s="1"/>
  <c r="G52" i="37"/>
  <c r="H7" i="34"/>
  <c r="J7" i="34"/>
  <c r="G48" i="35"/>
  <c r="F46" i="36"/>
  <c r="G46" i="36"/>
  <c r="H46" i="36"/>
  <c r="I46" i="36"/>
  <c r="J46" i="36"/>
  <c r="K46" i="36"/>
  <c r="L46" i="36"/>
  <c r="M46" i="36"/>
  <c r="N46" i="36"/>
  <c r="O46" i="36"/>
  <c r="F7" i="34"/>
  <c r="F58" i="33"/>
  <c r="G58" i="33"/>
  <c r="H58" i="33"/>
  <c r="I58" i="33"/>
  <c r="J58" i="33"/>
  <c r="K58" i="33"/>
  <c r="L58" i="33"/>
  <c r="M58" i="33"/>
  <c r="N58" i="33"/>
  <c r="O58" i="33"/>
  <c r="F7" i="33"/>
  <c r="J7" i="33"/>
  <c r="C49" i="21"/>
  <c r="B3" i="21"/>
  <c r="B2" i="21"/>
  <c r="C48" i="21"/>
  <c r="H7" i="33"/>
  <c r="I53" i="21"/>
  <c r="J53" i="21"/>
  <c r="E53" i="21"/>
  <c r="F53" i="21"/>
  <c r="E52" i="21"/>
  <c r="F52" i="21"/>
  <c r="E67" i="40"/>
  <c r="F65" i="40"/>
  <c r="E72" i="39"/>
  <c r="F70" i="39"/>
  <c r="F7" i="36"/>
  <c r="S7" i="36"/>
  <c r="T26" i="59"/>
  <c r="D26" i="59"/>
  <c r="T18" i="59"/>
  <c r="D18" i="59"/>
  <c r="D8" i="59"/>
  <c r="C7" i="59"/>
  <c r="AA7" i="36"/>
  <c r="R36" i="36"/>
  <c r="H48" i="35"/>
  <c r="W7" i="34"/>
  <c r="AC7" i="34"/>
  <c r="V49" i="34"/>
  <c r="I49" i="34"/>
  <c r="S7" i="34"/>
  <c r="AA7" i="34"/>
  <c r="R49" i="34"/>
  <c r="H7" i="36"/>
  <c r="AB7" i="34"/>
  <c r="T49" i="34"/>
  <c r="G49" i="34"/>
  <c r="U7" i="34"/>
  <c r="H52" i="37"/>
  <c r="J7" i="36"/>
  <c r="F72" i="39"/>
  <c r="G70" i="39"/>
  <c r="F67" i="40"/>
  <c r="G65" i="40"/>
  <c r="S7" i="33"/>
  <c r="AA7" i="33"/>
  <c r="R48" i="33"/>
  <c r="U7" i="33"/>
  <c r="AB7" i="33"/>
  <c r="T48" i="33"/>
  <c r="G48" i="33"/>
  <c r="AC7" i="33"/>
  <c r="V48" i="33"/>
  <c r="I48" i="33"/>
  <c r="W7" i="33"/>
  <c r="C6" i="59"/>
  <c r="D7" i="59"/>
  <c r="W7" i="36"/>
  <c r="AC7" i="36"/>
  <c r="V36" i="36"/>
  <c r="I36" i="36"/>
  <c r="I52" i="37"/>
  <c r="G54" i="34"/>
  <c r="H54" i="34"/>
  <c r="G53" i="34"/>
  <c r="H53" i="34"/>
  <c r="R50" i="34"/>
  <c r="E49" i="34"/>
  <c r="I53" i="34"/>
  <c r="J53" i="34"/>
  <c r="I54" i="34"/>
  <c r="J54" i="34"/>
  <c r="AB7" i="36"/>
  <c r="T36" i="36"/>
  <c r="G36" i="36"/>
  <c r="U7" i="36"/>
  <c r="I48" i="35"/>
  <c r="E36" i="36"/>
  <c r="R37" i="36"/>
  <c r="G53" i="33"/>
  <c r="H53" i="33"/>
  <c r="G52" i="33"/>
  <c r="H52" i="33"/>
  <c r="R49" i="33"/>
  <c r="E48" i="33"/>
  <c r="G67" i="40"/>
  <c r="H65" i="40"/>
  <c r="H70" i="39"/>
  <c r="G72" i="39"/>
  <c r="I52" i="33"/>
  <c r="J52" i="33"/>
  <c r="I53" i="33"/>
  <c r="J53" i="33"/>
  <c r="T6" i="59"/>
  <c r="D6" i="59"/>
  <c r="M20" i="46"/>
  <c r="C19" i="46"/>
  <c r="C5" i="59"/>
  <c r="D5" i="5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I65" i="40"/>
  <c r="H67" i="40"/>
  <c r="E52" i="33"/>
  <c r="F52" i="33"/>
  <c r="E53" i="33"/>
  <c r="F53" i="33"/>
  <c r="H72" i="39"/>
  <c r="I70" i="39"/>
  <c r="C49" i="33"/>
  <c r="B3" i="33"/>
  <c r="B2" i="33"/>
  <c r="C48" i="33"/>
  <c r="C34" i="46"/>
  <c r="C36" i="46"/>
  <c r="C37" i="46"/>
  <c r="C33" i="46"/>
  <c r="C39" i="46"/>
  <c r="T6" i="46"/>
  <c r="V6" i="46" s="1"/>
  <c r="T5" i="46"/>
  <c r="V5" i="46" s="1"/>
  <c r="C38" i="46"/>
  <c r="T9" i="46"/>
  <c r="V9" i="46"/>
  <c r="T15" i="46"/>
  <c r="V15" i="46"/>
  <c r="C29" i="46"/>
  <c r="E29" i="46" s="1"/>
  <c r="C26" i="46" s="1"/>
  <c r="B2" i="46" s="1"/>
  <c r="T8" i="46"/>
  <c r="V8" i="46"/>
  <c r="T11" i="46"/>
  <c r="V11" i="46"/>
  <c r="T3" i="46"/>
  <c r="V3" i="46" s="1"/>
  <c r="C35" i="46"/>
  <c r="T16" i="46"/>
  <c r="V16" i="46"/>
  <c r="T14" i="46"/>
  <c r="V14" i="46"/>
  <c r="T12" i="46"/>
  <c r="V12" i="46"/>
  <c r="T13" i="46"/>
  <c r="V13" i="46"/>
  <c r="T10" i="46"/>
  <c r="V10" i="46"/>
  <c r="K48" i="35"/>
  <c r="L48" i="35"/>
  <c r="M48" i="35"/>
  <c r="N48" i="35"/>
  <c r="O48" i="35"/>
  <c r="K52" i="37"/>
  <c r="J70" i="39"/>
  <c r="I72" i="39"/>
  <c r="I67" i="40"/>
  <c r="J65" i="40"/>
  <c r="E35" i="46"/>
  <c r="G35" i="46"/>
  <c r="I35" i="46"/>
  <c r="E38" i="46"/>
  <c r="G38" i="46"/>
  <c r="I38" i="46"/>
  <c r="E33" i="46"/>
  <c r="G33" i="46"/>
  <c r="I33" i="46"/>
  <c r="E36" i="46"/>
  <c r="G36" i="46"/>
  <c r="I36" i="46"/>
  <c r="J7" i="35"/>
  <c r="G39" i="46"/>
  <c r="I39" i="46"/>
  <c r="E39" i="46"/>
  <c r="G37" i="46"/>
  <c r="I37" i="46"/>
  <c r="E37" i="46"/>
  <c r="E34" i="46"/>
  <c r="G34" i="46"/>
  <c r="I34" i="46"/>
  <c r="AC7" i="35"/>
  <c r="V38" i="35"/>
  <c r="I38" i="35"/>
  <c r="W7" i="35"/>
  <c r="L52" i="37"/>
  <c r="F7" i="35"/>
  <c r="H7" i="35"/>
  <c r="K65" i="40"/>
  <c r="J67" i="40"/>
  <c r="J72" i="39"/>
  <c r="K70" i="39"/>
  <c r="AB7" i="35"/>
  <c r="T38" i="35"/>
  <c r="G38" i="35"/>
  <c r="U7" i="35"/>
  <c r="AA7" i="35"/>
  <c r="R38" i="35"/>
  <c r="S7" i="35"/>
  <c r="M52" i="37"/>
  <c r="I42" i="35"/>
  <c r="J42" i="35"/>
  <c r="K72" i="39"/>
  <c r="L70" i="39"/>
  <c r="L65" i="40"/>
  <c r="K67" i="40"/>
  <c r="N52" i="37"/>
  <c r="O52" i="37"/>
  <c r="R39" i="35"/>
  <c r="E38" i="35"/>
  <c r="G42" i="35"/>
  <c r="H42" i="35"/>
  <c r="G43" i="35"/>
  <c r="H43" i="35"/>
  <c r="L72" i="39"/>
  <c r="M70" i="39"/>
  <c r="F7" i="37"/>
  <c r="M65" i="40"/>
  <c r="L67" i="40"/>
  <c r="AA7" i="37"/>
  <c r="R42" i="37"/>
  <c r="S7" i="37"/>
  <c r="E43" i="35"/>
  <c r="F43" i="35"/>
  <c r="E42" i="35"/>
  <c r="F42" i="35"/>
  <c r="I43" i="35"/>
  <c r="J43" i="35"/>
  <c r="C39" i="35"/>
  <c r="B3" i="35"/>
  <c r="B2" i="35"/>
  <c r="C38" i="35"/>
  <c r="H7" i="37"/>
  <c r="J7" i="37"/>
  <c r="M67" i="40"/>
  <c r="N65" i="40"/>
  <c r="N67" i="40"/>
  <c r="M72" i="39"/>
  <c r="N70" i="39"/>
  <c r="N72" i="39"/>
  <c r="J9" i="39"/>
  <c r="W9" i="39" s="1"/>
  <c r="W7" i="37"/>
  <c r="AC7" i="37"/>
  <c r="V42" i="37"/>
  <c r="I42" i="37"/>
  <c r="AB7" i="37"/>
  <c r="T42" i="37"/>
  <c r="G42" i="37"/>
  <c r="U7" i="37"/>
  <c r="E42" i="37"/>
  <c r="R43" i="37"/>
  <c r="F9" i="39"/>
  <c r="F9" i="40"/>
  <c r="H9" i="40"/>
  <c r="J9" i="40"/>
  <c r="C43" i="37"/>
  <c r="B3" i="37"/>
  <c r="B2" i="37"/>
  <c r="C42" i="37"/>
  <c r="I46" i="37"/>
  <c r="J46" i="37"/>
  <c r="I47" i="37"/>
  <c r="J47" i="37"/>
  <c r="E47" i="37"/>
  <c r="F47" i="37"/>
  <c r="E46" i="37"/>
  <c r="F46" i="37"/>
  <c r="G46" i="37"/>
  <c r="H46" i="37"/>
  <c r="G47" i="37"/>
  <c r="H47" i="37"/>
  <c r="AB9" i="40"/>
  <c r="T44" i="40"/>
  <c r="G44" i="40" s="1"/>
  <c r="U9" i="40"/>
  <c r="AC9" i="40"/>
  <c r="V44" i="40"/>
  <c r="I44" i="40" s="1"/>
  <c r="W9" i="40"/>
  <c r="AA9" i="40"/>
  <c r="R44" i="40"/>
  <c r="E44" i="40" s="1"/>
  <c r="S9" i="40"/>
  <c r="AA9" i="39"/>
  <c r="S9" i="39"/>
  <c r="R45" i="40"/>
  <c r="C45" i="40" s="1"/>
  <c r="M26" i="44"/>
  <c r="N5" i="65"/>
  <c r="M31" i="44"/>
  <c r="F26" i="15"/>
  <c r="M28" i="15"/>
  <c r="B8" i="67"/>
  <c r="F10" i="44"/>
  <c r="M24" i="44"/>
  <c r="F6" i="15"/>
  <c r="F36" i="15"/>
  <c r="M8" i="15"/>
  <c r="J7" i="65"/>
  <c r="F13" i="67"/>
  <c r="M28" i="44"/>
  <c r="F38" i="15"/>
  <c r="E12" i="67"/>
  <c r="E8" i="67"/>
  <c r="F12" i="67"/>
  <c r="M23" i="44"/>
  <c r="F45" i="44"/>
  <c r="M29" i="44"/>
  <c r="I6" i="65"/>
  <c r="F40" i="15"/>
  <c r="N7" i="65"/>
  <c r="F42" i="15"/>
  <c r="M9" i="15"/>
  <c r="L47" i="15"/>
  <c r="M23" i="15"/>
  <c r="I4" i="65"/>
  <c r="N6" i="65"/>
  <c r="M11" i="44"/>
  <c r="B11" i="67"/>
  <c r="I3" i="65"/>
  <c r="F37" i="44"/>
  <c r="J4" i="65"/>
  <c r="F43" i="44"/>
  <c r="F16" i="15"/>
  <c r="F39" i="44"/>
  <c r="F37" i="15"/>
  <c r="I5" i="65"/>
  <c r="J15" i="15"/>
  <c r="F11" i="67"/>
  <c r="M8" i="44"/>
  <c r="I7" i="65"/>
  <c r="B10" i="67"/>
  <c r="F8" i="67"/>
  <c r="J6" i="65"/>
  <c r="F9" i="15"/>
  <c r="B9" i="67"/>
  <c r="F38" i="44"/>
  <c r="E13" i="67"/>
  <c r="J3" i="65"/>
  <c r="F11" i="44"/>
  <c r="B13" i="67"/>
  <c r="M24" i="15"/>
  <c r="J17" i="44"/>
  <c r="M22" i="15"/>
  <c r="E14" i="67"/>
  <c r="F8" i="15"/>
  <c r="N3" i="65"/>
  <c r="B12" i="67"/>
  <c r="E9" i="67"/>
  <c r="E10" i="67"/>
  <c r="L49" i="44"/>
  <c r="F8" i="44"/>
  <c r="J36" i="15"/>
  <c r="M30" i="44"/>
  <c r="J5" i="65"/>
  <c r="M6" i="15"/>
  <c r="B14" i="67"/>
  <c r="M27" i="15"/>
  <c r="L48" i="44"/>
  <c r="E11" i="67"/>
  <c r="F40" i="44"/>
  <c r="F28" i="44"/>
  <c r="M10" i="44"/>
  <c r="F46" i="44"/>
  <c r="C19" i="44"/>
  <c r="B7" i="67"/>
  <c r="F14" i="67"/>
  <c r="M25" i="44"/>
  <c r="F10" i="67"/>
  <c r="F18" i="44"/>
  <c r="F15" i="44"/>
  <c r="F13" i="15"/>
  <c r="M26" i="15"/>
  <c r="N4" i="65"/>
  <c r="F9" i="44"/>
  <c r="L48" i="15"/>
  <c r="F9" i="67"/>
  <c r="C44" i="40" l="1"/>
  <c r="P75" i="15"/>
  <c r="G55" i="39"/>
  <c r="H55" i="39" s="1"/>
  <c r="T48" i="39"/>
  <c r="R48" i="39"/>
  <c r="E55" i="39"/>
  <c r="F55" i="39" s="1"/>
  <c r="AC9" i="39"/>
  <c r="U9" i="39"/>
  <c r="AB9" i="39"/>
  <c r="N107" i="46"/>
  <c r="N106" i="46"/>
  <c r="I109" i="46"/>
  <c r="I107" i="46"/>
  <c r="F40" i="39"/>
  <c r="H40" i="39"/>
  <c r="J40" i="39"/>
  <c r="N102" i="46"/>
  <c r="I104" i="46"/>
  <c r="I13" i="3"/>
  <c r="O10" i="68"/>
  <c r="B3" i="46"/>
  <c r="D4" i="46"/>
  <c r="B4" i="46"/>
  <c r="C30" i="46"/>
  <c r="E30" i="46" s="1"/>
  <c r="C27" i="46" s="1"/>
  <c r="J107" i="46"/>
  <c r="J102" i="46"/>
  <c r="J103" i="46"/>
  <c r="J106" i="46"/>
  <c r="J105" i="46"/>
  <c r="J109" i="46"/>
  <c r="O12" i="1"/>
  <c r="P12" i="1" s="1"/>
  <c r="O8" i="1"/>
  <c r="P8" i="1" s="1"/>
  <c r="O10" i="1"/>
  <c r="P10" i="1" s="1"/>
  <c r="O7" i="1"/>
  <c r="P7" i="1"/>
  <c r="O9" i="1"/>
  <c r="P9" i="1"/>
  <c r="O11" i="1"/>
  <c r="P11" i="1"/>
  <c r="M107" i="46"/>
  <c r="M103" i="46"/>
  <c r="M106" i="46"/>
  <c r="M102" i="46"/>
  <c r="M105" i="46"/>
  <c r="N105" i="46"/>
  <c r="N104" i="46"/>
  <c r="N109" i="46"/>
  <c r="N103" i="46"/>
  <c r="I102" i="46"/>
  <c r="I106" i="46"/>
  <c r="I105" i="46"/>
  <c r="Y11" i="46"/>
  <c r="Y13" i="46" s="1"/>
  <c r="H101" i="46"/>
  <c r="G22" i="46"/>
  <c r="D22" i="46" s="1"/>
  <c r="F101" i="46"/>
  <c r="D101" i="46"/>
  <c r="AJ11" i="46"/>
  <c r="AJ13" i="46" s="1"/>
  <c r="C101" i="46"/>
  <c r="G101" i="46"/>
  <c r="B113" i="46"/>
  <c r="L101" i="46"/>
  <c r="E101" i="46"/>
  <c r="K101" i="46"/>
  <c r="AG11" i="46"/>
  <c r="AG13" i="46" s="1"/>
  <c r="Z11" i="46"/>
  <c r="Z13" i="46" s="1"/>
  <c r="AH11" i="46"/>
  <c r="AH13" i="46" s="1"/>
  <c r="B21" i="63"/>
  <c r="E15" i="52"/>
  <c r="AB43" i="39"/>
  <c r="S15" i="39"/>
  <c r="AA15" i="39"/>
  <c r="J15" i="39"/>
  <c r="H15" i="39"/>
  <c r="AA46" i="39"/>
  <c r="S46" i="39"/>
  <c r="S47" i="39"/>
  <c r="U47" i="39"/>
  <c r="AC44" i="39"/>
  <c r="W45" i="39"/>
  <c r="AC47" i="39"/>
  <c r="J46" i="39"/>
  <c r="H46" i="39"/>
  <c r="I49" i="40"/>
  <c r="J49" i="40" s="1"/>
  <c r="I48" i="40"/>
  <c r="J48" i="40" s="1"/>
  <c r="B53" i="40"/>
  <c r="B57" i="40"/>
  <c r="F57" i="40" s="1"/>
  <c r="B56" i="40"/>
  <c r="F56" i="40" s="1"/>
  <c r="B60" i="40"/>
  <c r="B61" i="40"/>
  <c r="B58" i="40"/>
  <c r="B59" i="40"/>
  <c r="B54" i="40"/>
  <c r="F54" i="40" s="1"/>
  <c r="B55" i="40"/>
  <c r="F55" i="40" s="1"/>
  <c r="B62" i="40"/>
  <c r="E48" i="40"/>
  <c r="F48" i="40" s="1"/>
  <c r="E49" i="40"/>
  <c r="F49" i="40" s="1"/>
  <c r="G48" i="40"/>
  <c r="H48" i="40" s="1"/>
  <c r="G49" i="40"/>
  <c r="H49" i="40" s="1"/>
  <c r="B8" i="52"/>
  <c r="E22" i="52"/>
  <c r="E16" i="52"/>
  <c r="B4" i="52"/>
  <c r="E6" i="52"/>
  <c r="E10" i="52"/>
  <c r="B9" i="52"/>
  <c r="B14" i="52"/>
  <c r="E17" i="52"/>
  <c r="B10" i="52"/>
  <c r="B7" i="52"/>
  <c r="B6" i="52"/>
  <c r="B2" i="67"/>
  <c r="Q73" i="44"/>
  <c r="J1" i="65"/>
  <c r="J53" i="15"/>
  <c r="J57" i="15"/>
  <c r="J55" i="15" s="1"/>
  <c r="J58" i="15" s="1"/>
  <c r="Q51" i="15" s="1"/>
  <c r="L56" i="15"/>
  <c r="I54" i="15"/>
  <c r="J59" i="15"/>
  <c r="L57" i="15"/>
  <c r="J60" i="15"/>
  <c r="Q49" i="15" s="1"/>
  <c r="L60" i="15"/>
  <c r="L46" i="15"/>
  <c r="E20" i="46"/>
  <c r="C8" i="44"/>
  <c r="C4" i="65"/>
  <c r="B39" i="1" s="1"/>
  <c r="F64" i="15"/>
  <c r="L59" i="44"/>
  <c r="L60" i="44"/>
  <c r="F50" i="15"/>
  <c r="F65" i="15"/>
  <c r="F67" i="15"/>
  <c r="I1" i="65"/>
  <c r="C27" i="15"/>
  <c r="C36" i="44"/>
  <c r="C29" i="44"/>
  <c r="L59" i="15"/>
  <c r="L58" i="15"/>
  <c r="J22" i="44"/>
  <c r="M9" i="44"/>
  <c r="J8" i="44" s="1"/>
  <c r="F63" i="15"/>
  <c r="J54" i="44"/>
  <c r="J58" i="44"/>
  <c r="J56" i="44" s="1"/>
  <c r="J59" i="44" s="1"/>
  <c r="Q52" i="44" s="1"/>
  <c r="L57" i="44"/>
  <c r="J60" i="44"/>
  <c r="J61" i="44"/>
  <c r="Q50" i="44" s="1"/>
  <c r="I55" i="44"/>
  <c r="Q72" i="15"/>
  <c r="B15" i="52"/>
  <c r="E7" i="52"/>
  <c r="E4" i="52"/>
  <c r="E5" i="52"/>
  <c r="B22" i="52"/>
  <c r="B11" i="52"/>
  <c r="E9" i="52"/>
  <c r="E4" i="4" s="1"/>
  <c r="B21" i="55" s="1"/>
  <c r="B72" i="63" s="1"/>
  <c r="E11" i="52"/>
  <c r="E13" i="52"/>
  <c r="C4" i="4" s="1"/>
  <c r="B20" i="55" s="1"/>
  <c r="B70" i="63" s="1"/>
  <c r="E8" i="52"/>
  <c r="B5" i="52"/>
  <c r="B16" i="52"/>
  <c r="B13" i="52"/>
  <c r="E21" i="52"/>
  <c r="E2" i="65"/>
  <c r="E3" i="65"/>
  <c r="C18" i="44"/>
  <c r="F19" i="6" l="1"/>
  <c r="E19" i="6" s="1"/>
  <c r="BB13" i="3"/>
  <c r="H13" i="3"/>
  <c r="I5" i="3"/>
  <c r="U40" i="39"/>
  <c r="AB40" i="39"/>
  <c r="AC40" i="39"/>
  <c r="W40" i="39"/>
  <c r="AA40" i="39"/>
  <c r="S40" i="39"/>
  <c r="K103" i="46"/>
  <c r="K106" i="46"/>
  <c r="K105" i="46"/>
  <c r="K102" i="46"/>
  <c r="K104" i="46"/>
  <c r="K109" i="46"/>
  <c r="K107" i="46"/>
  <c r="L102" i="46"/>
  <c r="L104" i="46"/>
  <c r="L109" i="46"/>
  <c r="L103" i="46"/>
  <c r="L105" i="46"/>
  <c r="L106" i="46"/>
  <c r="L107" i="46"/>
  <c r="G103" i="46"/>
  <c r="G102" i="46"/>
  <c r="G105" i="46"/>
  <c r="G109" i="46"/>
  <c r="G106" i="46"/>
  <c r="G107" i="46"/>
  <c r="G104" i="46"/>
  <c r="F109" i="46"/>
  <c r="F105" i="46"/>
  <c r="F107" i="46"/>
  <c r="F102" i="46"/>
  <c r="F104" i="46"/>
  <c r="F103" i="46"/>
  <c r="F106" i="46"/>
  <c r="H105" i="46"/>
  <c r="H104" i="46"/>
  <c r="H107" i="46"/>
  <c r="H109" i="46"/>
  <c r="H106" i="46"/>
  <c r="H102" i="46"/>
  <c r="H103" i="46"/>
  <c r="E104" i="46"/>
  <c r="E105" i="46"/>
  <c r="E102" i="46"/>
  <c r="E109" i="46"/>
  <c r="E103" i="46"/>
  <c r="E106" i="46"/>
  <c r="E107" i="46"/>
  <c r="I115" i="46"/>
  <c r="J115" i="46" s="1"/>
  <c r="K115" i="46" s="1"/>
  <c r="L115" i="46" s="1"/>
  <c r="M115" i="46" s="1"/>
  <c r="B115" i="46"/>
  <c r="B116" i="46"/>
  <c r="C116" i="46" s="1"/>
  <c r="D117" i="46"/>
  <c r="E117" i="46" s="1"/>
  <c r="F117" i="46" s="1"/>
  <c r="G117" i="46" s="1"/>
  <c r="H117" i="46" s="1"/>
  <c r="D115" i="46"/>
  <c r="E115" i="46" s="1"/>
  <c r="F115" i="46" s="1"/>
  <c r="G115" i="46" s="1"/>
  <c r="H115" i="46" s="1"/>
  <c r="G118" i="46"/>
  <c r="H118" i="46" s="1"/>
  <c r="B117" i="46"/>
  <c r="C117" i="46" s="1"/>
  <c r="B118" i="46"/>
  <c r="C118" i="46" s="1"/>
  <c r="I116" i="46"/>
  <c r="J116" i="46" s="1"/>
  <c r="K116" i="46" s="1"/>
  <c r="L116" i="46" s="1"/>
  <c r="M116" i="46" s="1"/>
  <c r="D116" i="46"/>
  <c r="E116" i="46" s="1"/>
  <c r="F116" i="46" s="1"/>
  <c r="G116" i="46" s="1"/>
  <c r="H116" i="46" s="1"/>
  <c r="D118" i="46"/>
  <c r="E118" i="46" s="1"/>
  <c r="F118" i="46" s="1"/>
  <c r="I117" i="46"/>
  <c r="J117" i="46" s="1"/>
  <c r="K117" i="46" s="1"/>
  <c r="L117" i="46" s="1"/>
  <c r="M117" i="46" s="1"/>
  <c r="I118" i="46"/>
  <c r="J118" i="46" s="1"/>
  <c r="K118" i="46" s="1"/>
  <c r="L118" i="46" s="1"/>
  <c r="M118" i="46" s="1"/>
  <c r="C109" i="46"/>
  <c r="C104" i="46"/>
  <c r="C103" i="46"/>
  <c r="C106" i="46"/>
  <c r="C102" i="46"/>
  <c r="C107" i="46"/>
  <c r="C105" i="46"/>
  <c r="D103" i="46"/>
  <c r="D109" i="46"/>
  <c r="D106" i="46"/>
  <c r="D107" i="46"/>
  <c r="D104" i="46"/>
  <c r="D105" i="46"/>
  <c r="D102" i="46"/>
  <c r="AB15" i="39"/>
  <c r="U15" i="39"/>
  <c r="AC15" i="39"/>
  <c r="W15" i="39"/>
  <c r="W46" i="39"/>
  <c r="AC46" i="39"/>
  <c r="AB46" i="39"/>
  <c r="U46" i="39"/>
  <c r="L47" i="44"/>
  <c r="B40" i="1"/>
  <c r="F17" i="11"/>
  <c r="C17" i="11" s="1"/>
  <c r="F1" i="44"/>
  <c r="Q54" i="44"/>
  <c r="Q75" i="15"/>
  <c r="Q62" i="15"/>
  <c r="Q63" i="44"/>
  <c r="Q76" i="44"/>
  <c r="M11" i="15"/>
  <c r="J10" i="15" s="1"/>
  <c r="F11" i="15"/>
  <c r="C52" i="15" s="1"/>
  <c r="M13" i="44"/>
  <c r="J12" i="44" s="1"/>
  <c r="J7" i="44" s="1"/>
  <c r="F13" i="44"/>
  <c r="C12" i="44" s="1"/>
  <c r="C7" i="44" s="1"/>
  <c r="O28" i="46"/>
  <c r="M28" i="46"/>
  <c r="P28" i="46"/>
  <c r="N28" i="46"/>
  <c r="F1" i="15"/>
  <c r="Q53" i="15"/>
  <c r="Q61" i="15"/>
  <c r="Q74" i="15"/>
  <c r="Q62" i="44"/>
  <c r="Q75" i="44"/>
  <c r="Q58" i="15"/>
  <c r="Q67" i="15"/>
  <c r="F7" i="67"/>
  <c r="AE6" i="1"/>
  <c r="I4" i="6" l="1"/>
  <c r="BB5" i="3"/>
  <c r="BA13" i="3"/>
  <c r="G13" i="3"/>
  <c r="H5" i="3"/>
  <c r="K6" i="1"/>
  <c r="C9" i="12"/>
  <c r="E4" i="67"/>
  <c r="B4" i="67" s="1"/>
  <c r="C115" i="46"/>
  <c r="C40" i="44"/>
  <c r="C34" i="44"/>
  <c r="J20" i="44"/>
  <c r="J28" i="44"/>
  <c r="J31" i="44" s="1"/>
  <c r="J26" i="44"/>
  <c r="F26" i="44"/>
  <c r="C26" i="44" s="1"/>
  <c r="F26" i="12"/>
  <c r="C27" i="12" s="1"/>
  <c r="D26" i="12" s="1"/>
  <c r="C32" i="12" s="1"/>
  <c r="D30" i="12" s="1"/>
  <c r="F24" i="15"/>
  <c r="C24" i="15" s="1"/>
  <c r="F21" i="43"/>
  <c r="F7" i="15"/>
  <c r="E7" i="67"/>
  <c r="L52" i="44"/>
  <c r="F41" i="15"/>
  <c r="M29" i="15"/>
  <c r="F43" i="15"/>
  <c r="F70" i="15" l="1"/>
  <c r="M7" i="15"/>
  <c r="J6" i="15" s="1"/>
  <c r="J5" i="15" s="1"/>
  <c r="J26" i="15" s="1"/>
  <c r="F49" i="15"/>
  <c r="C48" i="15" s="1"/>
  <c r="C47" i="15" s="1"/>
  <c r="C6" i="15"/>
  <c r="C10" i="15" s="1"/>
  <c r="C5" i="15" s="1"/>
  <c r="C38" i="15" s="1"/>
  <c r="BA5" i="3"/>
  <c r="E27" i="6" s="1"/>
  <c r="AZ13" i="3"/>
  <c r="AZ5" i="3" s="1"/>
  <c r="M6" i="1"/>
  <c r="G16" i="1"/>
  <c r="K16" i="1"/>
  <c r="AP16" i="1"/>
  <c r="F22" i="11" s="1"/>
  <c r="Q16" i="1"/>
  <c r="H16" i="1"/>
  <c r="G5" i="3"/>
  <c r="B3" i="3" s="1"/>
  <c r="E13" i="3"/>
  <c r="E14" i="6"/>
  <c r="E11" i="6"/>
  <c r="E12" i="6"/>
  <c r="E8" i="6"/>
  <c r="E10" i="6"/>
  <c r="E15" i="6"/>
  <c r="E13" i="6"/>
  <c r="J24" i="15"/>
  <c r="E3" i="67"/>
  <c r="B3" i="67" s="1"/>
  <c r="D113" i="46"/>
  <c r="C65" i="15"/>
  <c r="C33" i="15"/>
  <c r="F68" i="15"/>
  <c r="J29" i="15"/>
  <c r="Q69" i="44"/>
  <c r="L58" i="44"/>
  <c r="L61" i="44" s="1"/>
  <c r="C23" i="43"/>
  <c r="D21" i="43" s="1"/>
  <c r="Q58" i="44"/>
  <c r="Q67" i="44"/>
  <c r="Q49" i="44"/>
  <c r="Q55" i="44" s="1"/>
  <c r="C16" i="15"/>
  <c r="C32" i="15" l="1"/>
  <c r="J18" i="15"/>
  <c r="E65" i="39"/>
  <c r="E60" i="40"/>
  <c r="F60" i="40" s="1"/>
  <c r="E59" i="40"/>
  <c r="F59" i="40" s="1"/>
  <c r="E64" i="39"/>
  <c r="E67" i="39"/>
  <c r="E62" i="40"/>
  <c r="F62" i="40" s="1"/>
  <c r="E53" i="40"/>
  <c r="F53" i="40" s="1"/>
  <c r="F27" i="6"/>
  <c r="F31" i="6" s="1"/>
  <c r="E58" i="39"/>
  <c r="E16" i="6"/>
  <c r="E58" i="40"/>
  <c r="F58" i="40" s="1"/>
  <c r="E63" i="39"/>
  <c r="H12" i="39"/>
  <c r="J12" i="39"/>
  <c r="H12" i="40"/>
  <c r="F12" i="39"/>
  <c r="J12" i="40"/>
  <c r="F12" i="40"/>
  <c r="E3" i="6"/>
  <c r="AY6" i="3"/>
  <c r="E66" i="39"/>
  <c r="E61" i="40"/>
  <c r="F61" i="40" s="1"/>
  <c r="E381" i="3"/>
  <c r="E278" i="3"/>
  <c r="E376" i="3"/>
  <c r="E21" i="3"/>
  <c r="E140" i="3"/>
  <c r="E218" i="3"/>
  <c r="E110" i="3"/>
  <c r="E174" i="3"/>
  <c r="E98" i="3"/>
  <c r="E398" i="3"/>
  <c r="E37" i="3"/>
  <c r="E203" i="3"/>
  <c r="E172" i="3"/>
  <c r="E417" i="3"/>
  <c r="E279" i="3"/>
  <c r="E400" i="3"/>
  <c r="E197" i="3"/>
  <c r="E61" i="3"/>
  <c r="E529" i="3"/>
  <c r="E379" i="3"/>
  <c r="E538" i="3"/>
  <c r="E217" i="3"/>
  <c r="E277" i="3"/>
  <c r="E432" i="3"/>
  <c r="E153" i="3"/>
  <c r="E339" i="3"/>
  <c r="E14" i="3"/>
  <c r="E118" i="3"/>
  <c r="E378" i="3"/>
  <c r="E364" i="3"/>
  <c r="E342" i="3"/>
  <c r="E384" i="3"/>
  <c r="E310" i="3"/>
  <c r="E487" i="3"/>
  <c r="AB6" i="3"/>
  <c r="S6" i="3"/>
  <c r="E511" i="3"/>
  <c r="E377" i="3"/>
  <c r="E358" i="3"/>
  <c r="E20" i="3"/>
  <c r="E411" i="3"/>
  <c r="E41" i="3"/>
  <c r="E418" i="3"/>
  <c r="E92" i="3"/>
  <c r="E414" i="3"/>
  <c r="E202" i="3"/>
  <c r="E131" i="3"/>
  <c r="E304" i="3"/>
  <c r="E165" i="3"/>
  <c r="E404" i="3"/>
  <c r="E30" i="3"/>
  <c r="E441" i="3"/>
  <c r="E367" i="3"/>
  <c r="E415" i="3"/>
  <c r="E80" i="3"/>
  <c r="E28" i="3"/>
  <c r="E141" i="3"/>
  <c r="E168" i="3"/>
  <c r="E34" i="3"/>
  <c r="E407" i="3"/>
  <c r="E550" i="3"/>
  <c r="E136" i="3"/>
  <c r="E85" i="3"/>
  <c r="E332" i="3"/>
  <c r="E139" i="3"/>
  <c r="E445" i="3"/>
  <c r="E556" i="3"/>
  <c r="E291" i="3"/>
  <c r="E427" i="3"/>
  <c r="E294" i="3"/>
  <c r="E343" i="3"/>
  <c r="E63" i="3"/>
  <c r="E422" i="3"/>
  <c r="E303" i="3"/>
  <c r="E255" i="3"/>
  <c r="E347" i="3"/>
  <c r="E285" i="3"/>
  <c r="E300" i="3"/>
  <c r="E403" i="3"/>
  <c r="E385" i="3"/>
  <c r="E210" i="3"/>
  <c r="E169" i="3"/>
  <c r="E163" i="3"/>
  <c r="AL6" i="3"/>
  <c r="E567" i="3"/>
  <c r="E26" i="3"/>
  <c r="E17" i="3"/>
  <c r="E509" i="3"/>
  <c r="E250" i="3"/>
  <c r="E408" i="3"/>
  <c r="E44" i="3"/>
  <c r="E237" i="3"/>
  <c r="E100" i="3"/>
  <c r="E223" i="3"/>
  <c r="E399" i="3"/>
  <c r="E317" i="3"/>
  <c r="E179" i="3"/>
  <c r="E444" i="3"/>
  <c r="E247" i="3"/>
  <c r="E539" i="3"/>
  <c r="E52" i="3"/>
  <c r="U6" i="3"/>
  <c r="E527" i="3"/>
  <c r="E365" i="3"/>
  <c r="E248" i="3"/>
  <c r="E336" i="3"/>
  <c r="AR6" i="3"/>
  <c r="E65" i="3"/>
  <c r="E513" i="3"/>
  <c r="E345" i="3"/>
  <c r="E72" i="3"/>
  <c r="E440" i="3"/>
  <c r="E331" i="3"/>
  <c r="E362" i="3"/>
  <c r="E150" i="3"/>
  <c r="E314" i="3"/>
  <c r="E502" i="3"/>
  <c r="E396" i="3"/>
  <c r="E392" i="3"/>
  <c r="E360" i="3"/>
  <c r="E144" i="3"/>
  <c r="E506" i="3"/>
  <c r="E497" i="3"/>
  <c r="E553" i="3"/>
  <c r="E563" i="3"/>
  <c r="E268" i="3"/>
  <c r="E565" i="3"/>
  <c r="K6" i="3"/>
  <c r="E50" i="3"/>
  <c r="E474" i="3"/>
  <c r="E354" i="3"/>
  <c r="E495" i="3"/>
  <c r="E335" i="3"/>
  <c r="E330" i="3"/>
  <c r="E496" i="3"/>
  <c r="E138" i="3"/>
  <c r="E252" i="3"/>
  <c r="E523" i="3"/>
  <c r="E476" i="3"/>
  <c r="E114" i="3"/>
  <c r="E93" i="3"/>
  <c r="E55" i="3"/>
  <c r="E570" i="3"/>
  <c r="E409" i="3"/>
  <c r="E124" i="3"/>
  <c r="E388" i="3"/>
  <c r="E146" i="3"/>
  <c r="E434" i="3"/>
  <c r="E57" i="3"/>
  <c r="E475" i="3"/>
  <c r="E206" i="3"/>
  <c r="E535" i="3"/>
  <c r="E94" i="3"/>
  <c r="E64" i="3"/>
  <c r="E442" i="3"/>
  <c r="E129" i="3"/>
  <c r="E533" i="3"/>
  <c r="E402" i="3"/>
  <c r="E145" i="3"/>
  <c r="E58" i="3"/>
  <c r="E433" i="3"/>
  <c r="E530" i="3"/>
  <c r="E16" i="3"/>
  <c r="E90" i="3"/>
  <c r="E106" i="3"/>
  <c r="E226" i="3"/>
  <c r="E351" i="3"/>
  <c r="E371" i="3"/>
  <c r="E329" i="3"/>
  <c r="E322" i="3"/>
  <c r="E18" i="3"/>
  <c r="E564" i="3"/>
  <c r="E471" i="3"/>
  <c r="E238" i="3"/>
  <c r="E36" i="3"/>
  <c r="E428" i="3"/>
  <c r="E374" i="3"/>
  <c r="E205" i="3"/>
  <c r="E478" i="3"/>
  <c r="E357" i="3"/>
  <c r="AS6" i="3"/>
  <c r="E383" i="3"/>
  <c r="E568" i="3"/>
  <c r="E245" i="3"/>
  <c r="E451" i="3"/>
  <c r="E305" i="3"/>
  <c r="E73" i="3"/>
  <c r="E126" i="3"/>
  <c r="E211" i="3"/>
  <c r="Y6" i="3"/>
  <c r="E466" i="3"/>
  <c r="E51" i="3"/>
  <c r="E198" i="3"/>
  <c r="E281" i="3"/>
  <c r="E290" i="3"/>
  <c r="AF6" i="3"/>
  <c r="E40" i="3"/>
  <c r="E559" i="3"/>
  <c r="E228" i="3"/>
  <c r="E324" i="3"/>
  <c r="E325" i="3"/>
  <c r="E216" i="3"/>
  <c r="E373" i="3"/>
  <c r="T6" i="3"/>
  <c r="E219" i="3"/>
  <c r="E571" i="3"/>
  <c r="E566" i="3"/>
  <c r="E273" i="3"/>
  <c r="E112" i="3"/>
  <c r="E175" i="3"/>
  <c r="E503" i="3"/>
  <c r="E353" i="3"/>
  <c r="E236" i="3"/>
  <c r="E171" i="3"/>
  <c r="E531" i="3"/>
  <c r="E344" i="3"/>
  <c r="E366" i="3"/>
  <c r="E350" i="3"/>
  <c r="E352" i="3"/>
  <c r="E519" i="3"/>
  <c r="E544" i="3"/>
  <c r="E192" i="3"/>
  <c r="E394" i="3"/>
  <c r="E375" i="3"/>
  <c r="E222" i="3"/>
  <c r="E77" i="3"/>
  <c r="AO6" i="3"/>
  <c r="E132" i="3"/>
  <c r="E91" i="3"/>
  <c r="E359" i="3"/>
  <c r="E391" i="3"/>
  <c r="E127" i="3"/>
  <c r="E215" i="3"/>
  <c r="E103" i="3"/>
  <c r="E62" i="3"/>
  <c r="E230" i="3"/>
  <c r="E512" i="3"/>
  <c r="E348" i="3"/>
  <c r="E282" i="3"/>
  <c r="E83" i="3"/>
  <c r="E430" i="3"/>
  <c r="E552" i="3"/>
  <c r="E421" i="3"/>
  <c r="E333" i="3"/>
  <c r="E115" i="3"/>
  <c r="E195" i="3"/>
  <c r="E321" i="3"/>
  <c r="E266" i="3"/>
  <c r="E200" i="3"/>
  <c r="E389" i="3"/>
  <c r="E143" i="3"/>
  <c r="E524" i="3"/>
  <c r="E536" i="3"/>
  <c r="E23" i="3"/>
  <c r="E265" i="3"/>
  <c r="AM6" i="3"/>
  <c r="E337" i="3"/>
  <c r="E158" i="3"/>
  <c r="E472" i="3"/>
  <c r="E253" i="3"/>
  <c r="E537" i="3"/>
  <c r="E54" i="3"/>
  <c r="E452" i="3"/>
  <c r="E213" i="3"/>
  <c r="E142" i="3"/>
  <c r="E410" i="3"/>
  <c r="E468" i="3"/>
  <c r="E109" i="3"/>
  <c r="E185" i="3"/>
  <c r="E148"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283" i="3"/>
  <c r="E49" i="3"/>
  <c r="E104" i="3"/>
  <c r="E387" i="3"/>
  <c r="E125" i="3"/>
  <c r="P6" i="3"/>
  <c r="E397" i="3"/>
  <c r="E47" i="3"/>
  <c r="E184" i="3"/>
  <c r="E473" i="3"/>
  <c r="E232" i="3"/>
  <c r="E507" i="3"/>
  <c r="E39" i="3"/>
  <c r="E288" i="3"/>
  <c r="E88" i="3"/>
  <c r="E220" i="3"/>
  <c r="E453" i="3"/>
  <c r="E162" i="3"/>
  <c r="E229" i="3"/>
  <c r="E191" i="3"/>
  <c r="E355" i="3"/>
  <c r="E558" i="3"/>
  <c r="E436" i="3"/>
  <c r="E260" i="3"/>
  <c r="E95" i="3"/>
  <c r="E498" i="3"/>
  <c r="E298" i="3"/>
  <c r="E361" i="3"/>
  <c r="E315" i="3"/>
  <c r="E323" i="3"/>
  <c r="E159" i="3"/>
  <c r="E501" i="3"/>
  <c r="E368" i="3"/>
  <c r="E510" i="3"/>
  <c r="E504" i="3"/>
  <c r="E406" i="3"/>
  <c r="E244" i="3"/>
  <c r="E137" i="3"/>
  <c r="E301" i="3"/>
  <c r="E484" i="3"/>
  <c r="E356" i="3"/>
  <c r="E395" i="3"/>
  <c r="E280" i="3"/>
  <c r="E270" i="3"/>
  <c r="E157" i="3"/>
  <c r="E161" i="3"/>
  <c r="E492" i="3"/>
  <c r="E295" i="3"/>
  <c r="E89" i="3"/>
  <c r="E201" i="3"/>
  <c r="E170"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334" i="3"/>
  <c r="E183" i="3"/>
  <c r="E45" i="3"/>
  <c r="E42" i="3"/>
  <c r="E269" i="3"/>
  <c r="E562" i="3"/>
  <c r="E167" i="3"/>
  <c r="E494" i="3"/>
  <c r="E254" i="3"/>
  <c r="E316" i="3"/>
  <c r="E380" i="3"/>
  <c r="E456" i="3"/>
  <c r="AJ6" i="3"/>
  <c r="E15" i="3"/>
  <c r="E56" i="3"/>
  <c r="E208" i="3"/>
  <c r="E483" i="3"/>
  <c r="E340" i="3"/>
  <c r="E130" i="3"/>
  <c r="E328" i="3"/>
  <c r="E346" i="3"/>
  <c r="E557" i="3"/>
  <c r="E68" i="3"/>
  <c r="E147" i="3"/>
  <c r="E439" i="3"/>
  <c r="E117" i="3"/>
  <c r="E528" i="3"/>
  <c r="E349" i="3"/>
  <c r="E311" i="3"/>
  <c r="E424" i="3"/>
  <c r="E164" i="3"/>
  <c r="E262" i="3"/>
  <c r="E413" i="3"/>
  <c r="E241" i="3"/>
  <c r="E446" i="3"/>
  <c r="E437" i="3"/>
  <c r="E221" i="3"/>
  <c r="E31" i="3"/>
  <c r="AA6" i="3"/>
  <c r="E299" i="3"/>
  <c r="E548" i="3"/>
  <c r="E443" i="3"/>
  <c r="E78" i="3"/>
  <c r="E296" i="3"/>
  <c r="E225" i="3"/>
  <c r="E423" i="3"/>
  <c r="E490" i="3"/>
  <c r="E431" i="3"/>
  <c r="E38" i="3"/>
  <c r="E313" i="3"/>
  <c r="E405" i="3"/>
  <c r="E190" i="3"/>
  <c r="E233" i="3"/>
  <c r="E429" i="3"/>
  <c r="E372" i="3"/>
  <c r="E154" i="3"/>
  <c r="E309" i="3"/>
  <c r="E74" i="3"/>
  <c r="E224" i="3"/>
  <c r="E66" i="3"/>
  <c r="E24" i="3"/>
  <c r="E508" i="3"/>
  <c r="E108" i="3"/>
  <c r="E156" i="3"/>
  <c r="E534" i="3"/>
  <c r="AH6" i="3"/>
  <c r="E462" i="3"/>
  <c r="E482" i="3"/>
  <c r="E189" i="3"/>
  <c r="E107" i="3"/>
  <c r="E480" i="3"/>
  <c r="AQ6" i="3"/>
  <c r="E120" i="3"/>
  <c r="E499" i="3"/>
  <c r="E177" i="3"/>
  <c r="E19" i="3"/>
  <c r="E35" i="3"/>
  <c r="E267" i="3"/>
  <c r="E514" i="3"/>
  <c r="E572" i="3"/>
  <c r="E227" i="3"/>
  <c r="E71" i="3"/>
  <c r="E382" i="3"/>
  <c r="E297" i="3"/>
  <c r="E59" i="3"/>
  <c r="E209" i="3"/>
  <c r="E149" i="3"/>
  <c r="E549" i="3"/>
  <c r="I3" i="6"/>
  <c r="E292" i="3"/>
  <c r="E60" i="3"/>
  <c r="E178" i="3"/>
  <c r="E48" i="3"/>
  <c r="E455" i="3"/>
  <c r="E79" i="3"/>
  <c r="E272" i="3"/>
  <c r="E25" i="3"/>
  <c r="E479" i="3"/>
  <c r="E276" i="3"/>
  <c r="E526" i="3"/>
  <c r="E540" i="3"/>
  <c r="AI6" i="3"/>
  <c r="E234" i="3"/>
  <c r="E176" i="3"/>
  <c r="E525" i="3"/>
  <c r="E320" i="3"/>
  <c r="E181" i="3"/>
  <c r="E518" i="3"/>
  <c r="E542" i="3"/>
  <c r="E318" i="3"/>
  <c r="E569" i="3"/>
  <c r="E251" i="3"/>
  <c r="E485" i="3"/>
  <c r="E521" i="3"/>
  <c r="E155" i="3"/>
  <c r="E86" i="3"/>
  <c r="E22" i="3"/>
  <c r="E231" i="3"/>
  <c r="E186" i="3"/>
  <c r="E82" i="3"/>
  <c r="E101" i="3"/>
  <c r="E69" i="3"/>
  <c r="E46" i="3"/>
  <c r="X6" i="3"/>
  <c r="E327" i="3"/>
  <c r="E454" i="3"/>
  <c r="AK6" i="3"/>
  <c r="E481" i="3"/>
  <c r="AP6" i="3"/>
  <c r="E70" i="3"/>
  <c r="E151" i="3"/>
  <c r="E53" i="3"/>
  <c r="W6" i="3"/>
  <c r="E420" i="3"/>
  <c r="L6" i="3"/>
  <c r="E116" i="3"/>
  <c r="E465" i="3"/>
  <c r="E243" i="3"/>
  <c r="E448" i="3"/>
  <c r="E121" i="3"/>
  <c r="E123" i="3"/>
  <c r="E76" i="3"/>
  <c r="E271" i="3"/>
  <c r="E493" i="3"/>
  <c r="E81" i="3"/>
  <c r="E193" i="3"/>
  <c r="R6" i="3"/>
  <c r="E84" i="3"/>
  <c r="E545" i="3"/>
  <c r="N6" i="3"/>
  <c r="E275" i="3"/>
  <c r="E393" i="3"/>
  <c r="E517" i="3"/>
  <c r="E235" i="3"/>
  <c r="E555" i="3"/>
  <c r="E173" i="3"/>
  <c r="E307" i="3"/>
  <c r="E212" i="3"/>
  <c r="E182" i="3"/>
  <c r="E312" i="3"/>
  <c r="E522" i="3"/>
  <c r="E516" i="3"/>
  <c r="E488" i="3"/>
  <c r="E240" i="3"/>
  <c r="E326" i="3"/>
  <c r="AN6" i="3"/>
  <c r="E464" i="3"/>
  <c r="E450" i="3"/>
  <c r="E249" i="3"/>
  <c r="E460" i="3"/>
  <c r="E463" i="3"/>
  <c r="E426" i="3"/>
  <c r="E75" i="3"/>
  <c r="J6" i="3"/>
  <c r="E438" i="3"/>
  <c r="E363" i="3"/>
  <c r="E401" i="3"/>
  <c r="E102" i="3"/>
  <c r="E258" i="3"/>
  <c r="E43" i="3"/>
  <c r="E370" i="3"/>
  <c r="E477" i="3"/>
  <c r="E134" i="3"/>
  <c r="E239" i="3"/>
  <c r="E128" i="3"/>
  <c r="E554" i="3"/>
  <c r="E286" i="3"/>
  <c r="E284" i="3"/>
  <c r="E338" i="3"/>
  <c r="E515" i="3"/>
  <c r="E341" i="3"/>
  <c r="E319" i="3"/>
  <c r="E546" i="3"/>
  <c r="E122" i="3"/>
  <c r="E532" i="3"/>
  <c r="E461" i="3"/>
  <c r="E541" i="3"/>
  <c r="E135" i="3"/>
  <c r="E459" i="3"/>
  <c r="E470" i="3"/>
  <c r="E263" i="3"/>
  <c r="E99" i="3"/>
  <c r="M6" i="3"/>
  <c r="E152" i="3"/>
  <c r="E457" i="3"/>
  <c r="AD6" i="3"/>
  <c r="Z6" i="3"/>
  <c r="E520" i="3"/>
  <c r="E489" i="3"/>
  <c r="E561" i="3"/>
  <c r="E194" i="3"/>
  <c r="E390" i="3"/>
  <c r="E187" i="3"/>
  <c r="E199" i="3"/>
  <c r="E435" i="3"/>
  <c r="I6" i="3"/>
  <c r="F33" i="12"/>
  <c r="C34" i="12" s="1"/>
  <c r="D33" i="12" s="1"/>
  <c r="F24" i="43"/>
  <c r="C26" i="43" s="1"/>
  <c r="D24" i="43" s="1"/>
  <c r="F18" i="11"/>
  <c r="C18" i="11" s="1"/>
  <c r="C19" i="11" s="1"/>
  <c r="C20" i="11" s="1"/>
  <c r="C21" i="11" s="1"/>
  <c r="C22" i="11" s="1"/>
  <c r="C23" i="11" s="1"/>
  <c r="B2" i="11" s="1"/>
  <c r="O6" i="1"/>
  <c r="O16" i="1" s="1"/>
  <c r="M16" i="1"/>
  <c r="P6" i="1"/>
  <c r="P16" i="1" s="1"/>
  <c r="C13" i="12" s="1"/>
  <c r="K25" i="6"/>
  <c r="M25" i="6" s="1"/>
  <c r="I25" i="6" s="1"/>
  <c r="S25" i="6" s="1"/>
  <c r="K20" i="6"/>
  <c r="M20" i="6" s="1"/>
  <c r="I20" i="6" s="1"/>
  <c r="S20" i="6" s="1"/>
  <c r="K23" i="6"/>
  <c r="M23" i="6" s="1"/>
  <c r="I23" i="6" s="1"/>
  <c r="S23" i="6" s="1"/>
  <c r="K26" i="6"/>
  <c r="M26" i="6" s="1"/>
  <c r="I26" i="6" s="1"/>
  <c r="S26" i="6" s="1"/>
  <c r="E31" i="6"/>
  <c r="K24" i="6"/>
  <c r="M24" i="6" s="1"/>
  <c r="I24" i="6" s="1"/>
  <c r="S24" i="6" s="1"/>
  <c r="K21" i="6"/>
  <c r="M21" i="6" s="1"/>
  <c r="I21" i="6" s="1"/>
  <c r="S21" i="6" s="1"/>
  <c r="K22" i="6"/>
  <c r="M22" i="6" s="1"/>
  <c r="I22" i="6" s="1"/>
  <c r="S22" i="6" s="1"/>
  <c r="K19" i="6"/>
  <c r="C59" i="15"/>
  <c r="C60" i="15"/>
  <c r="Q59" i="44"/>
  <c r="Q64" i="44" s="1"/>
  <c r="Q68" i="44"/>
  <c r="Q77" i="44" s="1"/>
  <c r="AC6" i="3" l="1"/>
  <c r="C14" i="12"/>
  <c r="C17" i="12"/>
  <c r="AY87" i="3"/>
  <c r="AY109" i="3"/>
  <c r="AY142" i="3"/>
  <c r="AY537" i="3"/>
  <c r="AY144" i="3"/>
  <c r="AY136" i="3"/>
  <c r="AY232" i="3"/>
  <c r="AY448" i="3"/>
  <c r="AY49" i="3"/>
  <c r="AY381" i="3"/>
  <c r="AY326" i="3"/>
  <c r="AY178" i="3"/>
  <c r="AY294" i="3"/>
  <c r="AY550" i="3"/>
  <c r="AY269" i="3"/>
  <c r="AY69" i="3"/>
  <c r="AY529" i="3"/>
  <c r="AY98" i="3"/>
  <c r="AY383" i="3"/>
  <c r="AY170" i="3"/>
  <c r="AY476" i="3"/>
  <c r="AY366" i="3"/>
  <c r="AY25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521" i="3"/>
  <c r="BE6" i="3"/>
  <c r="AY508" i="3"/>
  <c r="AY88" i="3"/>
  <c r="AY104" i="3"/>
  <c r="AY106" i="3"/>
  <c r="AY361" i="3"/>
  <c r="AY146" i="3"/>
  <c r="AY39" i="3"/>
  <c r="AY315" i="3"/>
  <c r="AY97" i="3"/>
  <c r="AY77" i="3"/>
  <c r="AY57" i="3"/>
  <c r="AY349" i="3"/>
  <c r="AY149" i="3"/>
  <c r="AY463" i="3"/>
  <c r="AY372" i="3"/>
  <c r="AY376" i="3"/>
  <c r="AY53" i="3"/>
  <c r="AY427" i="3"/>
  <c r="AY116" i="3"/>
  <c r="AY389" i="3"/>
  <c r="AY122" i="3"/>
  <c r="BC6" i="3"/>
  <c r="AY91" i="3"/>
  <c r="AY274" i="3"/>
  <c r="AY114" i="3"/>
  <c r="AY558" i="3"/>
  <c r="AY156" i="3"/>
  <c r="AY27" i="3"/>
  <c r="AY160" i="3"/>
  <c r="AY96" i="3"/>
  <c r="AY206" i="3"/>
  <c r="AY225" i="3"/>
  <c r="AY360" i="3"/>
  <c r="AY565" i="3"/>
  <c r="AY553" i="3"/>
  <c r="AY90" i="3"/>
  <c r="AY344" i="3"/>
  <c r="AY190" i="3"/>
  <c r="AY401" i="3"/>
  <c r="AY545" i="3"/>
  <c r="AY455" i="3"/>
  <c r="AY298" i="3"/>
  <c r="AY499" i="3"/>
  <c r="AY215" i="3"/>
  <c r="AY173" i="3"/>
  <c r="AY33" i="3"/>
  <c r="AY167" i="3"/>
  <c r="AY292" i="3"/>
  <c r="AY37" i="3"/>
  <c r="AY95" i="3"/>
  <c r="AY45" i="3"/>
  <c r="AY384" i="3"/>
  <c r="AY202" i="3"/>
  <c r="AY398" i="3"/>
  <c r="AY348" i="3"/>
  <c r="AY241" i="3"/>
  <c r="AY542" i="3"/>
  <c r="AY555" i="3"/>
  <c r="AY308" i="3"/>
  <c r="AY52" i="3"/>
  <c r="AY408" i="3"/>
  <c r="AY183" i="3"/>
  <c r="AY197" i="3"/>
  <c r="BH6" i="3"/>
  <c r="AY526" i="3"/>
  <c r="AY309" i="3"/>
  <c r="AY44" i="3"/>
  <c r="AY561" i="3"/>
  <c r="AY406" i="3"/>
  <c r="AY407" i="3"/>
  <c r="AY461" i="3"/>
  <c r="AY186" i="3"/>
  <c r="AY540" i="3"/>
  <c r="AY563" i="3"/>
  <c r="AY84" i="3"/>
  <c r="AY192" i="3"/>
  <c r="AY512" i="3"/>
  <c r="AY362" i="3"/>
  <c r="AY260" i="3"/>
  <c r="AY566" i="3"/>
  <c r="AY54" i="3"/>
  <c r="AY134" i="3"/>
  <c r="AY165" i="3"/>
  <c r="AY354" i="3"/>
  <c r="AY549" i="3"/>
  <c r="AY74" i="3"/>
  <c r="AY422" i="3"/>
  <c r="AY25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19" i="3"/>
  <c r="AY347" i="3"/>
  <c r="AY470" i="3"/>
  <c r="AY533" i="3"/>
  <c r="AY102" i="3"/>
  <c r="AY462" i="3"/>
  <c r="AY94" i="3"/>
  <c r="AY536" i="3"/>
  <c r="AY517" i="3"/>
  <c r="AY523"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530" i="3"/>
  <c r="AY198" i="3"/>
  <c r="AY73" i="3"/>
  <c r="AY262" i="3"/>
  <c r="AY397" i="3"/>
  <c r="AY379" i="3"/>
  <c r="AY135" i="3"/>
  <c r="AY62" i="3"/>
  <c r="AY26" i="3"/>
  <c r="AY217" i="3"/>
  <c r="AY214" i="3"/>
  <c r="AY548" i="3"/>
  <c r="AY302" i="3"/>
  <c r="AY457" i="3"/>
  <c r="AY543" i="3"/>
  <c r="AY13" i="3"/>
  <c r="AY556" i="3"/>
  <c r="AY38" i="3"/>
  <c r="AY424" i="3"/>
  <c r="AY378" i="3"/>
  <c r="BD6" i="3"/>
  <c r="AY248" i="3"/>
  <c r="AY329" i="3"/>
  <c r="AY249" i="3"/>
  <c r="BQ6" i="3"/>
  <c r="AY137" i="3"/>
  <c r="BP6" i="3"/>
  <c r="AY480" i="3"/>
  <c r="AY358" i="3"/>
  <c r="AY223" i="3"/>
  <c r="AY235" i="3"/>
  <c r="AY267" i="3"/>
  <c r="AY433" i="3"/>
  <c r="AY502" i="3"/>
  <c r="AY514" i="3"/>
  <c r="AY507" i="3"/>
  <c r="AY23" i="3"/>
  <c r="AY522" i="3"/>
  <c r="AY551" i="3"/>
  <c r="AY180" i="3"/>
  <c r="D3" i="6"/>
  <c r="AY203" i="3"/>
  <c r="AY83" i="3"/>
  <c r="AY277" i="3"/>
  <c r="AY425" i="3"/>
  <c r="AY286" i="3"/>
  <c r="AY169" i="3"/>
  <c r="AY72" i="3"/>
  <c r="AY30" i="3"/>
  <c r="AY382" i="3"/>
  <c r="AY143" i="3"/>
  <c r="AY236" i="3"/>
  <c r="AY246" i="3"/>
  <c r="AY374" i="3"/>
  <c r="AY25" i="3"/>
  <c r="AY321" i="3"/>
  <c r="AY431" i="3"/>
  <c r="AY34" i="3"/>
  <c r="AY176" i="3"/>
  <c r="AY318" i="3"/>
  <c r="AY22" i="3"/>
  <c r="AY127" i="3"/>
  <c r="AY140" i="3"/>
  <c r="AY66" i="3"/>
  <c r="AY222" i="3"/>
  <c r="AY505" i="3"/>
  <c r="AY357" i="3"/>
  <c r="AY436" i="3"/>
  <c r="AY410" i="3"/>
  <c r="AY125" i="3"/>
  <c r="AY252" i="3"/>
  <c r="AY228" i="3"/>
  <c r="AY568" i="3"/>
  <c r="AY312" i="3"/>
  <c r="BG6" i="3"/>
  <c r="AY255" i="3"/>
  <c r="AY121" i="3"/>
  <c r="AY129" i="3"/>
  <c r="AY291" i="3"/>
  <c r="AY324" i="3"/>
  <c r="AY168"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475" i="3"/>
  <c r="AY395" i="3"/>
  <c r="AY490" i="3"/>
  <c r="AY377" i="3"/>
  <c r="AY177" i="3"/>
  <c r="AY300" i="3"/>
  <c r="AY345" i="3"/>
  <c r="AY89" i="3"/>
  <c r="AY51" i="3"/>
  <c r="BJ6" i="3"/>
  <c r="AY486" i="3"/>
  <c r="AY159" i="3"/>
  <c r="AY47" i="3"/>
  <c r="AY234" i="3"/>
  <c r="AY402" i="3"/>
  <c r="AY343" i="3"/>
  <c r="AY265" i="3"/>
  <c r="AY50" i="3"/>
  <c r="AY161" i="3"/>
  <c r="AY305" i="3"/>
  <c r="AY43" i="3"/>
  <c r="AY481" i="3"/>
  <c r="AY216" i="3"/>
  <c r="AY311" i="3"/>
  <c r="AY254" i="3"/>
  <c r="AY437" i="3"/>
  <c r="AY273" i="3"/>
  <c r="AY158" i="3"/>
  <c r="AY219" i="3"/>
  <c r="BA6" i="3"/>
  <c r="AY211" i="3"/>
  <c r="AY32" i="3"/>
  <c r="AY458" i="3"/>
  <c r="AY242" i="3"/>
  <c r="AY385" i="3"/>
  <c r="AY220" i="3"/>
  <c r="AY404" i="3"/>
  <c r="AY534" i="3"/>
  <c r="AY434" i="3"/>
  <c r="AY334" i="3"/>
  <c r="AY571" i="3"/>
  <c r="AY532" i="3"/>
  <c r="AY251" i="3"/>
  <c r="AY284" i="3"/>
  <c r="AY426" i="3"/>
  <c r="AY496" i="3"/>
  <c r="AY491" i="3"/>
  <c r="AY240" i="3"/>
  <c r="AY281" i="3"/>
  <c r="AY393" i="3"/>
  <c r="AY297" i="3"/>
  <c r="AY164" i="3"/>
  <c r="AY524" i="3"/>
  <c r="AY513" i="3"/>
  <c r="AY119" i="3"/>
  <c r="AY332" i="3"/>
  <c r="AY511" i="3"/>
  <c r="AY535" i="3"/>
  <c r="AY67" i="3"/>
  <c r="AY105" i="3"/>
  <c r="AY31" i="3"/>
  <c r="AY317" i="3"/>
  <c r="AY181" i="3"/>
  <c r="AY65" i="3"/>
  <c r="AY350" i="3"/>
  <c r="AY346" i="3"/>
  <c r="AY101" i="3"/>
  <c r="AY429" i="3"/>
  <c r="AY501" i="3"/>
  <c r="AY204" i="3"/>
  <c r="AY28" i="3"/>
  <c r="AY257" i="3"/>
  <c r="AY359" i="3"/>
  <c r="AY493" i="3"/>
  <c r="AY64" i="3"/>
  <c r="AY443" i="3"/>
  <c r="AY148" i="3"/>
  <c r="AY446" i="3"/>
  <c r="AY221" i="3"/>
  <c r="AY500" i="3"/>
  <c r="AY489" i="3"/>
  <c r="AY287" i="3"/>
  <c r="AY15" i="3"/>
  <c r="AY497" i="3"/>
  <c r="AY567" i="3"/>
  <c r="AY478" i="3"/>
  <c r="AY93" i="3"/>
  <c r="AY270" i="3"/>
  <c r="AY554" i="3"/>
  <c r="AY212" i="3"/>
  <c r="AY353" i="3"/>
  <c r="AY419" i="3"/>
  <c r="AY301" i="3"/>
  <c r="AY482" i="3"/>
  <c r="AA12" i="40"/>
  <c r="S12" i="40"/>
  <c r="AA12" i="39"/>
  <c r="S12" i="39"/>
  <c r="W12" i="39"/>
  <c r="AC12" i="39"/>
  <c r="S6" i="1"/>
  <c r="M19" i="6"/>
  <c r="K27" i="6"/>
  <c r="N16" i="1"/>
  <c r="C29" i="43" s="1"/>
  <c r="C13" i="43"/>
  <c r="L16" i="1"/>
  <c r="B3" i="11"/>
  <c r="B4" i="11"/>
  <c r="H6" i="3"/>
  <c r="E6" i="3" s="1"/>
  <c r="D45" i="9"/>
  <c r="L38" i="9"/>
  <c r="B14" i="66" s="1"/>
  <c r="B1" i="66" s="1"/>
  <c r="C7" i="66" s="1"/>
  <c r="D10" i="11"/>
  <c r="D16" i="12"/>
  <c r="E6" i="6"/>
  <c r="C21" i="4"/>
  <c r="O5" i="54" s="1"/>
  <c r="B45" i="63" s="1"/>
  <c r="D16" i="43"/>
  <c r="C16" i="43" s="1"/>
  <c r="AC12" i="40"/>
  <c r="W12" i="40"/>
  <c r="AB12" i="40"/>
  <c r="U12" i="40"/>
  <c r="U12" i="39"/>
  <c r="AB12" i="39"/>
  <c r="C17" i="15"/>
  <c r="D19" i="12" l="1"/>
  <c r="C19" i="12" s="1"/>
  <c r="C16" i="12"/>
  <c r="C18" i="12" s="1"/>
  <c r="C17" i="43"/>
  <c r="C14" i="43"/>
  <c r="S16" i="1"/>
  <c r="D22" i="12"/>
  <c r="C22" i="12" s="1"/>
  <c r="C20" i="12" s="1"/>
  <c r="D13" i="11"/>
  <c r="C13" i="11" s="1"/>
  <c r="I19" i="6"/>
  <c r="M27" i="6"/>
  <c r="D13" i="6"/>
  <c r="E45" i="9"/>
  <c r="D9" i="6"/>
  <c r="D21" i="6"/>
  <c r="D14" i="6"/>
  <c r="D24" i="6"/>
  <c r="D5" i="6"/>
  <c r="E63" i="40"/>
  <c r="F63" i="40" s="1"/>
  <c r="B2" i="40" s="1"/>
  <c r="H24" i="6"/>
  <c r="D8" i="6"/>
  <c r="D26" i="6"/>
  <c r="D29" i="6"/>
  <c r="D10" i="6"/>
  <c r="D20" i="6"/>
  <c r="E68" i="39"/>
  <c r="H25" i="6"/>
  <c r="D19" i="6"/>
  <c r="D23" i="6"/>
  <c r="D11" i="6"/>
  <c r="D15" i="6"/>
  <c r="H21" i="6"/>
  <c r="F45" i="9"/>
  <c r="D12" i="6"/>
  <c r="H26" i="6"/>
  <c r="D25" i="6"/>
  <c r="D28" i="6"/>
  <c r="D30" i="6" s="1"/>
  <c r="K38" i="9"/>
  <c r="C14" i="66" s="1"/>
  <c r="B2" i="66" s="1"/>
  <c r="D7" i="66" s="1"/>
  <c r="H20" i="6"/>
  <c r="C22" i="4"/>
  <c r="D6" i="6"/>
  <c r="H23" i="6"/>
  <c r="D22" i="6"/>
  <c r="H22" i="6"/>
  <c r="B5" i="11"/>
  <c r="R25" i="6" l="1"/>
  <c r="R26" i="6"/>
  <c r="N5" i="54"/>
  <c r="B43" i="63" s="1"/>
  <c r="A6" i="51"/>
  <c r="B7" i="63" s="1"/>
  <c r="A20" i="51"/>
  <c r="B15" i="63" s="1"/>
  <c r="A6" i="64"/>
  <c r="A20" i="64"/>
  <c r="D27" i="6"/>
  <c r="D31" i="6" s="1"/>
  <c r="I5" i="6" s="1"/>
  <c r="S19" i="6"/>
  <c r="S27" i="6" s="1"/>
  <c r="I27" i="6"/>
  <c r="H19" i="6"/>
  <c r="H27" i="6" s="1"/>
  <c r="T13" i="1"/>
  <c r="T10" i="1"/>
  <c r="T9" i="1"/>
  <c r="T7" i="1"/>
  <c r="T11" i="1"/>
  <c r="T8" i="1"/>
  <c r="T12" i="1"/>
  <c r="R22" i="6"/>
  <c r="R23" i="6"/>
  <c r="R20" i="6"/>
  <c r="D16" i="6"/>
  <c r="B5" i="40"/>
  <c r="B4" i="40"/>
  <c r="B3" i="40"/>
  <c r="R24" i="6"/>
  <c r="R21" i="6"/>
  <c r="T6" i="1"/>
  <c r="C18" i="43"/>
  <c r="C19" i="43" s="1"/>
  <c r="C25" i="43" s="1"/>
  <c r="C24" i="43" s="1"/>
  <c r="C23" i="12"/>
  <c r="C14" i="15"/>
  <c r="C16" i="44"/>
  <c r="I6" i="6" l="1"/>
  <c r="C13" i="39" s="1"/>
  <c r="C22" i="43"/>
  <c r="C21" i="43" s="1"/>
  <c r="C28" i="43" s="1"/>
  <c r="C30" i="43" s="1"/>
  <c r="C32" i="43" s="1"/>
  <c r="B2" i="43" s="1"/>
  <c r="B3" i="43" s="1"/>
  <c r="C20" i="44"/>
  <c r="C17" i="44"/>
  <c r="C15" i="15"/>
  <c r="C18" i="15"/>
  <c r="T16" i="1"/>
  <c r="R19" i="6"/>
  <c r="H13" i="39"/>
  <c r="J13" i="39"/>
  <c r="F13" i="39"/>
  <c r="B4" i="43" l="1"/>
  <c r="B5" i="43"/>
  <c r="C19" i="15"/>
  <c r="C21" i="44"/>
  <c r="C22" i="44" s="1"/>
  <c r="C20" i="15"/>
  <c r="C23" i="15" s="1"/>
  <c r="R27" i="6"/>
  <c r="R6" i="1"/>
  <c r="S13" i="39"/>
  <c r="AA13" i="39"/>
  <c r="R49" i="39" s="1"/>
  <c r="AB13" i="39"/>
  <c r="T49" i="39" s="1"/>
  <c r="G49" i="39" s="1"/>
  <c r="U13" i="39"/>
  <c r="AC13" i="39"/>
  <c r="V49" i="39" s="1"/>
  <c r="I49" i="39" s="1"/>
  <c r="W13" i="39"/>
  <c r="M21" i="15"/>
  <c r="F35" i="15"/>
  <c r="C26" i="15" l="1"/>
  <c r="C29" i="15" s="1"/>
  <c r="C13" i="15" s="1"/>
  <c r="C37" i="15" s="1"/>
  <c r="C25" i="44"/>
  <c r="C28" i="44"/>
  <c r="F62" i="15"/>
  <c r="C61" i="15" s="1"/>
  <c r="C58" i="15" s="1"/>
  <c r="C34" i="15"/>
  <c r="C31" i="15" s="1"/>
  <c r="J20" i="15"/>
  <c r="R16" i="1"/>
  <c r="E49" i="39"/>
  <c r="I54" i="39" s="1"/>
  <c r="J54" i="39" s="1"/>
  <c r="R50" i="39"/>
  <c r="I53" i="39"/>
  <c r="J53" i="39" s="1"/>
  <c r="G53" i="39"/>
  <c r="H53" i="39" s="1"/>
  <c r="G54" i="39"/>
  <c r="H54" i="39" s="1"/>
  <c r="C55" i="15" l="1"/>
  <c r="C64" i="15" s="1"/>
  <c r="C56" i="15"/>
  <c r="C63" i="15" s="1"/>
  <c r="J35" i="15"/>
  <c r="Q50" i="15"/>
  <c r="Q71" i="15"/>
  <c r="C36" i="15"/>
  <c r="C30" i="15" s="1"/>
  <c r="C39" i="15" s="1"/>
  <c r="J19" i="15"/>
  <c r="J17" i="15" s="1"/>
  <c r="J14" i="15"/>
  <c r="J13" i="15" s="1"/>
  <c r="J23" i="15" s="1"/>
  <c r="C31" i="44"/>
  <c r="Q51" i="44" s="1"/>
  <c r="C49" i="39"/>
  <c r="C50" i="39"/>
  <c r="E53" i="39"/>
  <c r="F53" i="39" s="1"/>
  <c r="E54" i="39"/>
  <c r="F54" i="39" s="1"/>
  <c r="J22" i="15" l="1"/>
  <c r="J21" i="44"/>
  <c r="J19" i="44" s="1"/>
  <c r="C40" i="15"/>
  <c r="Q57" i="15" s="1"/>
  <c r="Q63" i="15" s="1"/>
  <c r="C57" i="15"/>
  <c r="C66" i="15" s="1"/>
  <c r="C67" i="15" s="1"/>
  <c r="C70" i="15" s="1"/>
  <c r="J16" i="15"/>
  <c r="J25" i="15" s="1"/>
  <c r="Q70" i="15"/>
  <c r="Q69" i="15" s="1"/>
  <c r="C35" i="44"/>
  <c r="C33" i="44" s="1"/>
  <c r="C15" i="44"/>
  <c r="C38" i="44"/>
  <c r="J16" i="44"/>
  <c r="J39" i="15"/>
  <c r="J40" i="15" s="1"/>
  <c r="B64" i="39"/>
  <c r="F64" i="39" s="1"/>
  <c r="B59" i="39"/>
  <c r="F59" i="39" s="1"/>
  <c r="B63" i="39"/>
  <c r="F63" i="39" s="1"/>
  <c r="B62" i="39"/>
  <c r="F62" i="39" s="1"/>
  <c r="B61" i="39"/>
  <c r="F61" i="39" s="1"/>
  <c r="B60" i="39"/>
  <c r="F60" i="39" s="1"/>
  <c r="B58" i="39"/>
  <c r="F58" i="39" s="1"/>
  <c r="B65" i="39"/>
  <c r="F65" i="39" s="1"/>
  <c r="B4" i="39"/>
  <c r="B66" i="39"/>
  <c r="F66" i="39" s="1"/>
  <c r="B67" i="39"/>
  <c r="F67" i="39" s="1"/>
  <c r="F68" i="39"/>
  <c r="B2" i="39" s="1"/>
  <c r="C21" i="9"/>
  <c r="L51" i="15"/>
  <c r="C19" i="9"/>
  <c r="Q48" i="15" l="1"/>
  <c r="Q54" i="15" s="1"/>
  <c r="Q66" i="15"/>
  <c r="Q76" i="15" s="1"/>
  <c r="C46" i="15"/>
  <c r="J42" i="15"/>
  <c r="J43" i="15" s="1"/>
  <c r="B2" i="15"/>
  <c r="C10" i="12" s="1"/>
  <c r="C6" i="12" s="1"/>
  <c r="C43" i="15"/>
  <c r="Q68" i="15"/>
  <c r="J15" i="44"/>
  <c r="J25" i="44" s="1"/>
  <c r="J24" i="44"/>
  <c r="C43" i="44"/>
  <c r="C39" i="44"/>
  <c r="C32" i="44" s="1"/>
  <c r="C42" i="44" s="1"/>
  <c r="Q72" i="44"/>
  <c r="L43" i="9"/>
  <c r="B3" i="39"/>
  <c r="B5" i="39"/>
  <c r="C20" i="9"/>
  <c r="B3" i="15" l="1"/>
  <c r="C8" i="12" s="1"/>
  <c r="C44" i="44"/>
  <c r="C45" i="44" s="1"/>
  <c r="B2" i="44" s="1"/>
  <c r="Q71" i="44"/>
  <c r="Q70" i="44" s="1"/>
  <c r="J18" i="44"/>
  <c r="J27" i="44" s="1"/>
  <c r="C29" i="12"/>
  <c r="C24" i="12"/>
  <c r="F15" i="66"/>
  <c r="E15" i="66"/>
  <c r="Q9" i="68" l="1"/>
  <c r="R9" i="68"/>
  <c r="B5" i="44"/>
  <c r="B4" i="44"/>
  <c r="B3" i="44"/>
  <c r="C35" i="12"/>
  <c r="C33" i="12" s="1"/>
  <c r="C28" i="12"/>
  <c r="C26" i="12" s="1"/>
  <c r="C31" i="12" s="1"/>
  <c r="C30" i="12" s="1"/>
  <c r="D77" i="9"/>
  <c r="N75" i="9" s="1"/>
  <c r="C36" i="12" l="1"/>
  <c r="B2" i="12" s="1"/>
  <c r="B3" i="12" s="1"/>
  <c r="D20" i="9"/>
  <c r="D19" i="9"/>
  <c r="B4" i="12" l="1"/>
  <c r="B5" i="12"/>
  <c r="D22" i="9"/>
  <c r="L44" i="9"/>
  <c r="G19" i="9"/>
  <c r="C32" i="9" s="1"/>
  <c r="G20" i="9"/>
  <c r="D21" i="9"/>
  <c r="G21" i="9" l="1"/>
  <c r="N43" i="9"/>
  <c r="G22" i="9"/>
  <c r="C33" i="9"/>
  <c r="O43" i="9"/>
  <c r="C35" i="9"/>
  <c r="F42" i="9" s="1"/>
  <c r="O38" i="9"/>
  <c r="C42" i="9"/>
  <c r="C34" i="9"/>
  <c r="E42" i="9" l="1"/>
  <c r="P5" i="54" s="1"/>
  <c r="B46" i="63" s="1"/>
  <c r="M38" i="9"/>
  <c r="K27" i="9" s="1"/>
  <c r="K26" i="9"/>
  <c r="K25" i="9"/>
  <c r="D14" i="66"/>
  <c r="R5" i="54"/>
  <c r="B48" i="63" s="1"/>
  <c r="D63" i="9"/>
  <c r="C44" i="9"/>
  <c r="N68" i="9"/>
  <c r="N38" i="9"/>
  <c r="K28" i="9" s="1"/>
  <c r="D42" i="9"/>
  <c r="Q5" i="54" s="1"/>
  <c r="B47" i="63" s="1"/>
  <c r="S5" i="68" l="1"/>
  <c r="M31" i="68" s="1"/>
  <c r="S6" i="68"/>
  <c r="M32" i="68" s="1"/>
  <c r="S3" i="68"/>
  <c r="M29" i="68" s="1"/>
  <c r="S4" i="68"/>
  <c r="M30" i="68" s="1"/>
  <c r="G14" i="66"/>
  <c r="B6" i="66" s="1"/>
  <c r="E33" i="1" s="1"/>
  <c r="F44" i="9"/>
  <c r="D44" i="9"/>
  <c r="O39" i="9"/>
  <c r="E44" i="9"/>
  <c r="N69" i="9"/>
  <c r="D73" i="9"/>
  <c r="N73" i="9" s="1"/>
  <c r="C103" i="9"/>
  <c r="C82" i="9"/>
  <c r="C81" i="9" s="1"/>
  <c r="C85" i="9" s="1"/>
  <c r="C86" i="9" s="1"/>
  <c r="D72" i="9" s="1"/>
  <c r="D71" i="9"/>
  <c r="D66" i="9" s="1"/>
  <c r="N72" i="9" s="1"/>
  <c r="C96" i="9"/>
  <c r="C91" i="9" s="1"/>
  <c r="C111" i="9"/>
  <c r="C104" i="9" s="1"/>
  <c r="C90" i="9"/>
  <c r="D70" i="9"/>
  <c r="E14" i="66"/>
  <c r="F14" i="66"/>
  <c r="B5" i="66"/>
  <c r="R4" i="68" l="1"/>
  <c r="R6" i="68"/>
  <c r="R5" i="68"/>
  <c r="Q3" i="68"/>
  <c r="R3" i="68"/>
  <c r="S7" i="68"/>
  <c r="M33" i="68" s="1"/>
  <c r="C97" i="9"/>
  <c r="C98" i="9" s="1"/>
  <c r="E98" i="9" s="1"/>
  <c r="E99" i="9" s="1"/>
  <c r="Q4" i="68"/>
  <c r="Q5" i="68"/>
  <c r="C113" i="9"/>
  <c r="M86" i="9"/>
  <c r="N86" i="9" s="1"/>
  <c r="M85" i="9"/>
  <c r="N85" i="9" s="1"/>
  <c r="M87" i="9"/>
  <c r="N87" i="9" s="1"/>
  <c r="M88" i="9"/>
  <c r="N88" i="9" s="1"/>
  <c r="M84" i="9"/>
  <c r="N84" i="9" s="1"/>
  <c r="M83" i="9"/>
  <c r="N83" i="9" s="1"/>
  <c r="K29" i="9"/>
  <c r="K30" i="9" s="1"/>
  <c r="R6" i="54"/>
  <c r="B50" i="63" s="1"/>
  <c r="D5" i="66"/>
  <c r="C5" i="66"/>
  <c r="Q6" i="68"/>
  <c r="C6" i="66"/>
  <c r="D6" i="66"/>
  <c r="S10" i="68" l="1"/>
  <c r="M36" i="68" s="1"/>
  <c r="C99" i="9"/>
  <c r="R7" i="68"/>
  <c r="Q7" i="68"/>
  <c r="N89" i="9"/>
  <c r="O89" i="9" s="1"/>
  <c r="C114" i="9"/>
  <c r="E114" i="9" s="1"/>
  <c r="E115" i="9" s="1"/>
  <c r="C115" i="9" l="1"/>
  <c r="D76" i="9" s="1"/>
  <c r="D74" i="9" s="1"/>
  <c r="N74" i="9" s="1"/>
  <c r="O77" i="9" s="1"/>
  <c r="O78" i="9" s="1"/>
  <c r="Q77" i="9" l="1"/>
  <c r="O79" i="9"/>
  <c r="C46" i="9" s="1"/>
  <c r="O80" i="9" l="1"/>
  <c r="O81" i="9"/>
  <c r="D46" i="9"/>
  <c r="K33" i="9"/>
  <c r="E46" i="9"/>
  <c r="I14" i="66"/>
  <c r="B8" i="66" s="1"/>
  <c r="S11" i="68" s="1"/>
  <c r="M37" i="68" s="1"/>
  <c r="O41" i="9"/>
  <c r="R8" i="54" s="1"/>
  <c r="B54" i="63" s="1"/>
  <c r="F46"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<sst xmlns="http://schemas.openxmlformats.org/spreadsheetml/2006/main" count="7571" uniqueCount="3268">
  <si>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</si>
  <si>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</si>
  <si>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</si>
  <si>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</si>
  <si>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</si>
  <si>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</si>
  <si>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</si>
  <si>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</si>
  <si>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</si>
  <si>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</si>
  <si>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</si>
  <si>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</si>
  <si>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</si>
  <si>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</si>
  <si>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</si>
  <si>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</si>
  <si>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</si>
  <si>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</si>
  <si>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</si>
  <si>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</si>
  <si>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</si>
  <si>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</si>
  <si>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</si>
  <si>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</si>
  <si>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</si>
  <si>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</si>
  <si>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</si>
  <si>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</si>
  <si>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</si>
  <si>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</si>
  <si>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</si>
  <si>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</si>
  <si>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</si>
  <si>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</si>
  <si>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</si>
  <si>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</si>
  <si>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</si>
  <si>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</si>
  <si>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</si>
  <si>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</si>
  <si>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</si>
  <si>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</si>
  <si>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</si>
  <si>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</si>
  <si>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</si>
  <si>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</si>
  <si>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</si>
  <si>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</si>
  <si>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</si>
  <si>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</si>
  <si>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</si>
  <si>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</si>
  <si>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</si>
  <si>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</si>
  <si>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</si>
  <si>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</si>
  <si>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</si>
  <si>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</si>
  <si>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</si>
  <si>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</si>
  <si>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</si>
  <si>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</si>
  <si>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</si>
  <si>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</si>
  <si>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</si>
  <si>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</si>
  <si>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</si>
  <si>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</si>
  <si>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</si>
  <si>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</si>
  <si>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</si>
  <si>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</si>
  <si>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</si>
  <si>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</si>
  <si>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</si>
  <si>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</si>
  <si>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</si>
  <si>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</si>
  <si>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</si>
  <si>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</si>
  <si>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</si>
  <si>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</si>
  <si>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</si>
  <si>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</si>
  <si>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</si>
  <si>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</si>
  <si>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</si>
  <si>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</si>
  <si>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</si>
  <si>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</si>
  <si>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</si>
  <si>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</si>
  <si>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</si>
  <si>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</si>
  <si>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</si>
  <si>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</si>
  <si>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</si>
  <si>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</si>
  <si>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</si>
  <si>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</si>
  <si>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</si>
  <si>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</si>
  <si>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</si>
  <si>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</si>
  <si>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</si>
  <si>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</si>
  <si>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</si>
  <si>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</si>
  <si>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</si>
  <si>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</si>
  <si>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</si>
  <si>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</si>
  <si>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</si>
  <si>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</si>
  <si>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</si>
  <si>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</si>
  <si>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</si>
  <si>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</si>
  <si>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</si>
  <si>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</si>
  <si>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</si>
  <si>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</si>
  <si>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</si>
  <si>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</si>
  <si>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</si>
  <si>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</si>
  <si>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</si>
  <si>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</si>
  <si>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</si>
  <si>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</si>
  <si>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</si>
  <si>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</si>
  <si>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</si>
  <si>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</si>
  <si>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</si>
  <si>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</si>
  <si>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</si>
  <si>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</si>
  <si>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</si>
  <si>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</si>
  <si>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</si>
  <si>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</si>
  <si>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</si>
  <si>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</si>
  <si>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</si>
  <si>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</si>
  <si>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</si>
  <si>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</si>
  <si>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</si>
  <si>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</si>
  <si>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</si>
  <si>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</si>
  <si>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</si>
  <si>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</si>
  <si>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</si>
  <si>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</si>
  <si>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</si>
  <si>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</si>
  <si>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</si>
  <si>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</si>
  <si>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</si>
  <si>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</si>
  <si>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</si>
  <si>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</si>
  <si>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</si>
  <si>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</si>
  <si>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</si>
  <si>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</si>
  <si>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</si>
  <si>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</si>
  <si>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</si>
  <si>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</si>
  <si>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</si>
  <si>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</si>
  <si>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</si>
  <si>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</si>
  <si>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</si>
  <si>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</si>
  <si>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</si>
  <si>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</si>
  <si>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</si>
  <si>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</si>
  <si>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</si>
  <si>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</si>
  <si>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</si>
  <si>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</si>
  <si>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</si>
  <si>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</si>
  <si>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</si>
  <si>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</si>
  <si>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</si>
  <si>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</si>
  <si>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</si>
  <si>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</si>
  <si>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</si>
  <si>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</si>
  <si>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</si>
  <si>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</si>
  <si>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</si>
  <si>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</si>
  <si>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</si>
  <si>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</si>
  <si>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</si>
  <si>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</si>
  <si>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</si>
  <si>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</si>
  <si>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</si>
  <si>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</si>
  <si>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</si>
  <si>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</si>
  <si>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</si>
  <si>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</si>
  <si>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</si>
  <si>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</si>
  <si>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</si>
  <si>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</si>
  <si>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</si>
  <si>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</si>
  <si>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</si>
  <si>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</si>
  <si>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</si>
  <si>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</si>
  <si>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</si>
  <si>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</si>
  <si>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</si>
  <si>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</si>
  <si>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</si>
  <si>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</si>
  <si>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</si>
  <si>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</si>
  <si>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</si>
  <si>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</si>
  <si>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</si>
  <si>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</si>
  <si>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</si>
  <si>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</si>
  <si>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</si>
  <si>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</si>
  <si>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</si>
  <si>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</si>
  <si>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</si>
  <si>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</si>
  <si>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</si>
  <si>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</si>
  <si>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</si>
  <si>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</si>
  <si>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</si>
  <si>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</si>
  <si>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</si>
  <si>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</si>
  <si>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</si>
  <si>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</si>
  <si>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</si>
  <si>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</si>
  <si>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</si>
  <si>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</si>
  <si>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</si>
  <si>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</si>
  <si>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</si>
  <si>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</si>
  <si>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</si>
  <si>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</si>
  <si>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</si>
  <si>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</si>
  <si>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</si>
  <si>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</si>
  <si>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</si>
  <si>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</si>
  <si>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</si>
  <si>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</si>
  <si>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</si>
  <si>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</si>
  <si>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</si>
  <si>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</si>
  <si>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</si>
  <si>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</si>
  <si>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</si>
  <si>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</si>
  <si>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</si>
  <si>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</si>
  <si>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</si>
  <si>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</si>
  <si>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</si>
  <si>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</si>
  <si>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</si>
  <si>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</si>
  <si>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</si>
  <si>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</si>
  <si>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</si>
  <si>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</si>
  <si>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</si>
  <si>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</si>
  <si>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</si>
  <si>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</si>
  <si>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</si>
  <si>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</si>
  <si>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</si>
  <si>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</si>
  <si>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</si>
  <si>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</si>
  <si>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</si>
  <si>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</si>
  <si>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</si>
  <si>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</si>
  <si>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</si>
  <si>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</si>
  <si>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</si>
  <si>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</si>
  <si>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</si>
  <si>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</si>
  <si>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</si>
  <si>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</si>
  <si>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</si>
  <si>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</si>
  <si>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</si>
  <si>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</si>
  <si>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</si>
  <si>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</si>
  <si>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</si>
  <si>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</si>
  <si>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</si>
  <si>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</si>
  <si>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</si>
  <si>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</si>
  <si>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</si>
  <si>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</si>
  <si>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</si>
  <si>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</si>
  <si>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</si>
  <si>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</si>
  <si>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</si>
  <si>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</si>
  <si>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</si>
  <si>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</si>
  <si>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</si>
  <si>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</si>
  <si>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</si>
  <si>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</si>
  <si>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</si>
  <si>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</si>
  <si>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</si>
  <si>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</si>
  <si>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</si>
  <si>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</si>
  <si>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</si>
  <si>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</si>
  <si>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</si>
  <si>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</si>
  <si>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</si>
  <si>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</si>
  <si>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</si>
  <si>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</si>
  <si>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</si>
  <si>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</si>
  <si>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</si>
  <si>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</si>
  <si>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</si>
  <si>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</si>
  <si>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</si>
  <si>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</si>
  <si>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</si>
  <si>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</si>
  <si>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</si>
  <si>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</si>
  <si>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</si>
  <si>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</si>
  <si>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</si>
  <si>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</si>
  <si>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</si>
  <si>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</si>
  <si>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</si>
  <si>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</si>
  <si>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</si>
  <si>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</si>
  <si>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</si>
  <si>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</si>
  <si>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</si>
  <si>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</si>
  <si>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</si>
  <si>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</si>
  <si>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</si>
  <si>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</si>
  <si>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</si>
  <si>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</si>
  <si>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</si>
  <si>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</si>
  <si>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</si>
  <si>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</si>
  <si>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</si>
  <si>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</si>
  <si>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</si>
  <si>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</si>
  <si>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</si>
  <si>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</si>
  <si>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</si>
  <si>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</si>
  <si>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</si>
  <si>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</si>
  <si>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</si>
  <si>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</si>
  <si>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</si>
  <si>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</si>
  <si>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</si>
  <si>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</si>
  <si>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</si>
  <si>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</si>
  <si>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</si>
  <si>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</si>
  <si>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</si>
  <si>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</si>
  <si>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</si>
  <si>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</si>
  <si>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</si>
  <si>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</si>
  <si>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</si>
  <si>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</si>
  <si>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</si>
  <si>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</si>
  <si>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</si>
  <si>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</si>
  <si>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</si>
  <si>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</si>
  <si>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</si>
  <si>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</si>
  <si>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</si>
  <si>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</si>
  <si>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</si>
  <si>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</si>
  <si>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</si>
  <si>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</si>
  <si>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</si>
  <si>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</si>
  <si>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</si>
  <si>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</si>
  <si>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</si>
  <si>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</si>
  <si>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</si>
  <si>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</si>
  <si>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</si>
  <si>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</si>
  <si>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</si>
  <si>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</si>
  <si>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</si>
  <si>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</si>
  <si>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</si>
  <si>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</si>
  <si>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</si>
  <si>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</si>
  <si>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</si>
  <si>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</si>
  <si>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</si>
  <si>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</si>
  <si>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</si>
  <si>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</si>
  <si>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</si>
  <si>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</si>
  <si>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</si>
  <si>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</si>
  <si>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</si>
  <si>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</si>
  <si>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</si>
  <si>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</si>
  <si>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</si>
  <si>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</si>
  <si>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</si>
  <si>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</si>
  <si>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</si>
  <si>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</si>
  <si>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</si>
  <si>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</si>
  <si>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</si>
  <si>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</si>
  <si>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</si>
  <si>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</si>
  <si>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</si>
  <si>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</si>
  <si>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</si>
  <si>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</si>
  <si>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</si>
  <si>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</si>
  <si>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</si>
  <si>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</si>
  <si>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</si>
  <si>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</si>
  <si>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</si>
  <si>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</si>
  <si>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</si>
  <si>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</si>
  <si>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</si>
  <si>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</si>
  <si>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</si>
  <si>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</si>
  <si>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</si>
  <si>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</si>
  <si>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</si>
  <si>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</si>
  <si>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</si>
  <si>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</si>
  <si>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</si>
  <si>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</si>
  <si>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</si>
  <si>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</si>
  <si>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</si>
  <si>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</si>
  <si>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</si>
  <si>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</si>
  <si>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</si>
  <si>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</si>
  <si>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</si>
  <si>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</si>
  <si>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</si>
  <si>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</si>
  <si>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</si>
  <si>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</si>
  <si>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</si>
  <si>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</si>
  <si>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</si>
  <si>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</si>
  <si>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</si>
  <si>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</si>
  <si>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</si>
  <si>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</si>
  <si>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</si>
  <si>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</si>
  <si>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</si>
  <si>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</si>
  <si>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</si>
  <si>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</si>
  <si>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</si>
  <si>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</si>
  <si>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</si>
  <si>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</si>
  <si>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</si>
  <si>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</si>
  <si>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</si>
  <si>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</si>
  <si>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</si>
  <si>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</si>
  <si>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</si>
  <si>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</si>
  <si>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</si>
  <si>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</si>
  <si>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</si>
  <si>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</si>
  <si>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</si>
  <si>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</si>
  <si>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</si>
  <si>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</si>
  <si>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</si>
  <si>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</si>
  <si>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</si>
  <si>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</si>
  <si>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</si>
  <si>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</si>
  <si>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</si>
  <si>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</si>
  <si>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</si>
  <si>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</si>
  <si>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</si>
  <si>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</si>
  <si>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</si>
  <si>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</si>
  <si>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</si>
  <si>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</si>
  <si>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</si>
  <si>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</si>
  <si>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</si>
  <si>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</si>
  <si>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</si>
  <si>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</si>
  <si>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</si>
  <si>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</si>
  <si>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</si>
  <si>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</si>
  <si>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</si>
  <si>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</si>
  <si>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</si>
  <si>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</si>
  <si>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</si>
  <si>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</si>
  <si>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</si>
  <si>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</si>
  <si>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</si>
  <si>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</si>
  <si>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</si>
  <si>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</si>
  <si>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</si>
  <si>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</si>
  <si>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</si>
  <si>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</si>
  <si>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</si>
  <si>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</si>
  <si>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</si>
  <si>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</si>
  <si>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</si>
  <si>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</si>
  <si>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</si>
  <si>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</si>
  <si>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</si>
  <si>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</si>
  <si>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</si>
  <si>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</si>
  <si>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</si>
  <si>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</si>
  <si>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</si>
  <si>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</si>
  <si>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</si>
  <si>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</si>
  <si>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</si>
  <si>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</si>
  <si>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</si>
  <si>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</si>
  <si>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</si>
  <si>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</si>
  <si>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</si>
  <si>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</si>
  <si>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</si>
  <si>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</si>
  <si>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</si>
  <si>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</si>
  <si>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</si>
  <si>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</si>
  <si>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</si>
  <si>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</si>
  <si>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</si>
  <si>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</si>
  <si>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</si>
  <si>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</si>
  <si>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</si>
  <si>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</si>
  <si>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</si>
  <si>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</si>
  <si>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</si>
  <si>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</si>
  <si>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</si>
  <si>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</si>
  <si>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</si>
  <si>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</si>
  <si>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</si>
  <si>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</si>
  <si>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</si>
  <si>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</si>
  <si>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</si>
  <si>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</si>
  <si>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</si>
  <si>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</si>
  <si>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</si>
  <si>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</si>
  <si>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</si>
  <si>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</si>
  <si>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</si>
  <si>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</si>
  <si>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</si>
  <si>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</si>
  <si>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</si>
  <si>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</si>
  <si>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</si>
  <si>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</si>
  <si>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</si>
  <si>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</si>
  <si>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</si>
  <si>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</si>
  <si>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</si>
  <si>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</si>
  <si>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</si>
  <si>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</si>
  <si>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</si>
  <si>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</si>
  <si>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</si>
  <si>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</si>
  <si>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</si>
  <si>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</si>
  <si>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</si>
  <si>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</si>
  <si>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</si>
  <si>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</si>
  <si>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</si>
  <si>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</si>
  <si>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</si>
  <si>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</si>
  <si>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</si>
  <si>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</si>
  <si>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</si>
  <si>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</si>
  <si>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</si>
  <si>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</si>
  <si>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</si>
  <si>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</si>
  <si>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</si>
  <si>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</si>
  <si>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</si>
  <si>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</si>
  <si>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</si>
  <si>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</si>
  <si>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</si>
  <si>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</si>
  <si>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</si>
  <si>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</si>
  <si>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</si>
  <si>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</si>
  <si>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</si>
  <si>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</si>
  <si>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</si>
  <si>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</si>
  <si>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</si>
  <si>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</si>
  <si>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</si>
  <si>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</si>
  <si>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</si>
  <si>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</si>
  <si>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</si>
  <si>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</si>
  <si>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</si>
  <si>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</si>
  <si>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</si>
  <si>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</si>
  <si>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</si>
  <si>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</si>
  <si>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</si>
  <si>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</si>
  <si>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</si>
  <si>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</si>
  <si>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</si>
  <si>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</si>
  <si>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</si>
  <si>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</si>
  <si>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</si>
  <si>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</si>
  <si>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</si>
  <si>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</si>
  <si>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</si>
  <si>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</si>
  <si>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</si>
  <si>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</si>
  <si>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</si>
  <si>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</si>
  <si>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</si>
  <si>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</si>
  <si>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</si>
  <si>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</si>
  <si>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</si>
  <si>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</si>
  <si>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</si>
  <si>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</si>
  <si>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</si>
  <si>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</si>
  <si>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</si>
  <si>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</si>
  <si>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</si>
  <si>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</si>
  <si>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</si>
  <si>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</si>
  <si>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</si>
  <si>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</si>
  <si>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</si>
  <si>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</si>
  <si>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</si>
  <si>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</si>
  <si>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</si>
  <si>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</si>
  <si>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</si>
  <si>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</si>
  <si>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</si>
  <si>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</si>
  <si>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</si>
  <si>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</si>
  <si>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</si>
  <si>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</si>
  <si>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</si>
  <si>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</si>
  <si>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</si>
  <si>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</si>
  <si>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</si>
  <si>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</si>
  <si>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</si>
  <si>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</si>
  <si>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</si>
  <si>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</si>
  <si>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</si>
  <si>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</si>
  <si>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</si>
  <si>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</si>
  <si>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</si>
  <si>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</si>
  <si>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</si>
  <si>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</si>
  <si>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</si>
  <si>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</si>
  <si>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</si>
  <si>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</si>
  <si>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</si>
  <si>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</si>
  <si>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</si>
  <si>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</si>
  <si>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</si>
  <si>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</si>
  <si>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</si>
  <si>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</si>
  <si>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</si>
  <si>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</si>
  <si>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</si>
  <si>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</si>
  <si>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</si>
  <si>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</si>
  <si>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</si>
  <si>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</si>
  <si>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</si>
  <si>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</si>
  <si>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</si>
  <si>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</si>
  <si>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</si>
  <si>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</si>
  <si>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</si>
  <si>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</si>
  <si>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</si>
  <si>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</si>
  <si>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</si>
  <si>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</si>
  <si>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</si>
  <si>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</si>
  <si>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</si>
  <si>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</si>
  <si>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</si>
  <si>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</si>
  <si>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</si>
  <si>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</si>
  <si>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</si>
  <si>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</si>
  <si>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</si>
  <si>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</si>
  <si>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</si>
  <si>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</si>
  <si>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</si>
  <si>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</si>
  <si>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</si>
  <si>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</si>
  <si>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</si>
  <si>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</si>
  <si>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</si>
  <si>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</si>
  <si>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</si>
  <si>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</si>
  <si>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</si>
  <si>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</si>
  <si>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</si>
  <si>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</si>
  <si>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</si>
  <si>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</si>
  <si>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</si>
  <si>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</si>
  <si>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</si>
  <si>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</si>
  <si>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</si>
  <si>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</si>
  <si>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</si>
  <si>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</si>
  <si>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</si>
  <si>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</si>
  <si>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</si>
  <si>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</si>
  <si>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</si>
  <si>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</si>
  <si>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</si>
  <si>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</si>
  <si>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</si>
  <si>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</si>
  <si>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</si>
  <si>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</si>
  <si>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</si>
  <si>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</si>
  <si>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</si>
  <si>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</si>
  <si>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</si>
  <si>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</si>
  <si>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</si>
  <si>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</si>
  <si>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</si>
  <si>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</si>
  <si>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</si>
  <si>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</si>
  <si>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</si>
  <si>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</si>
  <si>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</si>
  <si>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</si>
  <si>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</si>
  <si>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</si>
  <si>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</si>
  <si>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</si>
  <si>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</si>
  <si>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</si>
  <si>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</si>
  <si>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</si>
  <si>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</si>
  <si>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</si>
  <si>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</si>
  <si>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</si>
  <si>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</si>
  <si>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</si>
  <si>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</si>
  <si>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</si>
  <si>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</si>
  <si>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</si>
  <si>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</si>
  <si>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</si>
  <si>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</si>
  <si>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</si>
  <si>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</si>
  <si>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</si>
  <si>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</si>
  <si>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</si>
  <si>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</si>
  <si>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</si>
  <si>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</si>
  <si>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</si>
  <si>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</si>
  <si>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</si>
  <si>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</si>
  <si>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</si>
  <si>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</si>
  <si>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</si>
  <si>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</si>
  <si>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</si>
  <si>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</si>
  <si>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</si>
  <si>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</si>
  <si>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</si>
  <si>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</si>
  <si>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</si>
  <si>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</si>
  <si>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</si>
  <si>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</si>
  <si>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</si>
  <si>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</si>
  <si>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</si>
  <si>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</si>
  <si>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</si>
  <si>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</si>
  <si>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</si>
  <si>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</si>
  <si>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</si>
  <si>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</si>
  <si>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</si>
  <si>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</si>
  <si>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</si>
  <si>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</si>
  <si>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</si>
  <si>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</si>
  <si>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</si>
  <si>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</si>
  <si>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</si>
  <si>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</si>
  <si>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</si>
  <si>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</si>
  <si>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</si>
  <si>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</si>
  <si>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</si>
  <si>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</si>
  <si>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</si>
  <si>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</si>
  <si>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</si>
  <si>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</si>
  <si>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</si>
  <si>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</si>
  <si>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</si>
  <si>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</si>
  <si>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</si>
  <si>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</si>
  <si>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</si>
  <si>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</si>
  <si>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</si>
  <si>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</si>
  <si>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</si>
  <si>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</si>
  <si>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</si>
  <si>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</si>
  <si>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</si>
  <si>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</si>
  <si>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</si>
  <si>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</si>
  <si>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</si>
  <si>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</si>
  <si>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</si>
  <si>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</si>
  <si>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</si>
  <si>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</si>
  <si>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</si>
  <si>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</si>
  <si>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</si>
  <si>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</si>
  <si>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</si>
  <si>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</si>
  <si>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</si>
  <si>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</si>
  <si>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</si>
  <si>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</si>
  <si>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</si>
  <si>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</si>
  <si>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</si>
  <si>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</si>
  <si>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</si>
  <si>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</si>
  <si>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</si>
  <si>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</si>
  <si>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</si>
  <si>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</si>
  <si>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</si>
  <si>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</si>
  <si>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</si>
  <si>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</si>
  <si>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</si>
  <si>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</si>
  <si>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</si>
  <si>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</si>
  <si>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</si>
  <si>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</si>
  <si>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</si>
  <si>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</si>
  <si>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</si>
  <si>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</si>
  <si>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</si>
  <si>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</si>
  <si>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</si>
  <si>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</si>
  <si>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</si>
  <si>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</si>
  <si>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</si>
  <si>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</si>
  <si>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</si>
  <si>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</si>
  <si>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</si>
  <si>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</si>
  <si>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</si>
  <si>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</si>
  <si>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</si>
  <si>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</si>
  <si>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</si>
  <si>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</si>
  <si>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</si>
  <si>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</si>
  <si>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</si>
  <si>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</si>
  <si>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</si>
  <si>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</si>
  <si>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</si>
  <si>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</si>
  <si>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</si>
  <si>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</si>
  <si>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</si>
  <si>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</si>
  <si>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</si>
  <si>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</si>
  <si>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</si>
  <si>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</si>
  <si>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</si>
  <si>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</si>
  <si>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</si>
  <si>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</si>
  <si>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</si>
  <si>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</si>
  <si>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</si>
  <si>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</si>
  <si>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</si>
  <si>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</si>
  <si>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</si>
  <si>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</si>
  <si>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</si>
  <si>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</si>
  <si>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</si>
  <si>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</si>
  <si>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</si>
  <si>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</si>
  <si>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</si>
  <si>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</si>
  <si>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</si>
  <si>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</si>
  <si>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</si>
  <si>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</si>
  <si>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</si>
  <si>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</si>
  <si>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</si>
  <si>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</si>
  <si>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</si>
  <si>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</si>
  <si>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</si>
  <si>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</si>
  <si>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</si>
  <si>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</si>
  <si>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</si>
  <si>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</si>
  <si>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</si>
  <si>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</si>
  <si>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</si>
  <si>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</si>
  <si>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</si>
  <si>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</si>
  <si>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</si>
  <si>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</si>
  <si>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</si>
  <si>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</si>
  <si>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</si>
  <si>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</si>
  <si>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</si>
  <si>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</si>
  <si>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</si>
  <si>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</si>
  <si>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</si>
  <si>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</si>
  <si>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</si>
  <si>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</si>
  <si>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</si>
  <si>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</si>
  <si>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</si>
  <si>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</si>
  <si>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</si>
  <si>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</si>
  <si>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</si>
  <si>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</si>
  <si>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</si>
  <si>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</si>
  <si>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</si>
  <si>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</si>
  <si>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</si>
  <si>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</si>
  <si>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</si>
  <si>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</si>
  <si>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</si>
  <si>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</si>
  <si>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</si>
  <si>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</si>
  <si>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</si>
  <si>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</si>
  <si>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</si>
  <si>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</si>
  <si>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</si>
  <si>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</si>
  <si>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</si>
  <si>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</si>
  <si>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</si>
  <si>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</si>
  <si>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</si>
  <si>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</si>
  <si>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</si>
  <si>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</si>
  <si>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</si>
  <si>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</si>
  <si>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</si>
  <si>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</si>
  <si>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</si>
  <si>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</si>
  <si>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</si>
  <si>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</si>
  <si>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</si>
  <si>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</si>
  <si>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</si>
  <si>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</si>
  <si>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</si>
  <si>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</si>
  <si>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</si>
  <si>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</si>
  <si>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</si>
  <si>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</si>
  <si>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</si>
  <si>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</si>
  <si>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</si>
  <si>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</si>
  <si>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</si>
  <si>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</si>
  <si>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</si>
  <si>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</si>
  <si>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</si>
  <si>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</si>
  <si>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</si>
  <si>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</si>
  <si>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</si>
  <si>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</si>
  <si>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</si>
  <si>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</si>
  <si>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</si>
  <si>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</si>
  <si>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</si>
  <si>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</si>
  <si>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</si>
  <si>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</si>
  <si>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</si>
  <si>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</si>
  <si>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</si>
  <si>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</si>
  <si>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</si>
  <si>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</si>
  <si>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</si>
  <si>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</si>
  <si>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</si>
  <si>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</si>
  <si>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</si>
  <si>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</si>
  <si>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</si>
  <si>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</si>
  <si>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</si>
  <si>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</si>
  <si>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</si>
  <si>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</si>
  <si>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</si>
  <si>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</si>
  <si>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</si>
  <si>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</si>
  <si>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</si>
  <si>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</si>
  <si>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</si>
  <si>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</si>
  <si>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</si>
  <si>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</si>
  <si>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</si>
  <si>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</si>
  <si>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</si>
  <si>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</si>
  <si>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</si>
  <si>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</si>
  <si>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</si>
  <si>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</si>
  <si>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</si>
  <si>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</si>
  <si>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</si>
  <si>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</si>
  <si>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</si>
  <si>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</si>
  <si>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</si>
  <si>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</si>
  <si>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</si>
  <si>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</si>
  <si>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</si>
  <si>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</si>
  <si>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</si>
  <si>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</si>
  <si>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</si>
  <si>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</si>
  <si>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</si>
  <si>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</si>
  <si>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</si>
  <si>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</si>
  <si>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</si>
  <si>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</si>
  <si>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</si>
  <si>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</si>
  <si>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</si>
  <si>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</si>
  <si>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</si>
  <si>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</si>
  <si>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</si>
  <si>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</si>
  <si>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</si>
  <si>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</si>
  <si>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</si>
  <si>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</si>
  <si>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</si>
  <si>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</si>
  <si>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</si>
  <si>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</si>
  <si>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</si>
  <si>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</si>
  <si>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</si>
  <si>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</si>
  <si>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</si>
  <si>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</si>
  <si>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</si>
  <si>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</si>
  <si>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</si>
  <si>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</si>
  <si>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</si>
  <si>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</si>
  <si>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</si>
  <si>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</si>
  <si>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</si>
  <si>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</si>
  <si>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</si>
  <si>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</si>
  <si>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</si>
  <si>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</si>
  <si>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</si>
  <si>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</si>
  <si>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</si>
  <si>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</si>
  <si>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</si>
  <si>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</si>
  <si>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</si>
  <si>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</si>
  <si>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</si>
  <si>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</si>
  <si>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</si>
  <si>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</si>
  <si>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</si>
  <si>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</si>
  <si>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</si>
  <si>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</si>
  <si>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</si>
  <si>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</si>
  <si>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</si>
  <si>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</si>
  <si>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</si>
  <si>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</si>
  <si>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</si>
  <si>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</si>
  <si>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</si>
  <si>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</si>
  <si>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</si>
  <si>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</si>
  <si>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</si>
  <si>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</si>
  <si>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</si>
  <si>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</si>
  <si>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</si>
  <si>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</si>
  <si>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</si>
  <si>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</si>
  <si>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</si>
  <si>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</si>
  <si>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</si>
  <si>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</si>
  <si>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</si>
  <si>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</si>
  <si>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</si>
  <si>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</si>
  <si>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</si>
  <si>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</si>
  <si>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</si>
  <si>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</si>
  <si>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</si>
  <si>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</si>
  <si>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</si>
  <si>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</si>
  <si>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</si>
  <si>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</si>
  <si>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</si>
  <si>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</si>
  <si>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</si>
  <si>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</si>
  <si>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</si>
  <si>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</si>
  <si>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</si>
  <si>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</si>
  <si>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</si>
  <si>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</si>
  <si>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</si>
  <si>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</si>
  <si>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</si>
  <si>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</si>
  <si>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</si>
  <si>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</si>
  <si>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</si>
  <si>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</si>
  <si>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</si>
  <si>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</si>
  <si>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</si>
  <si>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</si>
  <si>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</si>
  <si>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</si>
  <si>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</si>
  <si>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</si>
  <si>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</si>
  <si>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</si>
  <si>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</si>
  <si>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</si>
  <si>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</si>
  <si>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</si>
  <si>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</si>
  <si>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</si>
  <si>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</si>
  <si>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</si>
  <si>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</si>
  <si>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</si>
  <si>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</si>
  <si>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</si>
  <si>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</si>
  <si>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</si>
  <si>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</si>
  <si>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</si>
  <si>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</si>
  <si>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</si>
  <si>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</si>
  <si>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</si>
  <si>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</si>
  <si>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</si>
  <si>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</si>
  <si>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</si>
  <si>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</si>
  <si>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</si>
  <si>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</si>
  <si>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</si>
  <si>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</si>
  <si>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</si>
  <si>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</si>
  <si>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</si>
  <si>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</si>
  <si>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</si>
  <si>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</si>
  <si>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</si>
  <si>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</si>
  <si>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</si>
  <si>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</si>
  <si>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</si>
  <si>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</si>
  <si>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</si>
  <si>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</si>
  <si>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</si>
  <si>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</si>
  <si>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</si>
  <si>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</si>
  <si>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</si>
  <si>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</si>
  <si>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</si>
  <si>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</si>
  <si>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</si>
  <si>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</si>
  <si>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</si>
  <si>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</si>
  <si>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</si>
  <si>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</si>
  <si>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</si>
  <si>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</si>
  <si>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</si>
  <si>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</si>
  <si>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</si>
  <si>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</si>
  <si>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</si>
  <si>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</si>
  <si>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</si>
  <si>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</si>
  <si>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</si>
  <si>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</si>
  <si>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</si>
  <si>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</si>
  <si>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</si>
  <si>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</si>
  <si>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</si>
  <si>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</si>
  <si>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</si>
  <si>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</si>
  <si>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</si>
  <si>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</si>
  <si>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</si>
  <si>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</si>
  <si>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</si>
  <si>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</si>
  <si>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</si>
  <si>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</si>
  <si>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</si>
  <si>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</si>
  <si>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</si>
  <si>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</si>
  <si>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</si>
  <si>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</si>
  <si>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</si>
  <si>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</si>
  <si>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</si>
  <si>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</si>
  <si>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</si>
  <si>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</si>
  <si>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</si>
  <si>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</si>
  <si>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</si>
  <si>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</si>
  <si>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</si>
  <si>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</si>
  <si>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</si>
  <si>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</si>
  <si>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</si>
  <si>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</si>
  <si>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</si>
  <si>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</si>
  <si>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</si>
  <si>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</si>
  <si>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</si>
  <si>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</si>
  <si>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</si>
  <si>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</si>
  <si>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</si>
  <si>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</si>
  <si>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</si>
  <si>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</si>
  <si>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</si>
  <si>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</si>
  <si>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</si>
  <si>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</si>
  <si>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</si>
  <si>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</si>
  <si>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</si>
  <si>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</si>
  <si>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</si>
  <si>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</si>
  <si>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</si>
  <si>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</si>
  <si>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</si>
  <si>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</si>
  <si>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</si>
  <si>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</si>
  <si>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</si>
  <si>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</si>
  <si>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</si>
  <si>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</si>
  <si>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</si>
  <si>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</si>
  <si>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</si>
  <si>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</si>
  <si>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</si>
  <si>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</si>
  <si>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</si>
  <si>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</si>
  <si>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</si>
  <si>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</si>
  <si>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</si>
  <si>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</si>
  <si>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</si>
  <si>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</si>
  <si>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</si>
  <si>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</si>
  <si>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</si>
  <si>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</si>
  <si>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</si>
  <si>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</si>
  <si>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</si>
  <si>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</si>
  <si>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</si>
  <si>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</si>
  <si>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</si>
  <si>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</si>
  <si>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</si>
  <si>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</si>
  <si>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</si>
  <si>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</si>
  <si>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</si>
  <si>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</si>
  <si>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</si>
  <si>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</si>
  <si>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</si>
  <si>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</si>
  <si>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</si>
  <si>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</si>
  <si>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</si>
  <si>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</si>
  <si>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</si>
  <si>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</si>
  <si>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</si>
  <si>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</si>
  <si>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</si>
  <si>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</si>
  <si>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</si>
  <si>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</si>
  <si>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</si>
  <si>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</si>
  <si>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</si>
  <si>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</si>
  <si>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</si>
  <si>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</si>
  <si>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</si>
  <si>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</si>
  <si>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</si>
  <si>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</si>
  <si>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</si>
  <si>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</si>
  <si>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</si>
  <si>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</si>
  <si>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</si>
  <si>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</si>
  <si>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</si>
  <si>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</si>
  <si>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</si>
  <si>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</si>
  <si>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</si>
  <si>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</si>
  <si>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</si>
  <si>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</si>
  <si>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</si>
  <si>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</si>
  <si>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</si>
  <si>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</si>
  <si>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</si>
  <si>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</si>
  <si>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</si>
  <si>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</si>
  <si>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</si>
  <si>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</si>
  <si>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</si>
  <si>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</si>
  <si>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</si>
  <si>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</si>
  <si>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</si>
  <si>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</si>
  <si>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</si>
  <si>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</si>
  <si>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</si>
  <si>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</si>
  <si>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</si>
  <si>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</si>
  <si>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</si>
  <si>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</si>
  <si>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</si>
  <si>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</si>
  <si>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</si>
  <si>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</si>
  <si>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</si>
  <si>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</si>
  <si>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</si>
  <si>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</si>
  <si>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</si>
  <si>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</si>
  <si>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</si>
  <si>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</si>
  <si>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</si>
  <si>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</si>
  <si>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</si>
  <si>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</si>
  <si>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</si>
  <si>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</si>
  <si>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</si>
  <si>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</si>
  <si>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</si>
  <si>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</si>
  <si>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</si>
  <si>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</si>
  <si>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</si>
  <si>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</si>
  <si>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</si>
  <si>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</si>
  <si>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</si>
  <si>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</si>
  <si>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</si>
  <si>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</si>
  <si>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</si>
  <si>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</si>
  <si>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</si>
  <si>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</si>
  <si>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</si>
  <si>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</si>
  <si>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</si>
  <si>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</si>
  <si>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</si>
  <si>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</si>
  <si>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</si>
  <si>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</si>
  <si>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</si>
  <si>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</si>
  <si>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</si>
  <si>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</si>
  <si>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</si>
  <si>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</si>
  <si>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</si>
  <si>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</si>
  <si>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</si>
  <si>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</si>
  <si>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</si>
  <si>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</si>
  <si>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</si>
  <si>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</si>
  <si>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</si>
  <si>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</si>
  <si>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</si>
  <si>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</si>
  <si>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</si>
  <si>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</si>
  <si>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</si>
  <si>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</si>
  <si>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</si>
  <si>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</si>
  <si>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</si>
  <si>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</si>
  <si>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</si>
  <si>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</si>
  <si>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</si>
  <si>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</si>
  <si>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</si>
  <si>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</si>
  <si>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</si>
  <si>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</si>
  <si>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</si>
  <si>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</si>
  <si>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</si>
  <si>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</si>
  <si>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</si>
  <si>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</si>
  <si>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</si>
  <si>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</si>
  <si>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</si>
  <si>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</si>
  <si>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</si>
  <si>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</si>
  <si>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</si>
  <si>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</si>
  <si>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</si>
  <si>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</si>
  <si>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</si>
  <si>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</si>
  <si>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</si>
  <si>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</si>
  <si>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</si>
  <si>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</si>
  <si>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</si>
  <si>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</si>
  <si>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</si>
  <si>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</si>
  <si>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</si>
  <si>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</si>
  <si>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</si>
  <si>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</si>
  <si>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</si>
  <si>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</si>
  <si>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</si>
  <si>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</si>
  <si>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</si>
  <si>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</si>
  <si>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</si>
  <si>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</si>
  <si>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</si>
  <si>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</si>
  <si>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</si>
  <si>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</si>
  <si>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</si>
  <si>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</si>
  <si>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</si>
  <si>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</si>
  <si>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</si>
  <si>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</si>
  <si>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</si>
  <si>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</si>
  <si>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</si>
  <si>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</si>
  <si>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</si>
  <si>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</si>
  <si>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</si>
  <si>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</si>
  <si>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</si>
  <si>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</si>
  <si>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</si>
  <si>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</si>
  <si>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</si>
  <si>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</si>
  <si>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</si>
  <si>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</si>
  <si>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</si>
  <si>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</si>
  <si>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</si>
  <si>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</si>
  <si>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</si>
  <si>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</si>
  <si>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</si>
  <si>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</si>
  <si>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</si>
  <si>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</si>
  <si>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</si>
  <si>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</si>
  <si>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</si>
  <si>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</si>
  <si>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</si>
  <si>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</si>
  <si>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</si>
  <si>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</si>
  <si>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</si>
  <si>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</si>
  <si>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</si>
  <si>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</si>
  <si>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</si>
  <si>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</si>
  <si>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</si>
  <si>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</si>
  <si>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</si>
  <si>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</si>
  <si>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</si>
  <si>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</si>
  <si>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</si>
  <si>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</si>
  <si>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</si>
  <si>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</si>
  <si>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</si>
  <si>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</si>
  <si>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</si>
  <si>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</si>
  <si>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</si>
  <si>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</si>
  <si>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</si>
  <si>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</si>
  <si>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</si>
  <si>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</si>
  <si>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</si>
  <si>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</si>
  <si>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</si>
  <si>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</si>
  <si>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</si>
  <si>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</si>
  <si>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</si>
  <si>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</si>
  <si>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</si>
  <si>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</si>
  <si>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</si>
  <si>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</si>
  <si>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</si>
  <si>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</si>
  <si>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</si>
  <si>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</si>
  <si>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</si>
  <si>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</si>
  <si>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</si>
  <si>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</si>
  <si>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</si>
  <si>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</si>
  <si>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</si>
  <si>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</si>
  <si>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</si>
  <si>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</si>
  <si>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</si>
  <si>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</si>
  <si>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</si>
  <si>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</si>
  <si>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</si>
  <si>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</si>
  <si>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</si>
  <si>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</si>
  <si>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</si>
  <si>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</si>
  <si>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</si>
  <si>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</si>
  <si>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</si>
  <si>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</si>
  <si>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</si>
  <si>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</si>
  <si>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</si>
  <si>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</si>
  <si>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</si>
  <si>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</si>
  <si>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</si>
  <si>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</si>
  <si>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</si>
  <si>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</si>
  <si>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</si>
  <si>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</si>
  <si>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</si>
  <si>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</si>
  <si>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</si>
  <si>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</si>
  <si>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</si>
  <si>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</si>
  <si>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</si>
  <si>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</si>
  <si>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</si>
  <si>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</si>
  <si>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</si>
  <si>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</si>
  <si>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</si>
  <si>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</si>
  <si>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</si>
  <si>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</si>
  <si>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</si>
  <si>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</si>
  <si>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</si>
  <si>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</si>
  <si>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</si>
  <si>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</si>
  <si>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</si>
  <si>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</si>
  <si>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</si>
  <si>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</si>
  <si>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</si>
  <si>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</si>
  <si>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</si>
  <si>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</si>
  <si>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</si>
  <si>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</si>
  <si>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</si>
  <si>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</si>
  <si>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</si>
  <si>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</si>
  <si>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</si>
  <si>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</si>
  <si>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</si>
  <si>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</si>
  <si>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</si>
  <si>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</si>
  <si>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</si>
  <si>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</si>
  <si>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</si>
  <si>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</si>
  <si>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</si>
  <si>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</si>
  <si>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</si>
  <si>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</si>
  <si>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</si>
  <si>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</si>
  <si>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</si>
  <si>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</si>
  <si>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</si>
  <si>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</si>
  <si>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</si>
  <si>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</si>
  <si>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</si>
  <si>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</si>
  <si>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</si>
  <si>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</si>
  <si>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</si>
  <si>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</si>
  <si>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</si>
  <si>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</si>
  <si>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</si>
  <si>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</si>
  <si>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</si>
  <si>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</si>
  <si>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</si>
  <si>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</si>
  <si>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</si>
  <si>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</si>
  <si>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</si>
  <si>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</si>
  <si>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</si>
  <si>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</si>
  <si>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</si>
  <si>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</si>
  <si>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</si>
  <si>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</si>
  <si>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</si>
  <si>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</si>
  <si>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</si>
  <si>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</si>
  <si>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</si>
  <si>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</si>
  <si>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</si>
  <si>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</si>
  <si>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</si>
  <si>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</si>
  <si>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</si>
  <si>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</si>
  <si>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</si>
  <si>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</si>
  <si>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</si>
  <si>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</si>
  <si>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</si>
  <si>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</si>
  <si>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</si>
  <si>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</si>
  <si>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</si>
  <si>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</si>
  <si>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</si>
  <si>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</si>
  <si>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</si>
  <si>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</si>
  <si>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</si>
  <si>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</si>
  <si>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</si>
  <si>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</si>
  <si>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</si>
  <si>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</si>
  <si>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</si>
  <si>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</si>
  <si>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</si>
  <si>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</si>
  <si>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</si>
  <si>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</si>
  <si>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</si>
  <si>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</si>
  <si>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</si>
  <si>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</si>
  <si>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</si>
  <si>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</si>
  <si>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</si>
  <si>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</si>
  <si>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</si>
  <si>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</si>
  <si>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</si>
  <si>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</si>
  <si>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</si>
  <si>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</si>
  <si>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</si>
  <si>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</si>
  <si>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</si>
  <si>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</si>
  <si>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</si>
  <si>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</si>
  <si>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</si>
  <si>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</si>
  <si>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</si>
  <si>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</si>
  <si>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</si>
  <si>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</si>
  <si>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</si>
  <si>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</si>
  <si>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</si>
  <si>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</si>
  <si>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</si>
  <si>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</si>
  <si>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</si>
  <si>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</si>
  <si>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</si>
  <si>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</si>
  <si>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</si>
  <si>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</si>
  <si>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</si>
  <si>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</si>
  <si>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</si>
  <si>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</si>
  <si>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</si>
  <si>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</si>
  <si>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</si>
  <si>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</si>
  <si>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</si>
  <si>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</si>
  <si>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</si>
  <si>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</si>
  <si>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</si>
  <si>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</si>
  <si>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</si>
  <si>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</si>
  <si>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</si>
  <si>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</si>
  <si>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</si>
  <si>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</si>
  <si>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</si>
  <si>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</si>
  <si>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</si>
  <si>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</si>
  <si>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</si>
  <si>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</si>
  <si>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</si>
  <si>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</si>
  <si>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</si>
  <si>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</si>
  <si>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</si>
  <si>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</si>
  <si>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</si>
  <si>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</si>
  <si>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</si>
  <si>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</si>
  <si>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</si>
  <si>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</si>
  <si>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</si>
  <si>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</si>
  <si>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</si>
  <si>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</si>
  <si>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</si>
  <si>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</si>
  <si>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</si>
  <si>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</si>
  <si>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</si>
  <si>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</si>
  <si>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</si>
  <si>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</si>
  <si>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</si>
  <si>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</si>
  <si>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</si>
  <si>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</si>
  <si>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</si>
  <si>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</si>
  <si>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</si>
  <si>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</si>
  <si>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</si>
  <si>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</si>
  <si>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</si>
  <si>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</si>
  <si>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</si>
  <si>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</si>
  <si>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</si>
  <si>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</si>
  <si>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</si>
  <si>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</si>
  <si>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</si>
  <si>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</si>
  <si>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</si>
  <si>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</si>
  <si>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</si>
  <si>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</si>
  <si>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</si>
  <si>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</si>
  <si>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</si>
  <si>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</si>
  <si>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</si>
  <si>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</si>
  <si>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</si>
  <si>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</si>
  <si>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</si>
  <si>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</si>
  <si>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</si>
  <si>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</si>
  <si>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</si>
  <si>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</si>
  <si>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</si>
  <si>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</si>
  <si>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</si>
  <si>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</si>
  <si>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</si>
  <si>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</si>
  <si>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</si>
  <si>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</si>
  <si>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</si>
  <si>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</si>
  <si>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</si>
  <si>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</si>
  <si>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</si>
  <si>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</si>
  <si>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</si>
  <si>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</si>
  <si>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</si>
  <si>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</si>
  <si>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</si>
  <si>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</si>
  <si>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</si>
  <si>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</si>
  <si>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</si>
  <si>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</si>
  <si>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</si>
  <si>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</si>
  <si>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</si>
  <si>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</si>
  <si>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</si>
  <si>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</si>
  <si>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</si>
  <si>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</si>
  <si>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</si>
  <si>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</si>
  <si>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</si>
  <si>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</si>
  <si>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</si>
  <si>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</si>
  <si>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</si>
  <si>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</si>
  <si>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</si>
  <si>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</si>
  <si>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</si>
  <si>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</si>
  <si>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</si>
  <si>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</si>
  <si>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</si>
  <si>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</si>
  <si>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</si>
  <si>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</si>
  <si>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</si>
  <si>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</si>
  <si>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</si>
  <si>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</si>
  <si>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</si>
  <si>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</si>
  <si>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</si>
  <si>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</si>
  <si>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</si>
  <si>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</si>
  <si>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</si>
  <si>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</si>
  <si>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</si>
  <si>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</si>
  <si>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</si>
  <si>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</si>
  <si>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</si>
  <si>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</si>
  <si>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</si>
  <si>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</si>
  <si>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</si>
  <si>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</si>
  <si>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</si>
  <si>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</si>
  <si>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</si>
  <si>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</si>
  <si>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</si>
  <si>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</si>
  <si>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</si>
  <si>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</si>
  <si>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</si>
  <si>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</si>
  <si>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</si>
  <si>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</si>
  <si>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</si>
  <si>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</si>
  <si>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</si>
  <si>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</si>
  <si>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</si>
  <si>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</si>
  <si>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</si>
  <si>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</si>
  <si>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</si>
  <si>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</si>
  <si>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</si>
  <si>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</si>
  <si>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</si>
  <si>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</si>
  <si>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</si>
  <si>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</si>
  <si>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</si>
  <si>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</si>
  <si>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</si>
  <si>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</si>
  <si>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</si>
  <si>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</si>
  <si>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</si>
  <si>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</si>
  <si>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</si>
  <si>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</si>
  <si>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</si>
  <si>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</si>
  <si>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</si>
  <si>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</si>
  <si>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</si>
  <si>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</si>
  <si>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</si>
  <si>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</si>
  <si>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</si>
  <si>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</si>
  <si>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</si>
  <si>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</si>
  <si>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</si>
  <si>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</si>
  <si>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</si>
  <si>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</si>
  <si>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</si>
  <si>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</si>
  <si>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</si>
  <si>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</si>
  <si>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</si>
  <si>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</si>
  <si>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</si>
  <si>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</si>
  <si>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</si>
  <si>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</si>
  <si>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</si>
  <si>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</si>
  <si>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</si>
  <si>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</si>
  <si>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</si>
  <si>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</si>
  <si>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</si>
  <si>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</si>
  <si>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</si>
  <si>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</si>
  <si>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</si>
  <si>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</si>
  <si>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</si>
  <si>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</si>
  <si>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</si>
  <si>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</si>
  <si>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</si>
  <si>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</si>
  <si>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</si>
  <si>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</si>
  <si>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</si>
  <si>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</si>
  <si>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</si>
  <si>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</si>
  <si>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</si>
  <si>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</si>
  <si>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</si>
  <si>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</si>
  <si>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</si>
  <si>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</si>
  <si>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</si>
  <si>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</si>
  <si>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</si>
  <si>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</si>
  <si>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</si>
  <si>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</si>
  <si>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</si>
  <si>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</si>
  <si>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</si>
  <si>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</si>
  <si>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</si>
  <si>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</si>
  <si>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</si>
  <si>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</si>
  <si>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</si>
  <si>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</si>
  <si>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</si>
  <si>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</si>
  <si>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</si>
  <si>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</si>
  <si>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</si>
  <si>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</si>
  <si>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</si>
  <si>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</si>
  <si>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</si>
  <si>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</si>
  <si>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</si>
  <si>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</si>
  <si>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</si>
  <si>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</si>
  <si>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</si>
  <si>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</si>
  <si>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</si>
  <si>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</si>
  <si>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</si>
  <si>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</si>
  <si>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</si>
  <si>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</si>
  <si>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</si>
  <si>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</si>
  <si>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</si>
  <si>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</si>
  <si>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</si>
  <si>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</si>
  <si>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</si>
  <si>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</si>
  <si>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</si>
  <si>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</si>
  <si>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</si>
  <si>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</si>
  <si>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</si>
  <si>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</si>
  <si>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</si>
  <si>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</si>
  <si>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</si>
  <si>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</si>
  <si>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</si>
  <si>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</si>
  <si>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</si>
  <si>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</si>
  <si>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</si>
  <si>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</si>
  <si>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</si>
  <si>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</si>
  <si>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</si>
  <si>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</si>
  <si>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</si>
  <si>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</si>
  <si>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</si>
  <si>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</si>
  <si>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</si>
  <si>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</si>
  <si>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</si>
  <si>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</si>
  <si>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</si>
  <si>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</si>
  <si>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</si>
  <si>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</si>
  <si>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</si>
  <si>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</si>
  <si>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</si>
  <si>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</si>
  <si>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</si>
  <si>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</si>
  <si>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</si>
  <si>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</si>
  <si>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</si>
  <si>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</si>
  <si>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</si>
  <si>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</si>
  <si>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</si>
  <si>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</si>
  <si>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</si>
  <si>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</si>
  <si>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</si>
  <si>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</si>
  <si>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</si>
  <si>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</si>
  <si>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</si>
  <si>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</si>
  <si>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</si>
  <si>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</si>
  <si>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</si>
  <si>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</si>
  <si>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</si>
  <si>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</si>
  <si>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</si>
  <si>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</si>
  <si>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</si>
  <si>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</si>
  <si>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</si>
  <si>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</si>
  <si>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</si>
  <si>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</si>
  <si>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</si>
  <si>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</si>
  <si>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</si>
  <si>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</si>
  <si>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</si>
  <si>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</si>
  <si>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</si>
  <si>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</si>
  <si>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</si>
  <si>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</si>
  <si>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</si>
  <si>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</si>
  <si>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</si>
  <si>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</si>
  <si>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</si>
  <si>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</si>
  <si>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</si>
  <si>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</si>
  <si>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</si>
  <si>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</si>
  <si>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</si>
  <si>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</si>
  <si>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</si>
  <si>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</si>
  <si>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</si>
  <si>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</si>
  <si>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</si>
  <si>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</si>
  <si>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</si>
  <si>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</si>
  <si>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</si>
  <si>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</si>
  <si>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</si>
  <si>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</si>
  <si>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</si>
  <si>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</si>
  <si>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</si>
  <si>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</si>
  <si>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</si>
  <si>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</si>
  <si>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</si>
  <si>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</si>
  <si>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</si>
  <si>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</si>
  <si>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</si>
  <si>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</si>
  <si>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</si>
  <si>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</si>
  <si>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</si>
  <si>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</si>
  <si>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</si>
  <si>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</si>
  <si>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</si>
  <si>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</si>
  <si>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</si>
  <si>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</si>
  <si>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</si>
  <si>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</si>
  <si>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</si>
  <si>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</si>
  <si>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</si>
  <si>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</si>
  <si>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</si>
  <si>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</si>
  <si>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</si>
  <si>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</si>
  <si>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</si>
  <si>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</si>
  <si>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</si>
  <si>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</si>
  <si>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</si>
  <si>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</si>
  <si>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</si>
  <si>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</si>
  <si>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</si>
  <si>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</si>
  <si>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</si>
  <si>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</si>
  <si>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</si>
  <si>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</si>
  <si>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</si>
  <si>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</si>
  <si>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</si>
  <si>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</si>
  <si>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</si>
  <si>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</si>
  <si>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</si>
  <si>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</si>
  <si>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</si>
  <si>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</si>
  <si>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</si>
  <si>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</si>
  <si>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</si>
  <si>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</si>
  <si>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</si>
  <si>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</si>
  <si>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</si>
  <si>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</si>
  <si>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</si>
  <si>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</si>
  <si>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</si>
  <si>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</si>
  <si>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</si>
  <si>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</si>
  <si>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</si>
  <si>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</si>
  <si>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</si>
  <si>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</si>
  <si>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</si>
  <si>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</si>
  <si>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</si>
  <si>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</si>
  <si>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</si>
  <si>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</si>
  <si>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</si>
  <si>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</si>
  <si>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</si>
  <si>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</si>
  <si>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</si>
  <si>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</si>
  <si>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</si>
  <si>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</si>
  <si>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</si>
  <si>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</si>
  <si>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</si>
  <si>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</si>
  <si>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</si>
  <si>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</si>
  <si>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</si>
  <si>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</si>
  <si>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</si>
  <si>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</si>
  <si>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</si>
  <si>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</si>
  <si>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</si>
  <si>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</si>
  <si>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</si>
  <si>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</si>
  <si>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</si>
  <si>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</si>
  <si>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</si>
  <si>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</si>
  <si>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</si>
  <si>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</si>
  <si>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</si>
  <si>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</si>
  <si>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</si>
  <si>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</si>
  <si>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</si>
  <si>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</si>
  <si>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</si>
  <si>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</si>
  <si>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</si>
  <si>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</si>
  <si>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</si>
  <si>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</si>
  <si>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</si>
  <si>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</si>
  <si>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</si>
  <si>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</si>
  <si>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</si>
  <si>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</si>
  <si>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</si>
  <si>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</si>
  <si>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</si>
  <si>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</si>
  <si>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</si>
  <si>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</si>
  <si>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</si>
  <si>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</si>
  <si>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</si>
  <si>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</si>
  <si>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</si>
  <si>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</si>
  <si>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</si>
  <si>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</si>
  <si>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</si>
  <si>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</si>
  <si>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</si>
  <si>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</si>
  <si>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</si>
  <si>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</si>
  <si>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</si>
  <si>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</si>
  <si>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</si>
  <si>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</si>
  <si>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</si>
  <si>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</si>
  <si>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</si>
  <si>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</si>
  <si>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</si>
  <si>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</si>
  <si>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</si>
  <si>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</si>
  <si>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</si>
  <si>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</si>
  <si>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</si>
  <si>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</si>
  <si>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</si>
  <si>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</si>
  <si>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</si>
  <si>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</si>
  <si>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</si>
  <si>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</si>
  <si>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</si>
  <si>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</si>
  <si>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</si>
  <si>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</si>
  <si>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</si>
  <si>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</si>
  <si>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</si>
  <si>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</si>
  <si>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</si>
  <si>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</si>
  <si>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</si>
  <si>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</si>
  <si>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</si>
  <si>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</si>
  <si>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</si>
  <si>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</si>
  <si>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</si>
  <si>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</si>
  <si>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</si>
  <si>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</si>
  <si>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</si>
  <si>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</si>
  <si>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</si>
  <si>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</si>
  <si>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</si>
  <si>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</si>
  <si>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</si>
  <si>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</si>
  <si>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</si>
  <si>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</si>
  <si>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</si>
  <si>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</si>
  <si>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</si>
  <si>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</si>
  <si>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</si>
  <si>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</si>
  <si>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</si>
  <si>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</si>
  <si>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</si>
  <si>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</si>
  <si>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</si>
  <si>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</si>
  <si>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</si>
  <si>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</si>
  <si>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</si>
  <si>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</si>
  <si>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</si>
  <si>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</si>
  <si>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</si>
  <si>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</si>
  <si>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</si>
  <si>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</si>
  <si>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</si>
  <si>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</si>
  <si>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</si>
  <si>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</si>
  <si>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</si>
  <si>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</si>
  <si>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</si>
  <si>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</si>
  <si>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</si>
  <si>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</si>
  <si>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</si>
  <si>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</si>
  <si>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</si>
  <si>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</si>
  <si>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</si>
  <si>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</si>
  <si>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</si>
  <si>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</si>
  <si>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</si>
  <si>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</si>
  <si>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</si>
  <si>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</si>
  <si>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</si>
  <si>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</si>
  <si>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</si>
  <si>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</si>
  <si>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</si>
  <si>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</si>
  <si>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</si>
  <si>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</si>
  <si>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</si>
  <si>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</si>
  <si>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</si>
  <si>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</si>
  <si>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</si>
  <si>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</si>
  <si>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</si>
  <si>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</si>
  <si>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</si>
  <si>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</si>
  <si>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</si>
  <si>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</si>
  <si>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</si>
  <si>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</si>
  <si>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</si>
  <si>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</si>
  <si>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</si>
  <si>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</si>
  <si>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</si>
  <si>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</si>
  <si>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</si>
  <si>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</si>
  <si>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</si>
  <si>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</si>
  <si>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</si>
  <si>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</si>
  <si>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</si>
  <si>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</si>
  <si>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</si>
  <si>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</si>
  <si>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</si>
  <si>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</si>
  <si>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</si>
  <si>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</si>
  <si>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</si>
  <si>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</si>
  <si>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</si>
  <si>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</si>
  <si>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</si>
  <si>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</si>
  <si>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</si>
  <si>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</si>
  <si>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</si>
  <si>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</si>
  <si>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</si>
  <si>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</si>
  <si>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</si>
  <si>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</si>
  <si>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</si>
  <si>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</si>
  <si>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</si>
  <si>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</si>
  <si>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</si>
  <si>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</si>
  <si>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</si>
  <si>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</si>
  <si>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</si>
  <si>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</si>
  <si>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</si>
  <si>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</si>
  <si>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</si>
  <si>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</si>
  <si>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</si>
  <si>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</si>
  <si>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</si>
  <si>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</si>
  <si>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</si>
  <si>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</si>
  <si>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</si>
  <si>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</si>
  <si>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</si>
  <si>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</si>
  <si>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</si>
  <si>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</si>
  <si>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</si>
  <si>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</si>
  <si>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</si>
  <si>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</si>
  <si>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</si>
  <si>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</si>
  <si>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</si>
  <si>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</si>
  <si>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</si>
  <si>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</si>
  <si>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</si>
  <si>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</si>
  <si>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</si>
  <si>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</si>
  <si>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</si>
  <si>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</si>
  <si>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</si>
  <si>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</si>
  <si>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</si>
  <si>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</si>
  <si>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</si>
  <si>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</si>
  <si>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</si>
  <si>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</si>
  <si>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</si>
  <si>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</si>
  <si>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</si>
  <si>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</si>
  <si>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</si>
  <si>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</si>
  <si>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</si>
  <si>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</si>
  <si>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</si>
  <si>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</si>
  <si>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</si>
  <si>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</si>
  <si>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</si>
  <si>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</si>
  <si>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</si>
  <si>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</si>
  <si>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</si>
  <si>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</si>
  <si>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</si>
  <si>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</si>
  <si>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</si>
  <si>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</si>
  <si>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</si>
  <si>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</si>
  <si>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</si>
  <si>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</si>
  <si>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</si>
  <si>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</si>
  <si>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</si>
  <si>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</si>
  <si>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</si>
  <si>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</si>
  <si>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</si>
  <si>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</si>
  <si>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</si>
  <si>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</si>
  <si>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</si>
  <si>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</si>
  <si>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</si>
  <si>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</si>
  <si>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</si>
  <si>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</si>
  <si>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</si>
  <si>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</si>
  <si>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</si>
  <si>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</si>
  <si>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</si>
  <si>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</si>
  <si>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</si>
  <si>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</si>
  <si>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</si>
  <si>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</si>
  <si>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</si>
  <si>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</si>
  <si>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</si>
  <si>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</si>
  <si>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</si>
  <si>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</si>
  <si>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</si>
  <si>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</si>
  <si>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</si>
  <si>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</si>
  <si>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</si>
  <si>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</si>
  <si>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</si>
  <si>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</si>
  <si>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</si>
  <si>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</si>
  <si>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</si>
  <si>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</si>
  <si>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</si>
  <si>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</si>
  <si>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</si>
  <si>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</si>
  <si>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</si>
  <si>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</si>
  <si>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</si>
  <si>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</si>
  <si>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</si>
  <si>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</si>
  <si>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</si>
  <si>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</si>
  <si>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</si>
  <si>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</si>
  <si>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</si>
  <si>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</si>
  <si>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</si>
  <si>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</si>
  <si>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</si>
  <si>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</si>
  <si>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</si>
  <si>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</si>
  <si>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</si>
  <si>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</si>
  <si>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</si>
  <si>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</si>
  <si>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</si>
  <si>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</si>
  <si>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</si>
  <si>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</si>
  <si>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</si>
  <si>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</si>
  <si>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</si>
  <si>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</si>
  <si>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</si>
  <si>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</si>
  <si>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</si>
  <si>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</si>
  <si>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</si>
  <si>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</si>
  <si>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</si>
  <si>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</si>
  <si>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</si>
  <si>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</si>
  <si>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</si>
  <si>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</si>
  <si>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</si>
  <si>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</si>
  <si>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</si>
  <si>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</si>
  <si>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</si>
  <si>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</si>
  <si>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</si>
  <si>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</si>
  <si>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</si>
  <si>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</si>
  <si>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</si>
  <si>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</si>
  <si>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</si>
  <si>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</si>
  <si>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</si>
  <si>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</si>
  <si>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</si>
  <si>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</si>
  <si>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</si>
  <si>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</si>
  <si>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</si>
  <si>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</si>
  <si>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</si>
  <si>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</si>
  <si>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</si>
  <si>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</si>
  <si>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</si>
  <si>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</si>
  <si>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</si>
  <si>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</si>
  <si>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</si>
  <si>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</si>
  <si>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</si>
  <si>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</si>
  <si>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</si>
  <si>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</si>
  <si>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</si>
  <si>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</si>
  <si>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</si>
  <si>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</si>
  <si>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</si>
  <si>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</si>
  <si>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</si>
  <si>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</si>
  <si>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</si>
  <si>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</si>
  <si>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</si>
  <si>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</si>
  <si>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</si>
  <si>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</si>
  <si>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</si>
  <si>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</si>
  <si>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</si>
  <si>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</si>
  <si>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</si>
  <si>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</si>
  <si>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</si>
  <si>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</si>
  <si>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</si>
  <si>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</si>
  <si>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</si>
  <si>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</si>
  <si>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</si>
  <si>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</si>
  <si>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</si>
  <si>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</si>
  <si>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</si>
  <si>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</si>
  <si>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</si>
  <si>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</si>
  <si>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</si>
  <si>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</si>
  <si>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</si>
  <si>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</si>
  <si>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</si>
  <si>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</si>
  <si>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</si>
  <si>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</si>
  <si>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</si>
  <si>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</si>
  <si>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</si>
  <si>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</si>
  <si>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</si>
  <si>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</si>
  <si>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</si>
  <si>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</si>
  <si>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</si>
  <si>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</si>
  <si>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</si>
  <si>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</si>
  <si>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</si>
  <si>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</si>
  <si>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</si>
  <si>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</si>
  <si>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</si>
  <si>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</si>
  <si>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</si>
  <si>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</si>
  <si>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</si>
  <si>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</si>
  <si>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</si>
  <si>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</si>
  <si>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</si>
  <si>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</si>
  <si>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</si>
  <si>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</si>
  <si>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</si>
  <si>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</si>
  <si>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</si>
  <si>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</si>
  <si>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</si>
  <si>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</si>
  <si>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</si>
  <si>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</si>
  <si>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</si>
  <si>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</si>
  <si>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</si>
  <si>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</si>
  <si>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</si>
  <si>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</si>
  <si>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</si>
  <si>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</si>
  <si>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</si>
  <si>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</si>
  <si>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</si>
  <si>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</si>
  <si>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</si>
  <si>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郑燚</t>
  </si>
  <si>
    <t>吴薇</t>
  </si>
  <si>
    <t>其他：</t>
  </si>
  <si>
    <t>企业</t>
  </si>
  <si>
    <t>抵押</t>
  </si>
  <si>
    <t>抵押价格</t>
  </si>
  <si>
    <t>土地证信息</t>
    <phoneticPr fontId="228" type="noConversion"/>
  </si>
  <si>
    <t>序号</t>
    <phoneticPr fontId="228" type="noConversion"/>
  </si>
  <si>
    <t>证号</t>
    <phoneticPr fontId="228" type="noConversion"/>
  </si>
  <si>
    <t>坐落</t>
    <phoneticPr fontId="228" type="noConversion"/>
  </si>
  <si>
    <t>河东片区红海子南大街北、秦安北路以东</t>
    <phoneticPr fontId="228" type="noConversion"/>
  </si>
  <si>
    <t>用途</t>
    <phoneticPr fontId="228" type="noConversion"/>
  </si>
  <si>
    <t>商业</t>
    <phoneticPr fontId="228" type="noConversion"/>
  </si>
  <si>
    <t>面积</t>
    <phoneticPr fontId="228" type="noConversion"/>
  </si>
  <si>
    <t>终止年限</t>
    <phoneticPr fontId="228" type="noConversion"/>
  </si>
  <si>
    <t>土地使用权人</t>
    <phoneticPr fontId="228" type="noConversion"/>
  </si>
  <si>
    <t>内蒙古金威路桥有限公司</t>
    <phoneticPr fontId="228" type="noConversion"/>
  </si>
  <si>
    <t>集土国用（2015）第D-0084号</t>
    <phoneticPr fontId="228" type="noConversion"/>
  </si>
  <si>
    <t>集土国用（2015）第D-0083号</t>
    <phoneticPr fontId="228" type="noConversion"/>
  </si>
  <si>
    <t>集土国用（2015）第D-0086号</t>
    <phoneticPr fontId="228" type="noConversion"/>
  </si>
  <si>
    <t>商业</t>
    <phoneticPr fontId="228" type="noConversion"/>
  </si>
  <si>
    <t>集土国用（2015）第D-0085号</t>
    <phoneticPr fontId="228" type="noConversion"/>
  </si>
  <si>
    <t>内蒙古金威路桥有限公司</t>
    <phoneticPr fontId="228" type="noConversion"/>
  </si>
  <si>
    <t>集土国用（2015）第D-0082号</t>
    <phoneticPr fontId="228" type="noConversion"/>
  </si>
  <si>
    <t>集土国用（2011）第D-0143号</t>
    <phoneticPr fontId="228" type="noConversion"/>
  </si>
  <si>
    <t>红海子东、民建东路南、兴公路北</t>
    <phoneticPr fontId="228" type="noConversion"/>
  </si>
  <si>
    <t>红海子东侧、民建东路南侧、兴工路北侧</t>
    <phoneticPr fontId="228" type="noConversion"/>
  </si>
  <si>
    <t>鄂尔多斯市金威建设集团有限公司</t>
    <phoneticPr fontId="228" type="noConversion"/>
  </si>
  <si>
    <t>鄂尔多斯市金威建设集团有限公司</t>
    <phoneticPr fontId="228" type="noConversion"/>
  </si>
  <si>
    <t>容积率</t>
    <phoneticPr fontId="228" type="noConversion"/>
  </si>
  <si>
    <t>出让合同编号</t>
    <phoneticPr fontId="228" type="noConversion"/>
  </si>
  <si>
    <t>用途</t>
    <phoneticPr fontId="228" type="noConversion"/>
  </si>
  <si>
    <t>住宿餐饮</t>
    <phoneticPr fontId="228" type="noConversion"/>
  </si>
  <si>
    <t>地价款</t>
    <phoneticPr fontId="228" type="noConversion"/>
  </si>
  <si>
    <t>单价</t>
    <phoneticPr fontId="228" type="noConversion"/>
  </si>
  <si>
    <t>约定开工竣工</t>
    <phoneticPr fontId="228" type="noConversion"/>
  </si>
  <si>
    <t>签订日期</t>
    <phoneticPr fontId="228" type="noConversion"/>
  </si>
  <si>
    <t>2013年11月30日；2015年10月14日</t>
    <phoneticPr fontId="228" type="noConversion"/>
  </si>
  <si>
    <t>1509022013B00949</t>
    <phoneticPr fontId="228" type="noConversion"/>
  </si>
  <si>
    <t>住宿餐饮</t>
    <phoneticPr fontId="228" type="noConversion"/>
  </si>
  <si>
    <t>1509022013B00935</t>
    <phoneticPr fontId="228" type="noConversion"/>
  </si>
  <si>
    <t>1509022013B00963</t>
    <phoneticPr fontId="228" type="noConversion"/>
  </si>
  <si>
    <t>1509022013B00929</t>
    <phoneticPr fontId="228" type="noConversion"/>
  </si>
  <si>
    <t>1509022011B01358</t>
    <phoneticPr fontId="228" type="noConversion"/>
  </si>
  <si>
    <t>1509022011B00511</t>
    <phoneticPr fontId="228" type="noConversion"/>
  </si>
  <si>
    <t>其他商服</t>
    <phoneticPr fontId="228" type="noConversion"/>
  </si>
  <si>
    <t>住宿餐饮</t>
    <phoneticPr fontId="228" type="noConversion"/>
  </si>
  <si>
    <t>2011年6月5日；2013年6月5日</t>
    <phoneticPr fontId="228" type="noConversion"/>
  </si>
  <si>
    <t>1509022013B00950</t>
    <phoneticPr fontId="228" type="noConversion"/>
  </si>
  <si>
    <t>——</t>
    <phoneticPr fontId="228" type="noConversion"/>
  </si>
  <si>
    <t>——</t>
    <phoneticPr fontId="228" type="noConversion"/>
  </si>
  <si>
    <t>合计</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</si>
  <si>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</si>
  <si>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</si>
  <si>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</si>
  <si>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</si>
  <si>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</si>
  <si>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</si>
  <si>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</si>
  <si>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</si>
  <si>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</si>
  <si>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</si>
  <si>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</si>
  <si>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</si>
  <si>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</si>
  <si>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乌兰察布市</t>
  </si>
  <si>
    <t>商业/办公用地</t>
  </si>
  <si>
    <t>＞1,≤2.7</t>
  </si>
  <si>
    <t>挂牌</t>
  </si>
  <si>
    <t>2019-05-28</t>
  </si>
  <si>
    <t>万达地产集团有限公司</t>
  </si>
  <si>
    <t>0星</t>
  </si>
  <si>
    <t>泉山北街南侧、康宁路西侧;</t>
  </si>
  <si>
    <t>≤1</t>
  </si>
  <si>
    <t>2018-03-21</t>
  </si>
  <si>
    <t>中国石化销售有限公司内蒙古乌兰察布石油分公司</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</si>
  <si>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</si>
  <si>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</si>
  <si>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</si>
  <si>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</si>
  <si>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</si>
  <si>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</si>
  <si>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</si>
  <si>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</si>
  <si>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</si>
  <si>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</si>
  <si>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</si>
  <si>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</si>
  <si>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</si>
  <si>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</si>
  <si>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</si>
  <si>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</si>
  <si>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</si>
  <si>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</si>
  <si>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</si>
  <si>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</si>
  <si>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</si>
  <si>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</si>
  <si>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</si>
  <si>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</si>
  <si>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</si>
  <si>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</si>
  <si>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</si>
  <si>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</si>
  <si>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</si>
  <si>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</si>
  <si>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</si>
  <si>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</si>
  <si>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</si>
  <si>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</si>
  <si>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</si>
  <si>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</si>
  <si>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</si>
  <si>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</si>
  <si>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</si>
  <si>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</si>
  <si>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</si>
  <si>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</si>
  <si>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</si>
  <si>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</si>
  <si>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</si>
  <si>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</si>
  <si>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</si>
  <si>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</si>
  <si>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</si>
  <si>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</si>
  <si>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</si>
  <si>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</si>
  <si>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</si>
  <si>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</si>
  <si>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</si>
  <si>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</si>
  <si>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</si>
  <si>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</si>
  <si>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</si>
  <si>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</si>
  <si>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</si>
  <si>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</si>
  <si>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</si>
  <si>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</si>
  <si>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</si>
  <si>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</si>
  <si>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</si>
  <si>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</si>
  <si>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</si>
  <si>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</si>
  <si>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</si>
  <si>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</si>
  <si>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</si>
  <si>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</si>
  <si>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</si>
  <si>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</si>
  <si>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</si>
  <si>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</si>
  <si>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</si>
  <si>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</si>
  <si>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</si>
  <si>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</si>
  <si>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</si>
  <si>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</si>
  <si>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</si>
  <si>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</si>
  <si>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</si>
  <si>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</si>
  <si>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</si>
  <si>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</si>
  <si>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</si>
  <si>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</si>
  <si>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</si>
  <si>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</si>
  <si>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</si>
  <si>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</si>
  <si>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</si>
  <si>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</si>
  <si>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</si>
  <si>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</si>
  <si>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</si>
  <si>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</si>
  <si>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</si>
  <si>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</si>
  <si>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</si>
  <si>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</si>
  <si>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</si>
  <si>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</si>
  <si>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</si>
  <si>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</si>
  <si>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</si>
  <si>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</si>
  <si>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</si>
  <si>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</si>
  <si>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</si>
  <si>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</si>
  <si>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</si>
  <si>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</si>
  <si>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</si>
  <si>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</si>
  <si>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</si>
  <si>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</si>
  <si>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</si>
  <si>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</si>
  <si>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</si>
  <si>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</si>
  <si>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</si>
  <si>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</si>
  <si>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</si>
  <si>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</si>
  <si>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</si>
  <si>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</si>
  <si>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</si>
  <si>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</si>
  <si>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</si>
  <si>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</si>
  <si>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</si>
  <si>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</si>
  <si>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</si>
  <si>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</si>
  <si>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</si>
  <si>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</si>
  <si>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</si>
  <si>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</si>
  <si>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</si>
  <si>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</si>
  <si>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</si>
  <si>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</si>
  <si>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</si>
  <si>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</si>
  <si>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</si>
  <si>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</si>
  <si>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</si>
  <si>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</si>
  <si>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</si>
  <si>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</si>
  <si>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计算</t>
    <phoneticPr fontId="228" type="noConversion"/>
  </si>
  <si>
    <t>正常</t>
  </si>
  <si>
    <t>商业</t>
  </si>
  <si>
    <t>地上</t>
  </si>
  <si>
    <t>底商</t>
  </si>
  <si>
    <t>商业</t>
    <phoneticPr fontId="7" type="noConversion"/>
  </si>
  <si>
    <t>不动产收益法</t>
  </si>
  <si>
    <t>押一</t>
  </si>
  <si>
    <t>按租金收入计税</t>
  </si>
  <si>
    <t>钢混</t>
  </si>
  <si>
    <t>较差</t>
  </si>
  <si>
    <t>较差</t>
    <phoneticPr fontId="21" type="noConversion"/>
  </si>
  <si>
    <t>较差</t>
    <phoneticPr fontId="21" type="noConversion"/>
  </si>
  <si>
    <t>七通</t>
    <phoneticPr fontId="21" type="noConversion"/>
  </si>
  <si>
    <t>一般</t>
  </si>
  <si>
    <t>一般</t>
    <phoneticPr fontId="21" type="noConversion"/>
  </si>
  <si>
    <t>支路</t>
  </si>
  <si>
    <t>支路</t>
    <phoneticPr fontId="21" type="noConversion"/>
  </si>
  <si>
    <t>较好</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</si>
  <si>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</si>
  <si>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</si>
  <si>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</si>
  <si>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</si>
  <si>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</si>
  <si>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</si>
  <si>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</si>
  <si>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</si>
  <si>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</si>
  <si>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</si>
  <si>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</si>
  <si>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</si>
  <si>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</si>
  <si>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</si>
  <si>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</si>
  <si>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</si>
  <si>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比较法-住宅、综合</t>
  </si>
  <si>
    <t>剩余法-待开发</t>
  </si>
  <si>
    <t>单位面积地价</t>
  </si>
  <si>
    <t>集土国用（2012）第D-0182号</t>
    <phoneticPr fontId="228" type="noConversion"/>
  </si>
  <si>
    <t>商业</t>
    <phoneticPr fontId="26" type="noConversion"/>
  </si>
  <si>
    <t>六通</t>
  </si>
  <si>
    <t>非个人房产</t>
  </si>
  <si>
    <t>地面</t>
    <phoneticPr fontId="228" type="noConversion"/>
  </si>
  <si>
    <t>楼面</t>
    <phoneticPr fontId="228" type="noConversion"/>
  </si>
  <si>
    <t>总价</t>
    <phoneticPr fontId="228" type="noConversion"/>
  </si>
  <si>
    <t>容积率计算</t>
    <phoneticPr fontId="228" type="noConversion"/>
  </si>
  <si>
    <t>合同登记</t>
    <phoneticPr fontId="228" type="noConversion"/>
  </si>
  <si>
    <t>2012年5月1日；2013年11月1日</t>
    <phoneticPr fontId="228" type="noConversion"/>
  </si>
  <si>
    <t>新区三期格根塔拉东街南侧、正德路西侧</t>
    <phoneticPr fontId="228" type="noConversion"/>
  </si>
  <si>
    <t>新区二期泰昌南路东侧、爱民西街南昌(宗地三)</t>
    <phoneticPr fontId="22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</si>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</sst>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0.0"/>
    <numFmt numFmtId="197" formatCode="[DBNum2][$-804]General"/>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64" fillId="0" borderId="2" xfId="0" applyFont="1" applyBorder="1" applyAlignment="1">
      <alignment horizontal="center" vertical="center"/>
    </xf>
    <xf numFmtId="0" fontId="169" fillId="0" borderId="2" xfId="0" applyFont="1" applyBorder="1" applyAlignment="1">
      <alignment horizontal="center" vertical="center"/>
    </xf>
    <xf numFmtId="0" fontId="169" fillId="0" borderId="2" xfId="0" applyFont="1" applyFill="1" applyBorder="1" applyAlignment="1">
      <alignment horizontal="center" vertical="center"/>
    </xf>
    <xf numFmtId="31" fontId="164" fillId="0" borderId="2" xfId="0" applyNumberFormat="1" applyFont="1" applyBorder="1" applyAlignment="1">
      <alignment horizontal="center" vertical="center"/>
    </xf>
    <xf numFmtId="0" fontId="164" fillId="0" borderId="2" xfId="0" applyFont="1" applyFill="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lignment vertical="center"/>
    </xf>
    <xf numFmtId="0" fontId="164" fillId="9" borderId="2" xfId="0" applyFont="1" applyFill="1" applyBorder="1" applyAlignment="1">
      <alignment horizontal="center" vertical="center" wrapText="1"/>
    </xf>
    <xf numFmtId="0" fontId="164" fillId="9" borderId="0" xfId="0" applyFont="1" applyFill="1">
      <alignment vertical="center"/>
    </xf>
    <xf numFmtId="0" fontId="0" fillId="6" borderId="2" xfId="0" applyFill="1" applyBorder="1" applyAlignment="1">
      <alignment horizontal="center" vertical="center"/>
    </xf>
    <xf numFmtId="0" fontId="0" fillId="6" borderId="0" xfId="0" applyFill="1" applyAlignment="1"/>
    <xf numFmtId="0" fontId="274" fillId="0" borderId="2" xfId="0" applyFont="1" applyBorder="1" applyAlignment="1">
      <alignment horizontal="center" vertical="center" wrapText="1"/>
    </xf>
    <xf numFmtId="0" fontId="274" fillId="0" borderId="0" xfId="0" applyFont="1" applyAlignment="1">
      <alignment wrapText="1"/>
    </xf>
    <xf numFmtId="178" fontId="71" fillId="0" borderId="2"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9" borderId="11" xfId="0" applyFont="1" applyFill="1" applyBorder="1" applyAlignment="1" applyProtection="1">
      <alignment vertical="center"/>
      <protection locked="0"/>
    </xf>
    <xf numFmtId="0" fontId="164" fillId="6" borderId="2" xfId="0" applyFont="1" applyFill="1" applyBorder="1" applyAlignment="1">
      <alignment horizontal="center" vertical="center" wrapText="1"/>
    </xf>
    <xf numFmtId="2" fontId="0" fillId="0" borderId="0" xfId="0" applyNumberFormat="1">
      <alignment vertical="center"/>
    </xf>
    <xf numFmtId="0" fontId="169" fillId="0" borderId="0" xfId="0" applyFont="1" applyFill="1" applyBorder="1" applyAlignment="1">
      <alignment horizontal="center" vertical="center"/>
    </xf>
    <xf numFmtId="2" fontId="257" fillId="5" borderId="10" xfId="14" applyNumberFormat="1" applyFont="1" applyFill="1" applyBorder="1" applyAlignment="1">
      <alignment horizontal="center" vertical="center" wrapText="1"/>
    </xf>
    <xf numFmtId="2" fontId="256" fillId="0" borderId="2" xfId="14" applyNumberFormat="1" applyBorder="1" applyAlignment="1" applyProtection="1">
      <alignment vertical="center"/>
      <protection locked="0"/>
    </xf>
    <xf numFmtId="0" fontId="0" fillId="6" borderId="0" xfId="0" applyFill="1">
      <alignment vertical="center"/>
    </xf>
    <xf numFmtId="0" fontId="169" fillId="0" borderId="3" xfId="0" applyFont="1" applyFill="1" applyBorder="1" applyAlignment="1">
      <alignment horizontal="center" vertical="center"/>
    </xf>
    <xf numFmtId="0" fontId="145" fillId="6" borderId="2" xfId="0" applyFont="1" applyFill="1" applyBorder="1" applyAlignment="1">
      <alignment horizontal="center" vertical="center" wrapText="1"/>
    </xf>
    <xf numFmtId="195" fontId="76"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9" fillId="0" borderId="2" xfId="0" applyFont="1" applyBorder="1" applyAlignment="1">
      <alignment horizontal="center" vertical="center"/>
    </xf>
    <xf numFmtId="31" fontId="164" fillId="0" borderId="2" xfId="0" applyNumberFormat="1" applyFont="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6" fontId="179" fillId="5" borderId="2" xfId="0" applyNumberFormat="1" applyFont="1" applyFill="1" applyBorder="1" applyAlignment="1" applyProtection="1">
      <alignment horizontal="center" vertical="center" wrapText="1"/>
    </xf>
    <xf numFmtId="197" fontId="0" fillId="0" borderId="0" xfId="0" applyNumberFormat="1">
      <alignment vertical="center"/>
    </xf>
    <xf numFmtId="0" fontId="0" fillId="0" borderId="0" xfId="0"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24847</xdr:colOff>
      <xdr:row>10</xdr:row>
      <xdr:rowOff>24849</xdr:rowOff>
    </xdr:from>
    <xdr:to>
      <xdr:col>2</xdr:col>
      <xdr:colOff>951975</xdr:colOff>
      <xdr:row>24</xdr:row>
      <xdr:rowOff>149088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7" y="1590262"/>
          <a:ext cx="3188280" cy="2559326"/>
        </a:xfrm>
        <a:prstGeom prst="rect">
          <a:avLst/>
        </a:prstGeom>
      </xdr:spPr>
    </xdr:pic>
    <xdr:clientData/>
  </xdr:twoCellAnchor>
  <xdr:twoCellAnchor editAs="oneCell">
    <xdr:from>
      <xdr:col>2</xdr:col>
      <xdr:colOff>1052441</xdr:colOff>
      <xdr:row>10</xdr:row>
      <xdr:rowOff>16566</xdr:rowOff>
    </xdr:from>
    <xdr:to>
      <xdr:col>3</xdr:col>
      <xdr:colOff>2265294</xdr:colOff>
      <xdr:row>24</xdr:row>
      <xdr:rowOff>156721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3593" y="2020957"/>
          <a:ext cx="3333201" cy="2575242"/>
        </a:xfrm>
        <a:prstGeom prst="rect">
          <a:avLst/>
        </a:prstGeom>
      </xdr:spPr>
    </xdr:pic>
    <xdr:clientData/>
  </xdr:twoCellAnchor>
  <xdr:twoCellAnchor editAs="oneCell">
    <xdr:from>
      <xdr:col>3</xdr:col>
      <xdr:colOff>2317715</xdr:colOff>
      <xdr:row>10</xdr:row>
      <xdr:rowOff>41413</xdr:rowOff>
    </xdr:from>
    <xdr:to>
      <xdr:col>7</xdr:col>
      <xdr:colOff>314738</xdr:colOff>
      <xdr:row>25</xdr:row>
      <xdr:rowOff>2155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15" y="2045804"/>
          <a:ext cx="2925175" cy="2562517"/>
        </a:xfrm>
        <a:prstGeom prst="rect">
          <a:avLst/>
        </a:prstGeom>
      </xdr:spPr>
    </xdr:pic>
    <xdr:clientData/>
  </xdr:twoCellAnchor>
  <xdr:twoCellAnchor editAs="oneCell">
    <xdr:from>
      <xdr:col>7</xdr:col>
      <xdr:colOff>372717</xdr:colOff>
      <xdr:row>10</xdr:row>
      <xdr:rowOff>57980</xdr:rowOff>
    </xdr:from>
    <xdr:to>
      <xdr:col>11</xdr:col>
      <xdr:colOff>363920</xdr:colOff>
      <xdr:row>25</xdr:row>
      <xdr:rowOff>41413</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82369" y="2062371"/>
          <a:ext cx="3237986" cy="2592455"/>
        </a:xfrm>
        <a:prstGeom prst="rect">
          <a:avLst/>
        </a:prstGeom>
      </xdr:spPr>
    </xdr:pic>
    <xdr:clientData/>
  </xdr:twoCellAnchor>
  <xdr:twoCellAnchor editAs="oneCell">
    <xdr:from>
      <xdr:col>11</xdr:col>
      <xdr:colOff>422414</xdr:colOff>
      <xdr:row>10</xdr:row>
      <xdr:rowOff>41414</xdr:rowOff>
    </xdr:from>
    <xdr:to>
      <xdr:col>13</xdr:col>
      <xdr:colOff>1053533</xdr:colOff>
      <xdr:row>25</xdr:row>
      <xdr:rowOff>66261</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78849" y="2045805"/>
          <a:ext cx="2511271" cy="2633869"/>
        </a:xfrm>
        <a:prstGeom prst="rect">
          <a:avLst/>
        </a:prstGeom>
      </xdr:spPr>
    </xdr:pic>
    <xdr:clientData/>
  </xdr:twoCellAnchor>
  <xdr:twoCellAnchor editAs="oneCell">
    <xdr:from>
      <xdr:col>0</xdr:col>
      <xdr:colOff>0</xdr:colOff>
      <xdr:row>25</xdr:row>
      <xdr:rowOff>1</xdr:rowOff>
    </xdr:from>
    <xdr:to>
      <xdr:col>2</xdr:col>
      <xdr:colOff>1293410</xdr:colOff>
      <xdr:row>39</xdr:row>
      <xdr:rowOff>157369</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174436"/>
          <a:ext cx="3554562" cy="2592455"/>
        </a:xfrm>
        <a:prstGeom prst="rect">
          <a:avLst/>
        </a:prstGeom>
      </xdr:spPr>
    </xdr:pic>
    <xdr:clientData/>
  </xdr:twoCellAnchor>
  <xdr:twoCellAnchor editAs="oneCell">
    <xdr:from>
      <xdr:col>2</xdr:col>
      <xdr:colOff>1424611</xdr:colOff>
      <xdr:row>25</xdr:row>
      <xdr:rowOff>33131</xdr:rowOff>
    </xdr:from>
    <xdr:to>
      <xdr:col>3</xdr:col>
      <xdr:colOff>1863779</xdr:colOff>
      <xdr:row>39</xdr:row>
      <xdr:rowOff>124239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85763" y="4646544"/>
          <a:ext cx="2559516" cy="25261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044;&#20848;&#23519;&#24067;&#35810;&#20215;/&#32467;&#26524;/&#20044;&#20848;&#23519;&#24067;&#35810;&#20215;&#2282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2320;&#2235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土地证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I6">
            <v>0.05</v>
          </cell>
          <cell r="Q6">
            <v>0.15</v>
          </cell>
          <cell r="V6">
            <v>2.5000000000000001E-2</v>
          </cell>
        </row>
      </sheetData>
      <sheetData sheetId="14"/>
      <sheetData sheetId="15">
        <row r="14">
          <cell r="B14">
            <v>193129.2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土地证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193129.2</v>
          </cell>
          <cell r="C14">
            <v>160941</v>
          </cell>
          <cell r="D14">
            <v>31510</v>
          </cell>
          <cell r="I14">
            <v>18619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出让国有建设用地使用权抵押价格预评估</v>
      </c>
      <c r="AX2" s="2852"/>
      <c r="AZ2" s="2852"/>
      <c r="BA2" s="2853"/>
      <c r="BC2" s="2853"/>
    </row>
    <row r="3" spans="1:55" s="2854" customFormat="1">
      <c r="A3" s="2833" t="s">
        <v>2659</v>
      </c>
      <c r="B3" s="2836">
        <f>'预评函-封皮'!B40</f>
        <v>0</v>
      </c>
    </row>
    <row r="4" spans="1:55" s="2835" customFormat="1">
      <c r="A4" s="2833" t="s">
        <v>2660</v>
      </c>
      <c r="B4" s="2834" t="str">
        <f>'预评函-封皮'!B46</f>
        <v>郑燚、吴薇</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受贵公司委托，我公司对出让国有建设用地使用权抵押价格进行了预评估。</v>
      </c>
      <c r="AM6" s="2858"/>
    </row>
    <row r="7" spans="1:55" s="2832" customFormat="1">
      <c r="A7" s="2833" t="s">
        <v>2655</v>
      </c>
      <c r="B7" s="2834" t="str">
        <f>'预评函-1'!A6</f>
        <v>估价对象为使用的、位于出让国有建设用地使用权。根据，估价对象（分摊）出让国有建设用地使用权面积为3817平方米。根据，估价对象规划建筑面积为5725平方米。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2657</v>
      </c>
      <c r="B10" s="2834" t="str">
        <f>'预评函-1'!A11</f>
        <v>2019年6月17日（评估专业人员勘察现场之日）</v>
      </c>
    </row>
    <row r="11" spans="1:55" s="2832" customFormat="1">
      <c r="A11" s="2833" t="s">
        <v>2663</v>
      </c>
      <c r="B11" s="2834" t="str">
        <f>'预评函-1'!A14</f>
        <v>根据，本次评估估价对象证载（地类）用途为。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根据，估价对象（分摊）出让国有建设用地使用权面积为3817平方米。根据，估价对象规划建筑面积为5725平方米。</v>
      </c>
    </row>
    <row r="16" spans="1:55" s="2832" customFormat="1">
      <c r="A16" s="2833" t="s">
        <v>2667</v>
      </c>
      <c r="B16" s="2834" t="str">
        <f>'预评函-1'!A22</f>
        <v>本次估价对象为出让国有建设用地使用权，依据、，土地终止日期为商业2053年11月18日。截至估价期日，出让国有建设用地使用权剩余土地使用年限为。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2671</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估价期日：2019年6月17日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3817</v>
      </c>
    </row>
    <row r="44" spans="1:2">
      <c r="A44" s="2833" t="s">
        <v>2738</v>
      </c>
      <c r="B44" s="2834" t="str">
        <f>'预评函-2'!O3</f>
        <v>规划建筑面积/㎡</v>
      </c>
    </row>
    <row r="45" spans="1:2">
      <c r="A45" s="2833" t="s">
        <v>2720</v>
      </c>
      <c r="B45" s="2834">
        <f>'预评函-2'!O5</f>
        <v>5725</v>
      </c>
    </row>
    <row r="46" spans="1:2">
      <c r="A46" s="2833" t="s">
        <v>2721</v>
      </c>
      <c r="B46" s="2834">
        <f ca="1">'预评函-2'!P5</f>
        <v>1975</v>
      </c>
    </row>
    <row r="47" spans="1:2">
      <c r="A47" s="2833" t="s">
        <v>2722</v>
      </c>
      <c r="B47" s="2834">
        <f ca="1">'预评函-2'!Q5</f>
        <v>1317</v>
      </c>
    </row>
    <row r="48" spans="1:2">
      <c r="A48" s="2833" t="s">
        <v>2723</v>
      </c>
      <c r="B48" s="2834">
        <f ca="1">'预评函-2'!R5</f>
        <v>754</v>
      </c>
    </row>
    <row r="49" spans="1:2">
      <c r="A49" s="2833" t="s">
        <v>2739</v>
      </c>
      <c r="B49" s="2834" t="str">
        <f>'预评函-2'!A6</f>
        <v>抵押价格</v>
      </c>
    </row>
    <row r="50" spans="1:2">
      <c r="A50" s="2833" t="s">
        <v>2724</v>
      </c>
      <c r="B50" s="2834">
        <f ca="1">'预评函-2'!R6</f>
        <v>754</v>
      </c>
    </row>
    <row r="51" spans="1:2">
      <c r="A51" s="2833" t="s">
        <v>2740</v>
      </c>
      <c r="B51" s="2834" t="str">
        <f>'预评函-2'!A7</f>
        <v>——</v>
      </c>
    </row>
    <row r="52" spans="1:2">
      <c r="A52" s="2833" t="s">
        <v>2725</v>
      </c>
      <c r="B52" s="2834" t="str">
        <f>'预评函-2'!R7</f>
        <v>——</v>
      </c>
    </row>
    <row r="53" spans="1:2">
      <c r="A53" s="2833" t="s">
        <v>2741</v>
      </c>
      <c r="B53" s="2834" t="str">
        <f>'预评函-2'!A8</f>
        <v>抵押净值</v>
      </c>
    </row>
    <row r="54" spans="1:2" s="2848" customFormat="1" ht="15" thickBot="1">
      <c r="A54" s="2855" t="s">
        <v>2726</v>
      </c>
      <c r="B54" s="2856">
        <f ca="1">'预评函-2'!R8</f>
        <v>626</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v>
      </c>
    </row>
    <row r="58" spans="1:2" s="2848" customFormat="1" ht="15" thickBot="1">
      <c r="A58" s="2855" t="s">
        <v>2727</v>
      </c>
      <c r="B58" s="2856" t="str">
        <f>'预评函-3'!A5</f>
        <v>4.影响价格的其他限定条件：无。</v>
      </c>
    </row>
    <row r="59" spans="1:2" ht="15" thickTop="1">
      <c r="A59" s="2844" t="s">
        <v>2679</v>
      </c>
      <c r="B59" s="2845" t="str">
        <f>'预评函-3'!A8</f>
        <v>2.本《评估意见函》仅供金融机构进行内部审核使用，不做其他目的之用。</v>
      </c>
    </row>
    <row r="60" spans="1:2">
      <c r="A60" s="2833" t="s">
        <v>2680</v>
      </c>
      <c r="B60" s="2834" t="str">
        <f>'预评函-3'!A9</f>
        <v>3.抵押双方在办理抵押登记手续时，应使用本公司出具的正式《土地估价报告》，特提请报告使用者注意。</v>
      </c>
    </row>
    <row r="61" spans="1:2">
      <c r="A61" s="2833" t="s">
        <v>2682</v>
      </c>
      <c r="B61" s="2834" t="str">
        <f>'预评函-3'!A10</f>
        <v>4.估价师所知悉的法定优先受偿款情况为：</v>
      </c>
    </row>
    <row r="62" spans="1:2">
      <c r="A62" s="2833" t="s">
        <v>2681</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综上，本次评估不存在估价师知悉的法定优先受偿款</v>
      </c>
    </row>
    <row r="66" spans="1:2">
      <c r="A66" s="2833" t="s">
        <v>2686</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郑燚</v>
      </c>
    </row>
    <row r="70" spans="1:2">
      <c r="A70" s="2833" t="s">
        <v>2688</v>
      </c>
      <c r="B70" s="2840">
        <f ca="1">'预评函-3'!B20</f>
        <v>2014110011</v>
      </c>
    </row>
    <row r="71" spans="1:2">
      <c r="A71" s="2833" t="s">
        <v>2689</v>
      </c>
      <c r="B71" s="2834" t="str">
        <f>'预评函-3'!A21</f>
        <v>吴薇</v>
      </c>
    </row>
    <row r="72" spans="1:2" s="2848" customFormat="1" ht="15" thickBot="1">
      <c r="A72" s="2855" t="s">
        <v>2689</v>
      </c>
      <c r="B72" s="2861">
        <f ca="1">'预评函-3'!B21</f>
        <v>2002110125</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8" t="str">
        <f>IF(B10="北京市","北京市",C10)&amp;F10&amp;B16&amp;"国有建设用地使用权"&amp;B9&amp;"预评估"</f>
        <v>出让国有建设用地使用权抵押价格预评估</v>
      </c>
      <c r="C1" s="3259"/>
      <c r="D1" s="3259"/>
      <c r="E1" s="3259"/>
      <c r="F1" s="3259"/>
      <c r="G1" s="3259"/>
      <c r="H1" s="3259"/>
      <c r="I1" s="3260"/>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43633</v>
      </c>
      <c r="C3" s="1647" t="s">
        <v>1995</v>
      </c>
      <c r="D3" s="1646">
        <f>B3</f>
        <v>43633</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2985</v>
      </c>
      <c r="C4" s="1830">
        <f ca="1">SUMIF(土地估价师,B4,估价师及机构信息!E3:E24)</f>
        <v>2014110011</v>
      </c>
      <c r="D4" s="1827" t="s">
        <v>2986</v>
      </c>
      <c r="E4" s="1830">
        <f ca="1">SUMIF(土地估价师,D4,估价师及机构信息!E3:E24)</f>
        <v>2002110125</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郑燚、吴薇</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2989</v>
      </c>
      <c r="C8" s="1655"/>
      <c r="D8" s="3264" t="s">
        <v>1944</v>
      </c>
      <c r="E8" s="1828" t="s">
        <v>2990</v>
      </c>
      <c r="F8" s="1656"/>
      <c r="G8" s="1644"/>
      <c r="H8" s="1644"/>
      <c r="I8" s="1691"/>
      <c r="J8" s="1678"/>
      <c r="K8" s="1758"/>
      <c r="L8" s="1707"/>
      <c r="M8" s="1707"/>
      <c r="N8" s="1678"/>
      <c r="O8" s="1679"/>
      <c r="P8" s="1678"/>
      <c r="Q8" s="1678"/>
      <c r="R8" s="1678"/>
      <c r="S8" s="1678"/>
      <c r="T8" s="1678"/>
      <c r="U8" s="1678"/>
    </row>
    <row r="9" spans="1:21" ht="15" thickBot="1">
      <c r="A9" s="1657" t="s">
        <v>1943</v>
      </c>
      <c r="B9" s="1658" t="s">
        <v>2990</v>
      </c>
      <c r="C9" s="1659"/>
      <c r="D9" s="3265"/>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2987</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1999</v>
      </c>
      <c r="B11" s="1682" t="s">
        <v>2988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61"/>
      <c r="C12" s="3262"/>
      <c r="D12" s="3263"/>
      <c r="E12" s="1683" t="s">
        <v>2060</v>
      </c>
      <c r="F12" s="3279"/>
      <c r="G12" s="3280"/>
      <c r="H12" s="3280"/>
      <c r="I12" s="3281"/>
      <c r="J12" s="1678"/>
      <c r="K12" s="1758"/>
      <c r="L12" s="1707"/>
      <c r="M12" s="1707"/>
      <c r="N12" s="1678"/>
      <c r="O12" s="1679"/>
      <c r="P12" s="1678"/>
      <c r="Q12" s="1678"/>
      <c r="R12" s="1678"/>
      <c r="S12" s="1678"/>
      <c r="T12" s="1678"/>
      <c r="U12" s="1678"/>
    </row>
    <row r="13" spans="1:21">
      <c r="A13" s="1671" t="s">
        <v>2058</v>
      </c>
      <c r="B13" s="3261"/>
      <c r="C13" s="3262"/>
      <c r="D13" s="3263"/>
      <c r="E13" s="1683" t="s">
        <v>2060</v>
      </c>
      <c r="F13" s="3279"/>
      <c r="G13" s="3280"/>
      <c r="H13" s="3280"/>
      <c r="I13" s="3281"/>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2981</v>
      </c>
      <c r="C16" s="1683" t="s">
        <v>1948</v>
      </c>
      <c r="D16" s="2610" t="s">
        <v>1949</v>
      </c>
      <c r="E16" s="1706" t="s">
        <v>3219</v>
      </c>
      <c r="F16" s="1706"/>
      <c r="G16" s="1706"/>
      <c r="H16" s="1706"/>
      <c r="I16" s="1670" t="s">
        <v>1954</v>
      </c>
      <c r="J16" s="1678"/>
      <c r="K16" s="2420" t="str">
        <f>IF(D17="","",D16&amp;TEXT(D17,"yyyy年m月d日;;"))</f>
        <v/>
      </c>
      <c r="L16" s="1683" t="str">
        <f>IF(OR(K16="",M16=""),"","、")</f>
        <v/>
      </c>
      <c r="M16" s="2420" t="str">
        <f>IF(E17="","",E16&amp;TEXT(E17,"yyyy年m月d日;;"))</f>
        <v>商业2053年11月18日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56206</v>
      </c>
      <c r="F17" s="1684"/>
      <c r="G17" s="1684"/>
      <c r="H17" s="1684"/>
      <c r="I17" s="1684"/>
      <c r="J17" s="1678"/>
      <c r="K17" s="2419" t="str">
        <f>CONCATENATE(K16,L16,M16,N16,O16,P16,Q16,R16,S16,T16,,U16)</f>
        <v>商业2053年11月18日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34.44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76"/>
      <c r="E20" s="3277"/>
      <c r="F20" s="3277"/>
      <c r="G20" s="3277"/>
      <c r="H20" s="3277"/>
      <c r="I20" s="3278"/>
      <c r="J20" s="1678"/>
      <c r="K20" s="1758"/>
      <c r="L20" s="1707"/>
      <c r="M20" s="1707"/>
      <c r="N20" s="1678"/>
      <c r="O20" s="1679"/>
      <c r="P20" s="1678"/>
      <c r="Q20" s="1678"/>
      <c r="R20" s="1678"/>
      <c r="S20" s="1678"/>
      <c r="T20" s="1678"/>
      <c r="U20" s="1678"/>
    </row>
    <row r="21" spans="1:21">
      <c r="A21" s="1747" t="s">
        <v>1958</v>
      </c>
      <c r="B21" s="1748" t="s">
        <v>1959</v>
      </c>
      <c r="C21" s="1743">
        <f>'数据-汇总表'!E3</f>
        <v>5725</v>
      </c>
      <c r="D21" s="1744" t="s">
        <v>1960</v>
      </c>
      <c r="E21" s="3266"/>
      <c r="F21" s="3267"/>
      <c r="G21" s="3267"/>
      <c r="H21" s="3267"/>
      <c r="I21" s="3268"/>
      <c r="J21" s="1678"/>
      <c r="K21" s="1758"/>
      <c r="L21" s="1707"/>
      <c r="M21" s="1707"/>
      <c r="N21" s="1678"/>
      <c r="O21" s="1679"/>
      <c r="P21" s="1678"/>
      <c r="Q21" s="1678"/>
      <c r="R21" s="1678"/>
      <c r="S21" s="1678"/>
      <c r="T21" s="1678"/>
      <c r="U21" s="1678"/>
    </row>
    <row r="22" spans="1:21">
      <c r="A22" s="3096" t="s">
        <v>952</v>
      </c>
      <c r="B22" s="1645" t="s">
        <v>1961</v>
      </c>
      <c r="C22" s="1670">
        <f>'数据-汇总表'!D3</f>
        <v>3817</v>
      </c>
      <c r="D22" s="1671" t="s">
        <v>1960</v>
      </c>
      <c r="E22" s="3266"/>
      <c r="F22" s="3267"/>
      <c r="G22" s="3267"/>
      <c r="H22" s="3267"/>
      <c r="I22" s="326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9" t="s">
        <v>1966</v>
      </c>
      <c r="C24" s="3270"/>
      <c r="D24" s="3271" t="s">
        <v>1967</v>
      </c>
      <c r="E24" s="3272"/>
      <c r="F24" s="1692" t="s">
        <v>1968</v>
      </c>
      <c r="G24" s="1678"/>
      <c r="H24" s="1678"/>
      <c r="I24" s="1691"/>
      <c r="J24" s="1678"/>
      <c r="K24" s="325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1970</v>
      </c>
      <c r="D25" s="1694"/>
      <c r="E25" s="1695" t="s">
        <v>952</v>
      </c>
      <c r="F25" s="1696"/>
      <c r="G25" s="1678"/>
      <c r="H25" s="1678"/>
      <c r="I25" s="1691"/>
      <c r="J25" s="1678"/>
      <c r="K25" s="325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2325</v>
      </c>
      <c r="D26" s="1644"/>
      <c r="E26" s="1644"/>
      <c r="F26" s="1672"/>
      <c r="G26" s="1678"/>
      <c r="H26" s="1678"/>
      <c r="I26" s="1691"/>
      <c r="J26" s="1678"/>
      <c r="K26" s="325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3" t="s">
        <v>2000</v>
      </c>
      <c r="B31" s="1748" t="s">
        <v>2001</v>
      </c>
      <c r="C31" s="3282"/>
      <c r="D31" s="3283"/>
      <c r="E31" s="1678"/>
      <c r="F31" s="1678"/>
      <c r="G31" s="1678"/>
      <c r="H31" s="1678"/>
      <c r="I31" s="1691"/>
      <c r="J31" s="1678"/>
      <c r="K31" s="2422"/>
      <c r="L31" s="1678"/>
      <c r="M31" s="1678"/>
      <c r="N31" s="1678"/>
      <c r="O31" s="1678"/>
      <c r="P31" s="1678"/>
      <c r="Q31" s="1678"/>
      <c r="R31" s="1678"/>
      <c r="S31" s="1678"/>
      <c r="T31" s="1678"/>
      <c r="U31" s="1678"/>
    </row>
    <row r="32" spans="1:21">
      <c r="A32" s="3243"/>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3"/>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4"/>
      <c r="B34" s="1645" t="s">
        <v>2004</v>
      </c>
      <c r="C34" s="3245"/>
      <c r="D34" s="3246"/>
      <c r="E34" s="1678"/>
      <c r="F34" s="1678"/>
      <c r="G34" s="1678"/>
      <c r="H34" s="1678"/>
      <c r="I34" s="1691"/>
      <c r="J34" s="1678"/>
      <c r="K34" s="2422"/>
      <c r="L34" s="1678"/>
      <c r="M34" s="1678"/>
      <c r="N34" s="1678"/>
      <c r="O34" s="1678"/>
      <c r="P34" s="1678"/>
      <c r="Q34" s="1678"/>
      <c r="R34" s="1678"/>
      <c r="S34" s="1678"/>
      <c r="T34" s="1678"/>
      <c r="U34" s="1678"/>
    </row>
    <row r="35" spans="1:21">
      <c r="A35" s="3247" t="s">
        <v>847</v>
      </c>
      <c r="B35" s="1706"/>
      <c r="C35" s="1760" t="str">
        <f>IF(B35="场地平整","——","具体情况：")</f>
        <v>具体情况：</v>
      </c>
      <c r="D35" s="3249"/>
      <c r="E35" s="3250"/>
      <c r="F35" s="3250"/>
      <c r="G35" s="3250"/>
      <c r="H35" s="3250"/>
      <c r="I35" s="3251"/>
      <c r="J35" s="1678"/>
      <c r="K35" s="1759"/>
      <c r="L35" s="1707"/>
      <c r="M35" s="1707"/>
      <c r="N35" s="1678"/>
      <c r="O35" s="1679"/>
      <c r="P35" s="1678"/>
      <c r="Q35" s="1678"/>
      <c r="R35" s="1678"/>
      <c r="S35" s="1678"/>
      <c r="T35" s="1678"/>
      <c r="U35" s="1678"/>
    </row>
    <row r="36" spans="1:21">
      <c r="A36" s="3243"/>
      <c r="B36" s="3252" t="s">
        <v>2053</v>
      </c>
      <c r="C36" s="3253"/>
      <c r="D36" s="1776"/>
      <c r="E36" s="3254"/>
      <c r="F36" s="3254"/>
      <c r="G36" s="1671" t="str">
        <f>IF(B35="场地未平整","估价结果处理","")</f>
        <v/>
      </c>
      <c r="H36" s="3255"/>
      <c r="I36" s="3255"/>
      <c r="J36" s="1678"/>
      <c r="K36" s="1759"/>
      <c r="L36" s="1707"/>
      <c r="M36" s="1707"/>
      <c r="N36" s="1678"/>
      <c r="O36" s="1679"/>
      <c r="P36" s="1678"/>
      <c r="Q36" s="1678"/>
      <c r="R36" s="1678"/>
      <c r="S36" s="1678"/>
      <c r="T36" s="1678"/>
      <c r="U36" s="1678"/>
    </row>
    <row r="37" spans="1:21" ht="28.5">
      <c r="A37" s="3243"/>
      <c r="B37" s="327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3"/>
      <c r="B38" s="3274"/>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44"/>
      <c r="B39" s="327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6" t="s">
        <v>1985</v>
      </c>
      <c r="T40" s="1715" t="str">
        <f>NUMBERSTRING(7-K40,1)&amp;"通"</f>
        <v>七通</v>
      </c>
      <c r="U40" s="1678"/>
    </row>
    <row r="41" spans="1:21">
      <c r="A41" s="1647"/>
      <c r="B41" s="3248" t="s">
        <v>1721</v>
      </c>
      <c r="C41" s="3248"/>
      <c r="D41" s="3248"/>
      <c r="E41" s="324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土地证信息!F3+土地证信息!F4+土地证信息!F5+土地证信息!F6+土地证信息!F7</f>
        <v>3817</v>
      </c>
      <c r="B3" s="22">
        <f>IF(C3="否",G5-AT5,G5)</f>
        <v>5725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5725</v>
      </c>
      <c r="H5" s="27">
        <f t="shared" ref="H5:AT5" si="0">SUM(H13:H641)</f>
        <v>5725</v>
      </c>
      <c r="I5" s="27">
        <f t="shared" si="0"/>
        <v>5725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5725</v>
      </c>
      <c r="BA5" s="29">
        <f t="shared" si="1"/>
        <v>5725</v>
      </c>
      <c r="BB5" s="29">
        <f t="shared" si="1"/>
        <v>5725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3817</v>
      </c>
      <c r="F6" s="27" t="s">
        <v>1</v>
      </c>
      <c r="G6" s="27" t="s">
        <v>2</v>
      </c>
      <c r="H6" s="33">
        <f>SUMIF(I$12:AB$12,"总值",I6:AB6)</f>
        <v>3817</v>
      </c>
      <c r="I6" s="27">
        <f t="shared" ref="I6:AB6" si="2">ROUND($A$3*I5/$B$3,2)</f>
        <v>3817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3817</v>
      </c>
      <c r="AZ6" s="27" t="s">
        <v>3</v>
      </c>
      <c r="BA6" s="27">
        <f>ROUND($AY$6*BA5/$AZ$5,2)</f>
        <v>3817</v>
      </c>
      <c r="BB6" s="27">
        <f>ROUND($AY$6*BB5/$AZ$5,2)</f>
        <v>3817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3220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3219</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3221</v>
      </c>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底商</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3817</v>
      </c>
      <c r="F13" s="81"/>
      <c r="G13" s="82">
        <f t="shared" ref="G13:G20" si="7">H13+AC13+AT13</f>
        <v>5725</v>
      </c>
      <c r="H13" s="33">
        <f t="shared" ref="H13:H20" si="8">SUMIF(I$12:AB$12,"总值",I13:AB13)</f>
        <v>5725</v>
      </c>
      <c r="I13" s="2970">
        <f>土地证信息!P3+土地证信息!P5+土地证信息!P6+土地证信息!P7+土地证信息!O4</f>
        <v>5725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3817</v>
      </c>
      <c r="AZ13" s="27">
        <f t="shared" ref="AZ13:AZ20" si="12">BA13+BL13</f>
        <v>5725</v>
      </c>
      <c r="BA13" s="27">
        <f t="shared" ref="BA13:BA20" si="13">SUM(BB13:BK13)</f>
        <v>5725</v>
      </c>
      <c r="BB13" s="27">
        <f t="shared" ref="BB13:BB20" si="14">IF($D13="是",I13-J13,0)</f>
        <v>5725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5" t="s">
        <v>203</v>
      </c>
      <c r="B2" s="3295"/>
      <c r="C2" s="3295"/>
      <c r="D2" s="1960" t="s">
        <v>204</v>
      </c>
      <c r="E2" s="106" t="s">
        <v>205</v>
      </c>
      <c r="F2" s="1969"/>
      <c r="G2" s="1194"/>
      <c r="H2" s="1195"/>
      <c r="I2" s="1196" t="s">
        <v>857</v>
      </c>
      <c r="J2" s="1969"/>
      <c r="K2" s="1969"/>
      <c r="L2" s="1969"/>
    </row>
    <row r="3" spans="1:16" ht="15.75" thickBot="1">
      <c r="A3" s="3296" t="s">
        <v>206</v>
      </c>
      <c r="B3" s="3296"/>
      <c r="C3" s="3296"/>
      <c r="D3" s="107">
        <f>'数据-基础表'!AY6</f>
        <v>3817</v>
      </c>
      <c r="E3" s="107">
        <f>'数据-基础表'!AZ5</f>
        <v>5725</v>
      </c>
      <c r="F3" s="1969"/>
      <c r="G3" s="280" t="s">
        <v>858</v>
      </c>
      <c r="H3" s="275" t="s">
        <v>859</v>
      </c>
      <c r="I3" s="1961">
        <f>ROUND('数据-基础表'!B3/'数据-基础表'!A3,2)</f>
        <v>1.5</v>
      </c>
      <c r="J3" s="1969"/>
      <c r="K3" s="1969"/>
      <c r="L3" s="1969"/>
    </row>
    <row r="4" spans="1:16" ht="15">
      <c r="A4" s="3297"/>
      <c r="B4" s="3298"/>
      <c r="C4" s="3299"/>
      <c r="D4" s="108" t="s">
        <v>204</v>
      </c>
      <c r="E4" s="109" t="s">
        <v>205</v>
      </c>
      <c r="F4" s="1969"/>
      <c r="G4" s="1197"/>
      <c r="H4" s="275" t="s">
        <v>860</v>
      </c>
      <c r="I4" s="1961">
        <f>ROUND(SUMIF('数据-基础表'!I9:AS9,"地上",'数据-基础表'!I5:AS5)/'数据-基础表'!A3,2)</f>
        <v>1.5</v>
      </c>
      <c r="J4" s="1969"/>
      <c r="K4" s="1969"/>
      <c r="L4" s="1969"/>
    </row>
    <row r="5" spans="1:16">
      <c r="A5" s="110" t="s">
        <v>207</v>
      </c>
      <c r="B5" s="3300" t="s">
        <v>230</v>
      </c>
      <c r="C5" s="3300"/>
      <c r="D5" s="111">
        <f>ROUND($D$3*E5/$E$3,2)</f>
        <v>0</v>
      </c>
      <c r="E5" s="112">
        <f>SUMIF('数据-基础表'!$11:$11,"住宅",'数据-基础表'!$5:$5)</f>
        <v>0</v>
      </c>
      <c r="F5" s="1969"/>
      <c r="G5" s="280" t="s">
        <v>861</v>
      </c>
      <c r="H5" s="275" t="s">
        <v>859</v>
      </c>
      <c r="I5" s="1961">
        <f>ROUND(E31/D31,2)</f>
        <v>1.5</v>
      </c>
      <c r="J5" s="1969"/>
      <c r="K5" s="1969"/>
      <c r="L5" s="1969"/>
    </row>
    <row r="6" spans="1:16" ht="15" thickBot="1">
      <c r="A6" s="113"/>
      <c r="B6" s="3300" t="s">
        <v>208</v>
      </c>
      <c r="C6" s="3300"/>
      <c r="D6" s="111">
        <f>ROUND($D$3*E6/$E$3,2)</f>
        <v>3817</v>
      </c>
      <c r="E6" s="112">
        <f>E3-E5</f>
        <v>5725</v>
      </c>
      <c r="F6" s="1969"/>
      <c r="G6" s="1197"/>
      <c r="H6" s="275" t="s">
        <v>860</v>
      </c>
      <c r="I6" s="1961">
        <f>ROUND(F31/D31,2)</f>
        <v>1.5</v>
      </c>
      <c r="J6" s="1969"/>
      <c r="K6" s="1969"/>
      <c r="L6" s="1969"/>
    </row>
    <row r="7" spans="1:16" ht="15">
      <c r="A7" s="3292"/>
      <c r="B7" s="3293"/>
      <c r="C7" s="3294"/>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3817</v>
      </c>
      <c r="E8" s="116">
        <f>SUMIF('数据-基础表'!BB10:BK10,"地上",'数据-基础表'!BB5:BK5)</f>
        <v>5725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3817</v>
      </c>
      <c r="E16" s="120">
        <f>SUM(E8:E15)</f>
        <v>5725</v>
      </c>
      <c r="F16" s="1969"/>
      <c r="G16" s="1971"/>
      <c r="H16" s="968" t="s">
        <v>219</v>
      </c>
      <c r="I16" s="969"/>
      <c r="J16" s="1969"/>
      <c r="K16" s="3286" t="s">
        <v>2564</v>
      </c>
      <c r="L16" s="3287"/>
      <c r="M16" s="3287"/>
      <c r="N16" s="3287"/>
      <c r="O16" s="3287"/>
      <c r="P16" s="3288"/>
    </row>
    <row r="17" spans="1:19" ht="15">
      <c r="A17" s="121" t="s">
        <v>216</v>
      </c>
      <c r="B17" s="122" t="s">
        <v>217</v>
      </c>
      <c r="C17" s="2283" t="s">
        <v>2312</v>
      </c>
      <c r="D17" s="108" t="s">
        <v>204</v>
      </c>
      <c r="E17" s="124" t="s">
        <v>205</v>
      </c>
      <c r="F17" s="125"/>
      <c r="G17" s="1362"/>
      <c r="H17" s="970" t="s">
        <v>218</v>
      </c>
      <c r="I17" s="971" t="s">
        <v>2311</v>
      </c>
      <c r="J17" s="1969"/>
      <c r="K17" s="3289" t="s">
        <v>2565</v>
      </c>
      <c r="L17" s="3290"/>
      <c r="M17" s="3291"/>
      <c r="N17" s="3289" t="s">
        <v>2566</v>
      </c>
      <c r="O17" s="3290"/>
      <c r="P17" s="3291"/>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3222</v>
      </c>
      <c r="D19" s="111">
        <f t="shared" ref="D19:D26" si="1">ROUND($D$3*E19/$E$3,2)</f>
        <v>3817</v>
      </c>
      <c r="E19" s="134">
        <f t="shared" ref="E19:E26" si="2">SUM(F19:G19)</f>
        <v>5725</v>
      </c>
      <c r="F19" s="135">
        <f>'数据-基础表'!I13</f>
        <v>5725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3817</v>
      </c>
      <c r="S19" s="2286">
        <f t="shared" si="5"/>
        <v>5725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3817</v>
      </c>
      <c r="E27" s="143">
        <f>IF(SUM(E19:E26)='数据-基础表'!BA5,SUM(E19:E26),IF(F27="地上面积有误","面积有误","地下面积有误"))</f>
        <v>5725</v>
      </c>
      <c r="F27" s="134">
        <f>IF(SUM(F19:F26)=E8,SUM(F19:F26),"地上面积有误")</f>
        <v>5725</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3817</v>
      </c>
      <c r="S27" s="275">
        <f>IF(SUM(S19:S26)=$E$3,SUM(S19:S26),SUM(S19:S26)&amp;"误差"&amp;ROUND(SUM(S19:S26)-E3,2))</f>
        <v>5725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3817</v>
      </c>
      <c r="E31" s="1368">
        <f>E27+E30</f>
        <v>5725</v>
      </c>
      <c r="F31" s="1369">
        <f>F27+F30</f>
        <v>5725</v>
      </c>
      <c r="G31" s="1370">
        <f>G27+G30</f>
        <v>0</v>
      </c>
      <c r="H31" s="1969"/>
      <c r="I31" s="1969"/>
      <c r="J31" s="1969"/>
      <c r="K31" s="1969"/>
      <c r="L31" s="1969"/>
    </row>
    <row r="32" spans="1:19">
      <c r="A32" s="1969"/>
      <c r="B32" s="2327" t="s">
        <v>2320</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E56" sqref="E5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43633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3219</v>
      </c>
      <c r="D6" s="2293">
        <f>SUMIF(项目基本情况!D$15:I$15,C6,项目基本情况!D$18:I$18)</f>
        <v>40</v>
      </c>
      <c r="E6" s="2294">
        <f>IF(B6="","",SUMIF(项目基本情况!D$15:I$15,C6,项目基本情况!D$17:I$17))</f>
        <v>56206</v>
      </c>
      <c r="F6" s="174">
        <f>SUMIF(项目基本情况!D$15:I$15,C6,项目基本情况!D$19:I$19)</f>
        <v>34.44</v>
      </c>
      <c r="G6" s="175">
        <f>IF(ISERROR(ROUND(POWER(1+H6,D6-F6)*(POWER(1+H6,F6)-1)/(POWER(1+H6,D6)-1),3)),0,ROUND(POWER(1+H6,D6-F6)*(POWER(1+H6,F6)-1)/(POWER(1+H6,D6)-1),3))</f>
        <v>0.94199999999999995</v>
      </c>
      <c r="H6" s="2978">
        <v>4.4999999999999998E-2</v>
      </c>
      <c r="I6" s="2978">
        <f>'[1]数据-取费表'!$I$6</f>
        <v>0.05</v>
      </c>
      <c r="J6" s="176">
        <v>8.5000000000000006E-2</v>
      </c>
      <c r="K6" s="179">
        <f>SUMIF('数据-汇总表'!C$19:C$33,'数据-取费表'!A6,'数据-汇总表'!E$19:E$33)</f>
        <v>5725</v>
      </c>
      <c r="L6" s="2979">
        <v>2200</v>
      </c>
      <c r="M6" s="177">
        <f t="shared" ref="M6:M14" si="0">ROUND(K6*L6/10000,0)</f>
        <v>1260</v>
      </c>
      <c r="N6" s="2980">
        <v>0</v>
      </c>
      <c r="O6" s="177">
        <f>IF($N$5="成新度","——",ROUND(M6*N6,0))</f>
        <v>0</v>
      </c>
      <c r="P6" s="178">
        <f>IF($N$5="成新度","——",M6-O6)</f>
        <v>1260</v>
      </c>
      <c r="Q6" s="2981">
        <f>'[1]数据-取费表'!$Q$6</f>
        <v>0.15</v>
      </c>
      <c r="R6" s="179">
        <f>SUMIF('数据-汇总表'!C$19:C$33,A6,'数据-汇总表'!R$19:R$33)</f>
        <v>3817</v>
      </c>
      <c r="S6" s="132">
        <f>IF('数据-汇总表'!$I$17="按面积比例",SUMIF('数据-汇总表'!C$19:C$33,A6,'数据-汇总表'!K$19:K$33),SUMIF('数据-汇总表'!C$19:C$33,A6,'数据-汇总表'!N$19:N$33))</f>
        <v>0</v>
      </c>
      <c r="T6" s="2219" t="str">
        <f>IF($T$4="按面积比例",IF(ISERROR(ROUND($M$14*S6/S$16,0)),"0",ROUND($M$14*S6/S$16,0)),"需自行计算录入")</f>
        <v>0</v>
      </c>
      <c r="U6" s="3205">
        <v>1.2</v>
      </c>
      <c r="V6" s="181">
        <f>'[1]数据-取费表'!$V$6</f>
        <v>2.5000000000000001E-2</v>
      </c>
      <c r="W6" s="181">
        <v>0.15</v>
      </c>
      <c r="X6" s="2306"/>
      <c r="Y6" s="182">
        <v>1</v>
      </c>
      <c r="Z6" s="183"/>
      <c r="AA6" s="176"/>
      <c r="AB6" s="176"/>
      <c r="AC6" s="2309"/>
      <c r="AD6" s="184"/>
      <c r="AE6" s="972">
        <f ca="1">IF(AN6="",0,SUMIF(INDIRECT("'"&amp;AN6&amp;"'"&amp;"!E:E"),$AE$5,INDIRECT("'"&amp;AN6&amp;"'"&amp;"!F:F")))</f>
        <v>33.44</v>
      </c>
      <c r="AF6" s="141"/>
      <c r="AG6" s="1209">
        <f>IF(AF6="",0,AE6-AF6)</f>
        <v>0</v>
      </c>
      <c r="AH6" s="141"/>
      <c r="AI6" s="187">
        <v>365</v>
      </c>
      <c r="AJ6" s="188"/>
      <c r="AK6" s="189">
        <v>1.4999999999999999E-2</v>
      </c>
      <c r="AL6" s="190">
        <v>1.5E-3</v>
      </c>
      <c r="AM6" s="2992">
        <v>0.01</v>
      </c>
      <c r="AN6" s="2356" t="s">
        <v>3223</v>
      </c>
      <c r="AO6" s="1985"/>
      <c r="AP6" s="1200">
        <f>ROUND(1-1/(1+H6)^F6,3)</f>
        <v>0.78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1679</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1679</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0.94199999999999995</v>
      </c>
      <c r="H16" s="203">
        <f>ROUND(SUMPRODUCT(H6:H13,K6:K13)/SUMPRODUCT((H6:H13&gt;0)*(K6:K13)),3)</f>
        <v>4.4999999999999998E-2</v>
      </c>
      <c r="I16" s="204"/>
      <c r="J16" s="204"/>
      <c r="K16" s="205">
        <f>SUM(K6:K15)</f>
        <v>5725</v>
      </c>
      <c r="L16" s="206">
        <f>ROUND(M16*10000/SUM(K6:K14),0)</f>
        <v>2201</v>
      </c>
      <c r="M16" s="206">
        <f>SUM(M6:M14)</f>
        <v>1260</v>
      </c>
      <c r="N16" s="207">
        <f>ROUND(SUMPRODUCT(M6:M14,N6:N14)/M16,3)</f>
        <v>0</v>
      </c>
      <c r="O16" s="206">
        <f>SUM(O6:O14)</f>
        <v>0</v>
      </c>
      <c r="P16" s="206">
        <f>SUM(P6:P14)</f>
        <v>1260</v>
      </c>
      <c r="Q16" s="208">
        <f>ROUND(SUMPRODUCT(Q6:Q13,K6:K13)/SUMPRODUCT((Q6:Q13&gt;0)*(K6:K13)),2)</f>
        <v>0.15</v>
      </c>
      <c r="R16" s="2296">
        <f>SUM(R6:R13)</f>
        <v>3817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f ca="1">系统读取表!B6</f>
        <v>32264</v>
      </c>
      <c r="F33" s="1979">
        <v>32259</v>
      </c>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2888</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110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1.4999999999999999E-2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4.3499999999999997E-2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7.2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v>6.4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1" t="s">
        <v>1663</v>
      </c>
      <c r="B1" s="3302"/>
      <c r="C1" s="3302"/>
      <c r="D1" s="3302"/>
      <c r="E1" s="3302"/>
      <c r="F1" s="3302"/>
      <c r="G1" s="3302"/>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033"/>
      <c r="D3" s="1994"/>
      <c r="E3" s="1225" t="s">
        <v>1666</v>
      </c>
      <c r="F3" s="1226" t="s">
        <v>1654</v>
      </c>
      <c r="G3" s="3036" t="s">
        <v>2914</v>
      </c>
      <c r="H3" s="1993"/>
      <c r="I3" s="1993"/>
      <c r="J3" s="1993"/>
      <c r="K3" s="1993"/>
      <c r="L3" s="1993"/>
      <c r="M3" s="1993"/>
      <c r="N3" s="1993"/>
      <c r="O3" s="1993"/>
      <c r="P3" s="1993"/>
      <c r="Q3" s="1993"/>
      <c r="R3" s="1993"/>
    </row>
    <row r="4" spans="1:18" ht="40.5">
      <c r="A4" s="1225"/>
      <c r="B4" s="1227" t="s">
        <v>1667</v>
      </c>
      <c r="C4" s="3199" t="s">
        <v>3228</v>
      </c>
      <c r="D4" s="1994"/>
      <c r="E4" s="1228"/>
      <c r="F4" s="1229" t="s">
        <v>1668</v>
      </c>
      <c r="G4" s="3035" t="s">
        <v>2911</v>
      </c>
      <c r="H4" s="1993"/>
      <c r="I4" s="1993"/>
      <c r="J4" s="1993"/>
      <c r="K4" s="1993"/>
      <c r="L4" s="1993"/>
      <c r="M4" s="1993"/>
      <c r="N4" s="1993"/>
      <c r="O4" s="1993"/>
      <c r="P4" s="1993"/>
      <c r="Q4" s="1993"/>
      <c r="R4" s="1993"/>
    </row>
    <row r="5" spans="1:18" ht="27">
      <c r="A5" s="1225"/>
      <c r="B5" s="1227" t="s">
        <v>1669</v>
      </c>
      <c r="C5" s="3034"/>
      <c r="D5" s="1994"/>
      <c r="E5" s="1228"/>
      <c r="F5" s="1227" t="s">
        <v>2544</v>
      </c>
      <c r="G5" s="3035" t="s">
        <v>2912</v>
      </c>
      <c r="H5" s="1993"/>
      <c r="I5" s="1993"/>
      <c r="J5" s="1993"/>
      <c r="K5" s="1993"/>
      <c r="L5" s="1993"/>
      <c r="M5" s="1993"/>
      <c r="N5" s="1993"/>
      <c r="O5" s="1993"/>
      <c r="P5" s="1993"/>
      <c r="Q5" s="1993"/>
      <c r="R5" s="1993"/>
    </row>
    <row r="6" spans="1:18" ht="27">
      <c r="A6" s="1225"/>
      <c r="B6" s="1227" t="s">
        <v>1655</v>
      </c>
      <c r="C6" s="3200" t="s">
        <v>3229</v>
      </c>
      <c r="D6" s="1994"/>
      <c r="E6" s="1228"/>
      <c r="F6" s="1227" t="s">
        <v>2545</v>
      </c>
      <c r="G6" s="3035" t="s">
        <v>2910</v>
      </c>
      <c r="H6" s="1993"/>
      <c r="I6" s="1993"/>
      <c r="J6" s="1993"/>
      <c r="K6" s="1993"/>
      <c r="L6" s="1993"/>
      <c r="M6" s="1993"/>
      <c r="N6" s="1993"/>
      <c r="O6" s="1993"/>
      <c r="P6" s="1993"/>
      <c r="Q6" s="1993"/>
      <c r="R6" s="1993"/>
    </row>
    <row r="7" spans="1:18" ht="41.25" thickBot="1">
      <c r="A7" s="1225"/>
      <c r="B7" s="1227" t="s">
        <v>2544</v>
      </c>
      <c r="C7" s="3200" t="s">
        <v>3229</v>
      </c>
      <c r="D7" s="1995"/>
      <c r="E7" s="1230"/>
      <c r="F7" s="1231" t="s">
        <v>1670</v>
      </c>
      <c r="G7" s="3037" t="s">
        <v>2913</v>
      </c>
      <c r="H7" s="1993"/>
      <c r="I7" s="1993"/>
      <c r="J7" s="1993"/>
      <c r="K7" s="1993"/>
      <c r="L7" s="1993"/>
      <c r="M7" s="1993"/>
      <c r="N7" s="1993"/>
      <c r="O7" s="1993"/>
      <c r="P7" s="1993"/>
      <c r="Q7" s="1993"/>
      <c r="R7" s="1993"/>
    </row>
    <row r="8" spans="1:18">
      <c r="A8" s="1225"/>
      <c r="B8" s="1227" t="s">
        <v>2545</v>
      </c>
      <c r="C8" s="3200" t="s">
        <v>3230</v>
      </c>
      <c r="D8" s="1995"/>
      <c r="E8" s="1995"/>
      <c r="F8" s="1540"/>
      <c r="G8" s="1540"/>
      <c r="H8" s="1993"/>
      <c r="I8" s="1993"/>
      <c r="J8" s="1993"/>
      <c r="K8" s="1993"/>
      <c r="L8" s="1993"/>
      <c r="M8" s="1993"/>
      <c r="N8" s="1993"/>
      <c r="O8" s="1993"/>
      <c r="P8" s="1993"/>
      <c r="Q8" s="1993"/>
      <c r="R8" s="1993"/>
    </row>
    <row r="9" spans="1:18">
      <c r="A9" s="1225"/>
      <c r="B9" s="1227" t="s">
        <v>1656</v>
      </c>
      <c r="C9" s="3199" t="s">
        <v>3232</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201" t="s">
        <v>3234</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f>C3</f>
        <v>0</v>
      </c>
      <c r="D15" s="1994"/>
      <c r="E15" s="2549" t="s">
        <v>1658</v>
      </c>
      <c r="F15" s="1238" t="s">
        <v>1673</v>
      </c>
      <c r="G15" s="1240" t="str">
        <f>G3</f>
        <v>估价对象位于XX开发区，园区建设成熟度XX，产业集聚程度XX</v>
      </c>
    </row>
    <row r="16" spans="1:18" ht="40.5">
      <c r="A16" s="2553"/>
      <c r="B16" s="1241" t="s">
        <v>1667</v>
      </c>
      <c r="C16" s="1242" t="str">
        <f>C4</f>
        <v>较差</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较差</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27">
      <c r="A20" s="2553"/>
      <c r="B20" s="1243" t="s">
        <v>1660</v>
      </c>
      <c r="C20" s="1242" t="str">
        <f>C9</f>
        <v>一般</v>
      </c>
      <c r="D20" s="1995"/>
      <c r="E20" s="2550"/>
      <c r="F20" s="1227" t="s">
        <v>2545</v>
      </c>
      <c r="G20" s="1005" t="str">
        <f>G6</f>
        <v>估价对象所在区域基础设施水平</v>
      </c>
    </row>
    <row r="21" spans="1:7" ht="14.25">
      <c r="A21" s="2553"/>
      <c r="B21" s="1227" t="s">
        <v>2544</v>
      </c>
      <c r="C21" s="1005" t="str">
        <f>C7</f>
        <v>较差</v>
      </c>
      <c r="D21" s="1994"/>
      <c r="E21" s="2550"/>
      <c r="F21" s="1243" t="s">
        <v>1661</v>
      </c>
      <c r="G21" s="3038"/>
    </row>
    <row r="22" spans="1:7" ht="14.25">
      <c r="A22" s="2553"/>
      <c r="B22" s="1227" t="s">
        <v>2545</v>
      </c>
      <c r="C22" s="1005" t="str">
        <f>C8</f>
        <v>七通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t="str">
        <f>C10</f>
        <v>支路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8" sqref="B8"/>
    </sheetView>
  </sheetViews>
  <sheetFormatPr defaultColWidth="14.625" defaultRowHeight="13.5"/>
  <cols>
    <col min="1" max="1" width="24.375" customWidth="1"/>
  </cols>
  <sheetData>
    <row r="1" spans="1:9" ht="16.5">
      <c r="A1" s="2997" t="s">
        <v>2842</v>
      </c>
      <c r="B1" s="2997">
        <f>SUM(B14:B23)</f>
        <v>198854.2</v>
      </c>
      <c r="C1" s="2998"/>
      <c r="D1" s="2998"/>
      <c r="E1" s="2998"/>
      <c r="F1" s="2998"/>
    </row>
    <row r="2" spans="1:9" ht="16.5">
      <c r="A2" s="2997" t="s">
        <v>2843</v>
      </c>
      <c r="B2" s="2997">
        <f>SUM(C14:C23)</f>
        <v>164758</v>
      </c>
      <c r="C2" s="2998"/>
      <c r="D2" s="2998"/>
      <c r="E2" s="2998"/>
      <c r="F2" s="2998"/>
    </row>
    <row r="3" spans="1:9" ht="16.5">
      <c r="A3" s="2997" t="s">
        <v>2844</v>
      </c>
      <c r="B3" s="2999">
        <f>项目基本情况!D3</f>
        <v>43633</v>
      </c>
      <c r="C3" s="2998"/>
      <c r="D3" s="2998"/>
      <c r="E3" s="2998"/>
      <c r="F3" s="2998"/>
    </row>
    <row r="4" spans="1:9" ht="33">
      <c r="A4" s="2997" t="s">
        <v>2845</v>
      </c>
      <c r="B4" s="2997" t="s">
        <v>2846</v>
      </c>
      <c r="C4" s="2997" t="s">
        <v>2847</v>
      </c>
      <c r="D4" s="2997" t="s">
        <v>2848</v>
      </c>
      <c r="E4" s="2998"/>
      <c r="F4" s="2998"/>
    </row>
    <row r="5" spans="1:9" ht="16.5">
      <c r="A5" s="2997" t="s">
        <v>2849</v>
      </c>
      <c r="B5" s="2997">
        <f ca="1">SUM(D14:D23)</f>
        <v>32264</v>
      </c>
      <c r="C5" s="2997">
        <f ca="1">ROUND(B5*10000/$B$1,0)</f>
        <v>1622</v>
      </c>
      <c r="D5" s="2997">
        <f ca="1">ROUND(B5*10000/$B$2,0)</f>
        <v>1958</v>
      </c>
      <c r="E5" s="2998"/>
      <c r="F5" s="2998"/>
    </row>
    <row r="6" spans="1:9" ht="16.5">
      <c r="A6" s="2997" t="s">
        <v>2850</v>
      </c>
      <c r="B6" s="2997">
        <f ca="1">SUM(G14:G23)</f>
        <v>32264</v>
      </c>
      <c r="C6" s="2997">
        <f t="shared" ref="C6:C8" ca="1" si="0">ROUND(B6*10000/$B$1,0)</f>
        <v>1622</v>
      </c>
      <c r="D6" s="2997">
        <f t="shared" ref="D6:D8" ca="1" si="1">ROUND(B6*10000/$B$2,0)</f>
        <v>1958</v>
      </c>
      <c r="E6" s="2998"/>
      <c r="F6" s="2998"/>
    </row>
    <row r="7" spans="1:9" ht="16.5">
      <c r="A7" s="2997" t="s">
        <v>2851</v>
      </c>
      <c r="B7" s="2997">
        <f>SUM(H14:H23)</f>
        <v>0</v>
      </c>
      <c r="C7" s="2997">
        <f t="shared" si="0"/>
        <v>0</v>
      </c>
      <c r="D7" s="2997">
        <f t="shared" si="1"/>
        <v>0</v>
      </c>
      <c r="E7" s="2998"/>
      <c r="F7" s="2998"/>
    </row>
    <row r="8" spans="1:9" ht="16.5">
      <c r="A8" s="2997" t="s">
        <v>2852</v>
      </c>
      <c r="B8" s="2997">
        <f ca="1">SUM(I14:I23)</f>
        <v>19245</v>
      </c>
      <c r="C8" s="2997">
        <f t="shared" ca="1" si="0"/>
        <v>968</v>
      </c>
      <c r="D8" s="2997">
        <f t="shared" ca="1" si="1"/>
        <v>1168</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209">
        <f>结果表!L38</f>
        <v>5725</v>
      </c>
      <c r="C14" s="3209">
        <f>结果表!K38</f>
        <v>3817</v>
      </c>
      <c r="D14" s="3001">
        <f ca="1">结果表!C42</f>
        <v>754</v>
      </c>
      <c r="E14" s="3001">
        <f ca="1">ROUND(D14*10000/B14,0)</f>
        <v>1317</v>
      </c>
      <c r="F14" s="3001">
        <f ca="1">ROUND(D14*10000/C14,0)</f>
        <v>1975</v>
      </c>
      <c r="G14" s="3001">
        <f ca="1">结果表!C44</f>
        <v>754</v>
      </c>
      <c r="H14" s="3001" t="str">
        <f>结果表!C45</f>
        <v>——</v>
      </c>
      <c r="I14" s="3001">
        <f ca="1">结果表!C46</f>
        <v>626</v>
      </c>
    </row>
    <row r="15" spans="1:9" ht="16.5">
      <c r="A15" s="3004" t="s">
        <v>2859</v>
      </c>
      <c r="B15" s="3210">
        <f>[2]系统读取表!$B$14</f>
        <v>193129.2</v>
      </c>
      <c r="C15" s="3210">
        <f>[2]系统读取表!$C$14</f>
        <v>160941</v>
      </c>
      <c r="D15" s="3005">
        <f ca="1">[2]系统读取表!$D$14</f>
        <v>31510</v>
      </c>
      <c r="E15" s="3001">
        <f t="shared" ref="E15:E23" ca="1" si="2">ROUND(D15*10000/B15,0)</f>
        <v>1632</v>
      </c>
      <c r="F15" s="3001">
        <f t="shared" ref="F15:F23" ca="1" si="3">ROUND(D15*10000/C15,0)</f>
        <v>1958</v>
      </c>
      <c r="G15" s="3002">
        <f ca="1">D15</f>
        <v>31510</v>
      </c>
      <c r="H15" s="3002"/>
      <c r="I15" s="3005">
        <f ca="1">[2]系统读取表!$I$14</f>
        <v>18619</v>
      </c>
    </row>
    <row r="16" spans="1:9" ht="16.5">
      <c r="A16" s="3004" t="s">
        <v>2860</v>
      </c>
      <c r="B16" s="3005"/>
      <c r="C16" s="3005"/>
      <c r="D16" s="3005"/>
      <c r="E16" s="3001" t="e">
        <f t="shared" si="2"/>
        <v>#DIV/0!</v>
      </c>
      <c r="F16" s="3001" t="e">
        <f t="shared"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9" t="str">
        <f>项目基本情况!K2</f>
        <v>出让国有建设用地使用权</v>
      </c>
      <c r="B2" s="3340"/>
      <c r="C2" s="3341"/>
      <c r="D2" s="3341"/>
      <c r="E2" s="3341"/>
      <c r="F2" s="3341"/>
      <c r="G2" s="3340"/>
      <c r="H2" s="3340"/>
      <c r="I2" s="3342"/>
      <c r="J2" s="2015"/>
      <c r="K2" s="2014"/>
      <c r="L2" s="2014"/>
      <c r="M2" s="2014"/>
      <c r="N2" s="2014"/>
      <c r="O2" s="2014"/>
      <c r="P2" s="2014"/>
      <c r="Q2" s="2014"/>
      <c r="R2" s="2014"/>
      <c r="S2" s="2014"/>
      <c r="T2" s="2014"/>
      <c r="U2" s="2014"/>
      <c r="V2" s="2014"/>
    </row>
    <row r="3" spans="1:22" ht="14.25">
      <c r="A3" s="3332" t="s">
        <v>298</v>
      </c>
      <c r="B3" s="3333"/>
      <c r="C3" s="3333"/>
      <c r="D3" s="3333"/>
      <c r="E3" s="3333"/>
      <c r="F3" s="3333"/>
      <c r="G3" s="3333"/>
      <c r="H3" s="3333"/>
      <c r="I3" s="3333"/>
      <c r="J3" s="2015"/>
      <c r="K3" s="2014"/>
      <c r="L3" s="2014"/>
      <c r="M3" s="2014"/>
      <c r="N3" s="2014"/>
      <c r="O3" s="2014"/>
      <c r="P3" s="2014"/>
      <c r="Q3" s="2014"/>
      <c r="R3" s="2014"/>
      <c r="S3" s="2014"/>
      <c r="T3" s="2014"/>
      <c r="U3" s="2014"/>
      <c r="V3" s="2014"/>
    </row>
    <row r="4" spans="1:22" ht="14.25">
      <c r="A4" s="258" t="s">
        <v>299</v>
      </c>
      <c r="B4" s="259" t="s">
        <v>300</v>
      </c>
      <c r="C4" s="260" t="s">
        <v>3252</v>
      </c>
      <c r="D4" s="260" t="s">
        <v>3253</v>
      </c>
      <c r="E4" s="3304" t="s">
        <v>301</v>
      </c>
      <c r="F4" s="3305"/>
      <c r="G4" s="3305"/>
      <c r="H4" s="3305"/>
      <c r="I4" s="333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3" t="s">
        <v>302</v>
      </c>
      <c r="B5" s="3329">
        <v>25</v>
      </c>
      <c r="C5" s="3327"/>
      <c r="D5" s="3331"/>
      <c r="E5" s="261" t="s">
        <v>303</v>
      </c>
      <c r="F5" s="262"/>
      <c r="G5" s="262"/>
      <c r="H5" s="262"/>
      <c r="I5" s="263"/>
      <c r="J5" s="2015"/>
      <c r="K5" s="2014"/>
      <c r="L5" s="2014"/>
      <c r="M5" s="2014"/>
      <c r="N5" s="2014"/>
      <c r="O5" s="2014"/>
      <c r="P5" s="2014"/>
      <c r="Q5" s="2014"/>
      <c r="R5" s="2014"/>
      <c r="S5" s="2014"/>
      <c r="T5" s="2014"/>
      <c r="U5" s="2014"/>
      <c r="V5" s="2014"/>
    </row>
    <row r="6" spans="1:22" ht="14.25">
      <c r="A6" s="3303"/>
      <c r="B6" s="3329"/>
      <c r="C6" s="3330"/>
      <c r="D6" s="3331"/>
      <c r="E6" s="261" t="s">
        <v>304</v>
      </c>
      <c r="F6" s="262"/>
      <c r="G6" s="262"/>
      <c r="H6" s="262"/>
      <c r="I6" s="263"/>
      <c r="J6" s="2015"/>
      <c r="K6" s="2014"/>
      <c r="L6" s="2014"/>
      <c r="M6" s="2014"/>
      <c r="N6" s="2014"/>
      <c r="O6" s="2014"/>
      <c r="P6" s="2014"/>
      <c r="Q6" s="2014"/>
      <c r="R6" s="2014"/>
      <c r="S6" s="2014"/>
      <c r="T6" s="2014"/>
      <c r="U6" s="2014"/>
      <c r="V6" s="2014"/>
    </row>
    <row r="7" spans="1:22" ht="14.25">
      <c r="A7" s="3303"/>
      <c r="B7" s="3329"/>
      <c r="C7" s="3328"/>
      <c r="D7" s="3331"/>
      <c r="E7" s="261" t="s">
        <v>305</v>
      </c>
      <c r="F7" s="262"/>
      <c r="G7" s="262"/>
      <c r="H7" s="262"/>
      <c r="I7" s="263"/>
      <c r="J7" s="2015"/>
      <c r="K7" s="2014"/>
      <c r="L7" s="2014"/>
      <c r="M7" s="2014"/>
      <c r="N7" s="2014"/>
      <c r="O7" s="2014"/>
      <c r="P7" s="2014"/>
      <c r="Q7" s="2014"/>
      <c r="R7" s="2014"/>
      <c r="S7" s="2014"/>
      <c r="T7" s="2014"/>
      <c r="U7" s="2014"/>
      <c r="V7" s="2014"/>
    </row>
    <row r="8" spans="1:22" ht="14.25">
      <c r="A8" s="3303" t="s">
        <v>306</v>
      </c>
      <c r="B8" s="3329">
        <v>15</v>
      </c>
      <c r="C8" s="3327"/>
      <c r="D8" s="3331"/>
      <c r="E8" s="261" t="s">
        <v>307</v>
      </c>
      <c r="F8" s="262"/>
      <c r="G8" s="262"/>
      <c r="H8" s="262"/>
      <c r="I8" s="263"/>
      <c r="J8" s="2015"/>
      <c r="K8" s="2014"/>
      <c r="L8" s="2014"/>
      <c r="M8" s="2014"/>
      <c r="N8" s="2014"/>
      <c r="O8" s="2014"/>
      <c r="P8" s="2014"/>
      <c r="Q8" s="2014"/>
      <c r="R8" s="2014"/>
      <c r="S8" s="2014"/>
      <c r="T8" s="2014"/>
      <c r="U8" s="2014"/>
      <c r="V8" s="2014"/>
    </row>
    <row r="9" spans="1:22" ht="14.25">
      <c r="A9" s="3303"/>
      <c r="B9" s="3329"/>
      <c r="C9" s="3328"/>
      <c r="D9" s="3331"/>
      <c r="E9" s="261" t="s">
        <v>308</v>
      </c>
      <c r="F9" s="262"/>
      <c r="G9" s="262"/>
      <c r="H9" s="262"/>
      <c r="I9" s="263"/>
      <c r="J9" s="2015"/>
      <c r="K9" s="2014"/>
      <c r="L9" s="2014"/>
      <c r="M9" s="2014"/>
      <c r="N9" s="2014"/>
      <c r="O9" s="2014"/>
      <c r="P9" s="2014"/>
      <c r="Q9" s="2014"/>
      <c r="R9" s="2014"/>
      <c r="S9" s="2014"/>
      <c r="T9" s="2014"/>
      <c r="U9" s="2014"/>
      <c r="V9" s="2014"/>
    </row>
    <row r="10" spans="1:22" ht="14.25">
      <c r="A10" s="3303" t="s">
        <v>309</v>
      </c>
      <c r="B10" s="3329">
        <v>15</v>
      </c>
      <c r="C10" s="3327"/>
      <c r="D10" s="333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3"/>
      <c r="B11" s="3329"/>
      <c r="C11" s="3328"/>
      <c r="D11" s="333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3" t="s">
        <v>312</v>
      </c>
      <c r="B12" s="3329">
        <v>15</v>
      </c>
      <c r="C12" s="3327"/>
      <c r="D12" s="333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3"/>
      <c r="B13" s="3329"/>
      <c r="C13" s="3328"/>
      <c r="D13" s="333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3" t="s">
        <v>315</v>
      </c>
      <c r="B14" s="3329">
        <v>30</v>
      </c>
      <c r="C14" s="3327">
        <v>4</v>
      </c>
      <c r="D14" s="3331">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3"/>
      <c r="B15" s="3329"/>
      <c r="C15" s="3330"/>
      <c r="D15" s="333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3"/>
      <c r="B16" s="3329"/>
      <c r="C16" s="3328"/>
      <c r="D16" s="333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377</v>
      </c>
      <c r="D19" s="271">
        <f ca="1">SUMIF(INDIRECT("'"&amp;D4&amp;"'"&amp;"!A:A"),结果表!B19,INDIRECT("'"&amp;D4&amp;"'"&amp;"!B:B"))</f>
        <v>1006</v>
      </c>
      <c r="E19" s="268" t="s">
        <v>323</v>
      </c>
      <c r="F19" s="269" t="s">
        <v>322</v>
      </c>
      <c r="G19" s="272">
        <f ca="1">ROUND(C19*$C$18+D19*$D$18,0)</f>
        <v>754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659</v>
      </c>
      <c r="D20" s="277">
        <f ca="1">SUMIF(INDIRECT("'"&amp;D4&amp;"'"&amp;"!A:A"),结果表!B20,INDIRECT("'"&amp;D4&amp;"'"&amp;"!B:B"))</f>
        <v>1757</v>
      </c>
      <c r="E20" s="274"/>
      <c r="F20" s="275" t="s">
        <v>325</v>
      </c>
      <c r="G20" s="278">
        <f ca="1">ROUND(C20*$C$18+D20*$D$18,0)</f>
        <v>1318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987</v>
      </c>
      <c r="D21" s="151">
        <f ca="1">SUMIF(INDIRECT("'"&amp;D4&amp;"'"&amp;"!A:A"),结果表!B21,INDIRECT("'"&amp;D4&amp;"'"&amp;"!B:B"))</f>
        <v>2636</v>
      </c>
      <c r="E21" s="274"/>
      <c r="F21" s="280" t="s">
        <v>327</v>
      </c>
      <c r="G21" s="282">
        <f ca="1">ROUND(C21*$C$18+D21*$D$18,0)</f>
        <v>1976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1.6684350132625996</v>
      </c>
      <c r="E22" s="284"/>
      <c r="F22" s="285"/>
      <c r="G22" s="286">
        <f ca="1">ROUND(G19/('数据-汇总表'!D3/666.67),0)</f>
        <v>132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0"/>
      <c r="B25" s="1317" t="s">
        <v>331</v>
      </c>
      <c r="C25" s="290">
        <f>IF(B30=0,0,C30)</f>
        <v>0</v>
      </c>
      <c r="D25" s="291"/>
      <c r="E25" s="311"/>
      <c r="F25" s="311"/>
      <c r="G25" s="311"/>
      <c r="H25" s="311"/>
      <c r="I25" s="311"/>
      <c r="J25" s="2014"/>
      <c r="K25" s="1251" t="str">
        <f ca="1">项目基本情况!B16&amp;"国有建设用地使用权价格："&amp;O38&amp;"万元"</f>
        <v>出让国有建设用地使用权价格：754万元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大写金额：人民币柒佰伍拾肆万元整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单位面积地价：1975元/平方米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楼面地价：1317元/平方米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抵押价格：754万元</v>
      </c>
      <c r="L29" s="1248"/>
      <c r="M29" s="1248"/>
      <c r="N29" s="1248"/>
      <c r="O29" s="1247"/>
      <c r="P29" s="2014"/>
      <c r="V29" s="2014"/>
    </row>
    <row r="30" spans="1:26" ht="18.75" thickBot="1">
      <c r="A30" s="3081" t="s">
        <v>336</v>
      </c>
      <c r="B30" s="309"/>
      <c r="C30" s="309"/>
      <c r="D30" s="310"/>
      <c r="E30" s="3082" t="s">
        <v>2959</v>
      </c>
      <c r="F30" s="311"/>
      <c r="G30" s="311"/>
      <c r="H30" s="311"/>
      <c r="I30" s="311"/>
      <c r="J30" s="2014"/>
      <c r="K30" s="1254" t="str">
        <f ca="1">IF(K29="——","——","大写金额：人民币"&amp;NUMBERSTRING(INT(O39*10000),2)&amp;"元整")</f>
        <v>大写金额：人民币柒佰伍拾肆万元整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754</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1317</v>
      </c>
      <c r="D33" s="1382" t="s">
        <v>1691</v>
      </c>
      <c r="E33" s="3309" t="s">
        <v>338</v>
      </c>
      <c r="F33" s="296" t="s">
        <v>339</v>
      </c>
      <c r="G33" s="297"/>
      <c r="H33" s="980"/>
      <c r="I33" s="1255"/>
      <c r="J33" s="2014"/>
      <c r="K33" s="1254" t="str">
        <f ca="1">IF(项目基本情况!E9="——","——","抵押净值："&amp;C46&amp;"万元")</f>
        <v>抵押净值：626万元</v>
      </c>
      <c r="L33" s="1248"/>
      <c r="M33" s="1248"/>
      <c r="N33" s="1248"/>
      <c r="O33" s="1247"/>
      <c r="P33" s="2014"/>
      <c r="V33" s="2014"/>
    </row>
    <row r="34" spans="1:26" s="1250" customFormat="1" ht="18.75" thickBot="1">
      <c r="A34" s="300"/>
      <c r="B34" s="1383" t="s">
        <v>1692</v>
      </c>
      <c r="C34" s="264">
        <f ca="1">ROUND(C32*10000/'数据-汇总表'!D3,0)</f>
        <v>1975</v>
      </c>
      <c r="D34" s="1384" t="s">
        <v>1691</v>
      </c>
      <c r="E34" s="3350"/>
      <c r="F34" s="127" t="s">
        <v>341</v>
      </c>
      <c r="G34" s="299"/>
      <c r="H34" s="105"/>
      <c r="I34" s="311"/>
      <c r="J34" s="2014"/>
      <c r="K34" s="1257" t="str">
        <f ca="1">IF(K33="——","——","大写金额：人民币"&amp;NUMBERSTRING(INT(O41*10000),2)&amp;"元整")</f>
        <v>大写金额：人民币陆佰贰拾陆万元整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132</v>
      </c>
      <c r="D35" s="1387" t="s">
        <v>1693</v>
      </c>
      <c r="E35" s="3351"/>
      <c r="F35" s="301" t="s">
        <v>342</v>
      </c>
      <c r="G35" s="982"/>
      <c r="H35" s="981" t="s">
        <v>343</v>
      </c>
      <c r="I35" s="311"/>
      <c r="J35" s="2014"/>
      <c r="K35" s="3324" t="s">
        <v>350</v>
      </c>
      <c r="L35" s="3324" t="s">
        <v>351</v>
      </c>
      <c r="M35" s="1260" t="s">
        <v>352</v>
      </c>
      <c r="N35" s="3324" t="s">
        <v>353</v>
      </c>
      <c r="O35" s="3324" t="s">
        <v>354</v>
      </c>
      <c r="P35" s="2014"/>
      <c r="V35" s="2014"/>
    </row>
    <row r="36" spans="1:26" ht="16.5" customHeight="1">
      <c r="A36" s="303" t="s">
        <v>344</v>
      </c>
      <c r="B36" s="304" t="s">
        <v>333</v>
      </c>
      <c r="C36" s="305" t="s">
        <v>345</v>
      </c>
      <c r="D36" s="305" t="s">
        <v>346</v>
      </c>
      <c r="E36" s="306" t="s">
        <v>347</v>
      </c>
      <c r="F36" s="311"/>
      <c r="G36" s="311"/>
      <c r="H36" s="311"/>
      <c r="I36" s="311"/>
      <c r="J36" s="2016"/>
      <c r="K36" s="3325"/>
      <c r="L36" s="3325"/>
      <c r="M36" s="1262" t="s">
        <v>355</v>
      </c>
      <c r="N36" s="3325"/>
      <c r="O36" s="3325"/>
      <c r="P36" s="2014"/>
      <c r="V36" s="2014"/>
    </row>
    <row r="37" spans="1:26" ht="16.5" customHeight="1" thickBot="1">
      <c r="A37" s="1256" t="s">
        <v>348</v>
      </c>
      <c r="B37" s="307"/>
      <c r="C37" s="294"/>
      <c r="D37" s="294"/>
      <c r="E37" s="295"/>
      <c r="F37" s="311"/>
      <c r="G37" s="311"/>
      <c r="H37" s="311"/>
      <c r="I37" s="311"/>
      <c r="J37" s="2016"/>
      <c r="K37" s="3326"/>
      <c r="L37" s="3326"/>
      <c r="M37" s="1263"/>
      <c r="N37" s="3326"/>
      <c r="O37" s="3326"/>
      <c r="P37" s="2014"/>
      <c r="V37" s="2014"/>
    </row>
    <row r="38" spans="1:26" ht="16.5" customHeight="1" thickBot="1">
      <c r="A38" s="1256" t="s">
        <v>349</v>
      </c>
      <c r="B38" s="307"/>
      <c r="C38" s="294"/>
      <c r="D38" s="294"/>
      <c r="E38" s="295"/>
      <c r="F38" s="311"/>
      <c r="G38" s="311"/>
      <c r="H38" s="311"/>
      <c r="I38" s="311"/>
      <c r="J38" s="2016"/>
      <c r="K38" s="1264">
        <f>'数据-汇总表'!D3</f>
        <v>3817</v>
      </c>
      <c r="L38" s="1265">
        <f>'数据-汇总表'!E3</f>
        <v>5725</v>
      </c>
      <c r="M38" s="1265">
        <f ca="1">C34</f>
        <v>1975</v>
      </c>
      <c r="N38" s="1265">
        <f ca="1">C33</f>
        <v>1317</v>
      </c>
      <c r="O38" s="1266">
        <f ca="1">C32</f>
        <v>754</v>
      </c>
      <c r="P38" s="2014"/>
      <c r="V38" s="2014"/>
    </row>
    <row r="39" spans="1:26" ht="16.5" customHeight="1" thickBot="1">
      <c r="A39" s="1261"/>
      <c r="B39" s="308"/>
      <c r="C39" s="309"/>
      <c r="D39" s="309"/>
      <c r="E39" s="310"/>
      <c r="F39" s="311"/>
      <c r="G39" s="311"/>
      <c r="H39" s="311"/>
      <c r="I39" s="311"/>
      <c r="J39" s="2016"/>
      <c r="K39" s="3369" t="str">
        <f>MID(A44,3,LEN(A44)-2)</f>
        <v>抵押价格</v>
      </c>
      <c r="L39" s="3370"/>
      <c r="M39" s="3370"/>
      <c r="N39" s="3371"/>
      <c r="O39" s="1389">
        <f ca="1">C44</f>
        <v>754</v>
      </c>
      <c r="P39" s="2014"/>
      <c r="V39" s="2014"/>
    </row>
    <row r="40" spans="1:26" ht="19.5" thickBot="1">
      <c r="A40" s="104" t="s">
        <v>873</v>
      </c>
      <c r="B40" s="311"/>
      <c r="C40" s="311"/>
      <c r="D40" s="311"/>
      <c r="E40" s="311"/>
      <c r="F40" s="311"/>
      <c r="G40" s="311"/>
      <c r="H40" s="311"/>
      <c r="I40" s="311"/>
      <c r="J40" s="2016"/>
      <c r="K40" s="3369" t="str">
        <f t="shared" ref="K40:K41" si="0">MID(A45,3,LEN(A45)-2)</f>
        <v/>
      </c>
      <c r="L40" s="3370"/>
      <c r="M40" s="3370"/>
      <c r="N40" s="337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9" t="str">
        <f t="shared" si="0"/>
        <v>抵押净值</v>
      </c>
      <c r="L41" s="3370"/>
      <c r="M41" s="3370"/>
      <c r="N41" s="3371"/>
      <c r="O41" s="1389">
        <f ca="1">C46</f>
        <v>626</v>
      </c>
      <c r="P41" s="2014"/>
      <c r="V41" s="2014"/>
    </row>
    <row r="42" spans="1:26" ht="29.25">
      <c r="A42" s="3311" t="s">
        <v>2066</v>
      </c>
      <c r="B42" s="3312"/>
      <c r="C42" s="264">
        <f ca="1">C32</f>
        <v>754</v>
      </c>
      <c r="D42" s="317">
        <f ca="1">C33</f>
        <v>1317</v>
      </c>
      <c r="E42" s="317">
        <f ca="1">C34</f>
        <v>1975</v>
      </c>
      <c r="F42" s="318">
        <f ca="1">C35</f>
        <v>132</v>
      </c>
      <c r="G42" s="311"/>
      <c r="H42" s="311"/>
      <c r="I42" s="319"/>
      <c r="J42" s="2016"/>
      <c r="K42" s="1267" t="s">
        <v>361</v>
      </c>
      <c r="L42" s="2033" t="s">
        <v>362</v>
      </c>
      <c r="M42" s="1268" t="s">
        <v>363</v>
      </c>
      <c r="N42" s="2034" t="s">
        <v>364</v>
      </c>
      <c r="O42" s="2035" t="s">
        <v>365</v>
      </c>
      <c r="P42" s="2014"/>
      <c r="V42" s="2014"/>
    </row>
    <row r="43" spans="1:26" ht="30">
      <c r="A43" s="3322" t="s">
        <v>2728</v>
      </c>
      <c r="B43" s="3323"/>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377</v>
      </c>
      <c r="M43" s="1271">
        <f>C18</f>
        <v>0.4</v>
      </c>
      <c r="N43" s="1272">
        <f ca="1">IF(N42="测算结果/万元",G19,G20)</f>
        <v>754</v>
      </c>
      <c r="O43" s="1273">
        <f ca="1">IF(O42="最终结果/万元",C32,C33)</f>
        <v>754</v>
      </c>
      <c r="P43" s="2014"/>
      <c r="V43" s="2014"/>
    </row>
    <row r="44" spans="1:26" ht="30.75" thickBot="1">
      <c r="A44" s="3311" t="str">
        <f>IF(OR(项目基本情况!E8="抵押价格",项目基本情况!E8="已注销及未注销"),"3.抵押价格","——")</f>
        <v>3.抵押价格</v>
      </c>
      <c r="B44" s="3312"/>
      <c r="C44" s="264">
        <f ca="1">IF(A44="——","——",C42-C43)</f>
        <v>754</v>
      </c>
      <c r="D44" s="317">
        <f ca="1">ROUND(C44*10000/'数据-汇总表'!E3,0)</f>
        <v>1317</v>
      </c>
      <c r="E44" s="317">
        <f ca="1">ROUND(C44*10000/'数据-汇总表'!D3,0)</f>
        <v>1975</v>
      </c>
      <c r="F44" s="318">
        <f ca="1">ROUND(C44/('数据-汇总表'!D3/666.67),0)</f>
        <v>132</v>
      </c>
      <c r="G44" s="311"/>
      <c r="H44" s="311"/>
      <c r="I44" s="319"/>
      <c r="J44" s="2016"/>
      <c r="K44" s="1274" t="str">
        <f>D4</f>
        <v>剩余法-待开发</v>
      </c>
      <c r="L44" s="1275">
        <f ca="1">IF(L42="估价结果/万元",D19,D20)</f>
        <v>1006</v>
      </c>
      <c r="M44" s="1276">
        <f>D18</f>
        <v>0.6</v>
      </c>
      <c r="N44" s="1277"/>
      <c r="O44" s="1278"/>
      <c r="P44" s="2014"/>
      <c r="V44" s="2014"/>
    </row>
    <row r="45" spans="1:26" ht="15">
      <c r="A45" s="3317" t="str">
        <f>IF(项目基本情况!E8="已注销及未注销","4.抵押担保权已注销时的抵押价格",IF(项目基本情况!E8="已注销","3.抵押担保权已注销时的抵押价格","——"))</f>
        <v>——</v>
      </c>
      <c r="B45" s="331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3" t="str">
        <f>IF(项目基本情况!E9="抵押净值",IF(A45="——","4.抵押净值","5.抵押净值"),"——")</f>
        <v>4.抵押净值</v>
      </c>
      <c r="B46" s="3314"/>
      <c r="C46" s="320">
        <f ca="1">IF(A46="——","——",O79)</f>
        <v>626</v>
      </c>
      <c r="D46" s="317">
        <f ca="1">ROUND(C46*10000/'数据-汇总表'!E3,0)</f>
        <v>1093</v>
      </c>
      <c r="E46" s="317">
        <f ca="1">ROUND(C46*10000/'数据-汇总表'!D3,0)</f>
        <v>1640</v>
      </c>
      <c r="F46" s="318">
        <f ca="1">ROUND(C46/('数据-汇总表'!D3/666.67),0)</f>
        <v>109</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8" t="s">
        <v>374</v>
      </c>
      <c r="B63" s="3359"/>
      <c r="C63" s="3360"/>
      <c r="D63" s="341">
        <f ca="1">ROUND(C42*F63,0)</f>
        <v>754</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19" t="s">
        <v>378</v>
      </c>
      <c r="B64" s="3320"/>
      <c r="C64" s="3320"/>
      <c r="D64" s="3320"/>
      <c r="E64" s="3320"/>
      <c r="F64" s="3320"/>
      <c r="G64" s="332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5" t="s">
        <v>386</v>
      </c>
      <c r="B66" s="3316"/>
      <c r="C66" s="3316"/>
      <c r="D66" s="261">
        <f ca="1">IF(H66="情况1",0,IF(H66="情况2",D70,IF(H66="情况3",D71,IF(H66="情况4",D72))))</f>
        <v>39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73" t="s">
        <v>385</v>
      </c>
      <c r="M66" s="3374"/>
      <c r="N66" s="2423"/>
      <c r="O66" s="2424"/>
      <c r="P66" s="2425"/>
      <c r="Q66" s="2014"/>
      <c r="R66" s="2014"/>
      <c r="S66" s="2014"/>
      <c r="T66" s="2014"/>
      <c r="U66" s="2014"/>
      <c r="V66" s="2014"/>
    </row>
    <row r="67" spans="1:22" ht="25.5" customHeight="1">
      <c r="A67" s="352" t="s">
        <v>390</v>
      </c>
      <c r="B67" s="3306" t="s">
        <v>391</v>
      </c>
      <c r="C67" s="3306"/>
      <c r="D67" s="353">
        <v>0</v>
      </c>
      <c r="E67" s="41" t="s">
        <v>392</v>
      </c>
      <c r="F67" s="62" t="s">
        <v>21</v>
      </c>
      <c r="G67" s="3361"/>
      <c r="H67" s="311"/>
      <c r="I67" s="1288"/>
      <c r="J67" s="2021"/>
      <c r="K67" s="1962">
        <v>2</v>
      </c>
      <c r="L67" s="3372" t="s">
        <v>389</v>
      </c>
      <c r="M67" s="3372"/>
      <c r="N67" s="1321">
        <f>'数据-取费表'!B2</f>
        <v>43633</v>
      </c>
      <c r="O67" s="1321"/>
      <c r="P67" s="1321"/>
      <c r="Q67" s="2014"/>
      <c r="R67" s="2014"/>
      <c r="S67" s="2014"/>
      <c r="T67" s="2014"/>
      <c r="U67" s="2014"/>
      <c r="V67" s="2014"/>
    </row>
    <row r="68" spans="1:22" ht="25.5" customHeight="1">
      <c r="A68" s="354"/>
      <c r="B68" s="3306" t="s">
        <v>394</v>
      </c>
      <c r="C68" s="3306"/>
      <c r="D68" s="355"/>
      <c r="E68" s="77"/>
      <c r="F68" s="356"/>
      <c r="G68" s="3362"/>
      <c r="H68" s="311"/>
      <c r="I68" s="1288"/>
      <c r="J68" s="2021"/>
      <c r="K68" s="1962">
        <v>3</v>
      </c>
      <c r="L68" s="3372" t="s">
        <v>393</v>
      </c>
      <c r="M68" s="3372"/>
      <c r="N68" s="1289">
        <f ca="1">C42</f>
        <v>754</v>
      </c>
      <c r="O68" s="1289"/>
      <c r="P68" s="1289"/>
      <c r="Q68" s="2014"/>
      <c r="R68" s="2014"/>
      <c r="S68" s="2014"/>
      <c r="T68" s="2014"/>
      <c r="U68" s="2014"/>
      <c r="V68" s="2014"/>
    </row>
    <row r="69" spans="1:22" ht="12" customHeight="1">
      <c r="A69" s="357"/>
      <c r="B69" s="3306" t="s">
        <v>395</v>
      </c>
      <c r="C69" s="3306"/>
      <c r="D69" s="358"/>
      <c r="E69" s="73"/>
      <c r="F69" s="356"/>
      <c r="G69" s="3363"/>
      <c r="H69" s="311"/>
      <c r="I69" s="1288"/>
      <c r="J69" s="2021"/>
      <c r="K69" s="1290">
        <v>4</v>
      </c>
      <c r="L69" s="3377" t="s">
        <v>2881</v>
      </c>
      <c r="M69" s="3378"/>
      <c r="N69" s="1291">
        <f ca="1">C44</f>
        <v>754</v>
      </c>
      <c r="O69" s="1291"/>
      <c r="P69" s="1291"/>
      <c r="Q69" s="2014"/>
      <c r="R69" s="2014"/>
      <c r="S69" s="2014"/>
      <c r="T69" s="2014"/>
      <c r="U69" s="2014"/>
      <c r="V69" s="2014"/>
    </row>
    <row r="70" spans="1:22" ht="24" customHeight="1">
      <c r="A70" s="359" t="s">
        <v>396</v>
      </c>
      <c r="B70" s="3306" t="s">
        <v>397</v>
      </c>
      <c r="C70" s="3306"/>
      <c r="D70" s="358">
        <f ca="1">ROUND(D63*'数据-取费表'!B41/(1+'数据-取费表'!C42),0)</f>
        <v>39</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07" t="s">
        <v>405</v>
      </c>
      <c r="C71" s="3308"/>
      <c r="D71" s="358">
        <f ca="1">ROUND(D63*'数据-取费表'!B41/(1+'数据-取费表'!C42),0)</f>
        <v>39</v>
      </c>
      <c r="E71" s="17" t="s">
        <v>398</v>
      </c>
      <c r="F71" s="360">
        <f>'数据-取费表'!B41</f>
        <v>5.5000000000000007E-2</v>
      </c>
      <c r="G71" s="361"/>
      <c r="H71" s="311"/>
      <c r="I71" s="1288"/>
      <c r="J71" s="2021"/>
      <c r="K71" s="3013" t="s">
        <v>399</v>
      </c>
      <c r="L71" s="3379" t="s">
        <v>400</v>
      </c>
      <c r="M71" s="3379"/>
      <c r="N71" s="3013" t="s">
        <v>401</v>
      </c>
      <c r="O71" s="3013" t="s">
        <v>402</v>
      </c>
      <c r="P71" s="3013" t="s">
        <v>403</v>
      </c>
      <c r="Q71" s="2014"/>
      <c r="R71" s="2014"/>
      <c r="S71" s="2014"/>
      <c r="T71" s="2014"/>
      <c r="U71" s="2014"/>
      <c r="V71" s="2014"/>
    </row>
    <row r="72" spans="1:22" ht="12" customHeight="1">
      <c r="A72" s="359" t="s">
        <v>407</v>
      </c>
      <c r="B72" s="3307" t="s">
        <v>408</v>
      </c>
      <c r="C72" s="3308"/>
      <c r="D72" s="358">
        <f ca="1">C86</f>
        <v>0</v>
      </c>
      <c r="E72" s="73" t="s">
        <v>409</v>
      </c>
      <c r="F72" s="360">
        <f>'数据-取费表'!B41</f>
        <v>5.5000000000000007E-2</v>
      </c>
      <c r="G72" s="361"/>
      <c r="H72" s="1294"/>
      <c r="I72" s="1288"/>
      <c r="J72" s="2021"/>
      <c r="K72" s="1962">
        <v>1</v>
      </c>
      <c r="L72" s="3354" t="s">
        <v>406</v>
      </c>
      <c r="M72" s="3354"/>
      <c r="N72" s="1292">
        <f ca="1">D66</f>
        <v>39</v>
      </c>
      <c r="O72" s="1845" t="str">
        <f>E66</f>
        <v>销售额×税（费）率</v>
      </c>
      <c r="P72" s="1293">
        <f>F66</f>
        <v>5.5000000000000007E-2</v>
      </c>
      <c r="Q72" s="2014"/>
      <c r="R72" s="2014"/>
      <c r="S72" s="2014"/>
      <c r="T72" s="2014"/>
      <c r="U72" s="2014"/>
      <c r="V72" s="2014"/>
    </row>
    <row r="73" spans="1:22" ht="24" customHeight="1">
      <c r="A73" s="3348" t="s">
        <v>411</v>
      </c>
      <c r="B73" s="3316"/>
      <c r="C73" s="3316"/>
      <c r="D73" s="362">
        <f ca="1">IF(H73="个人住宅",0,ROUND(D63*I73,0))</f>
        <v>0</v>
      </c>
      <c r="E73" s="17" t="s">
        <v>412</v>
      </c>
      <c r="F73" s="360">
        <f>IF(H73="正常",I73,"免征")</f>
        <v>5.0000000000000001E-4</v>
      </c>
      <c r="G73" s="361"/>
      <c r="H73" s="191" t="s">
        <v>3218</v>
      </c>
      <c r="I73" s="360">
        <f>'数据-取费表'!B49</f>
        <v>5.0000000000000001E-4</v>
      </c>
      <c r="J73" s="2021"/>
      <c r="K73" s="1962">
        <v>2</v>
      </c>
      <c r="L73" s="3354" t="s">
        <v>410</v>
      </c>
      <c r="M73" s="3354"/>
      <c r="N73" s="3516">
        <f t="shared" ref="N73:P74" ca="1" si="1">D73</f>
        <v>0</v>
      </c>
      <c r="O73" s="1845" t="str">
        <f t="shared" si="1"/>
        <v>销售额×税（费）率</v>
      </c>
      <c r="P73" s="1293">
        <f t="shared" si="1"/>
        <v>5.0000000000000001E-4</v>
      </c>
      <c r="Q73" s="2014"/>
      <c r="R73" s="2014"/>
      <c r="S73" s="2014"/>
      <c r="T73" s="2014"/>
      <c r="U73" s="2014"/>
      <c r="V73" s="2014"/>
    </row>
    <row r="74" spans="1:22" ht="24.75">
      <c r="A74" s="3348" t="s">
        <v>415</v>
      </c>
      <c r="B74" s="3316"/>
      <c r="C74" s="3316"/>
      <c r="D74" s="362">
        <f ca="1">IF(H74="个人住宅",D75,D76)</f>
        <v>89</v>
      </c>
      <c r="E74" s="17" t="s">
        <v>416</v>
      </c>
      <c r="F74" s="360" t="str">
        <f>IF(H74="正常",F76,"免征")</f>
        <v>——</v>
      </c>
      <c r="G74" s="983" t="s">
        <v>417</v>
      </c>
      <c r="H74" s="363" t="s">
        <v>413</v>
      </c>
      <c r="I74" s="42"/>
      <c r="J74" s="2021"/>
      <c r="K74" s="1962">
        <v>3</v>
      </c>
      <c r="L74" s="3354" t="s">
        <v>414</v>
      </c>
      <c r="M74" s="3354"/>
      <c r="N74" s="1292">
        <f t="shared" ca="1" si="1"/>
        <v>89</v>
      </c>
      <c r="O74" s="1845" t="str">
        <f t="shared" si="1"/>
        <v>增值额×税（费）率</v>
      </c>
      <c r="P74" s="1295" t="str">
        <f t="shared" si="1"/>
        <v>——</v>
      </c>
      <c r="Q74" s="2014"/>
      <c r="R74" s="2014"/>
      <c r="S74" s="2014"/>
      <c r="T74" s="2014"/>
      <c r="U74" s="2014"/>
      <c r="V74" s="2014"/>
    </row>
    <row r="75" spans="1:22" ht="12.75">
      <c r="A75" s="359" t="s">
        <v>418</v>
      </c>
      <c r="B75" s="3304" t="s">
        <v>419</v>
      </c>
      <c r="C75" s="3334"/>
      <c r="D75" s="364">
        <v>0</v>
      </c>
      <c r="E75" s="41" t="s">
        <v>420</v>
      </c>
      <c r="F75" s="365"/>
      <c r="G75" s="361"/>
      <c r="H75" s="42"/>
      <c r="I75" s="42"/>
      <c r="J75" s="2021"/>
      <c r="K75" s="3006" t="str">
        <f>IF(H77="非个人房产","",4)</f>
        <v/>
      </c>
      <c r="L75" s="3354" t="str">
        <f>IF(H77="非个人房产","——","个人所得税")</f>
        <v>——</v>
      </c>
      <c r="M75" s="3354"/>
      <c r="N75" s="1296" t="str">
        <f>D77</f>
        <v>——</v>
      </c>
      <c r="O75" s="1858" t="str">
        <f>E77</f>
        <v>——</v>
      </c>
      <c r="P75" s="1297" t="str">
        <f>F77</f>
        <v>——</v>
      </c>
      <c r="Q75" s="2014"/>
      <c r="R75" s="2014"/>
      <c r="S75" s="2014"/>
      <c r="T75" s="2014"/>
      <c r="U75" s="2014"/>
      <c r="V75" s="2014"/>
    </row>
    <row r="76" spans="1:22" ht="24.75">
      <c r="A76" s="359" t="s">
        <v>396</v>
      </c>
      <c r="B76" s="3304" t="s">
        <v>422</v>
      </c>
      <c r="C76" s="3305"/>
      <c r="D76" s="362">
        <f ca="1">IF(H76="转让取得",C99,C115)</f>
        <v>89</v>
      </c>
      <c r="E76" s="17" t="s">
        <v>423</v>
      </c>
      <c r="F76" s="53" t="s">
        <v>21</v>
      </c>
      <c r="G76" s="361"/>
      <c r="H76" s="363" t="s">
        <v>424</v>
      </c>
      <c r="I76" s="42"/>
      <c r="J76" s="2021"/>
      <c r="K76" s="3006" t="str">
        <f>IF(项目基本情况!K6="上海银行",IF(K75="",4,K75+1),"")</f>
        <v/>
      </c>
      <c r="L76" s="3365" t="str">
        <f>IF(项目基本情况!K6="上海银行","其他处置费用","")</f>
        <v/>
      </c>
      <c r="M76" s="3366"/>
      <c r="N76" s="1292" t="str">
        <f>IF(项目基本情况!K6="上海银行",N89,"")</f>
        <v/>
      </c>
      <c r="O76" s="3367" t="str">
        <f>IF(项目基本情况!K6="上海银行","包含处置中涉及的律师、诉讼、拍卖、评估等费用","")</f>
        <v/>
      </c>
      <c r="P76" s="3368"/>
      <c r="Q76" s="2014"/>
      <c r="R76" s="2014"/>
      <c r="S76" s="2014"/>
      <c r="T76" s="2014"/>
      <c r="U76" s="2014"/>
      <c r="V76" s="2014"/>
    </row>
    <row r="77" spans="1:22" ht="24.75" thickBot="1">
      <c r="A77" s="3356" t="s">
        <v>426</v>
      </c>
      <c r="B77" s="3357"/>
      <c r="C77" s="3357"/>
      <c r="D77" s="366" t="str">
        <f>IF(H77="非个人房产","——",IF(H77="个人住宅",0,ROUND(D63*I77,0)))</f>
        <v>——</v>
      </c>
      <c r="E77" s="367" t="str">
        <f>IF(H77="非个人房产","——","销售额×税（费）率")</f>
        <v>——</v>
      </c>
      <c r="F77" s="368" t="str">
        <f>IF(H77="非个人房产","——",IF(H77="个人住宅","免征",I77))</f>
        <v>——</v>
      </c>
      <c r="G77" s="984" t="s">
        <v>417</v>
      </c>
      <c r="H77" s="363" t="s">
        <v>3258</v>
      </c>
      <c r="I77" s="369">
        <v>0.01</v>
      </c>
      <c r="J77" s="2021"/>
      <c r="K77" s="3355">
        <f>IF(AND(K75="",K76=""),4,IF(项目基本情况!K6="上海银行",K76+1,K75+1))</f>
        <v>4</v>
      </c>
      <c r="L77" s="3354" t="s">
        <v>2882</v>
      </c>
      <c r="M77" s="3012" t="s">
        <v>421</v>
      </c>
      <c r="N77" s="1298"/>
      <c r="O77" s="1299">
        <f ca="1">SUMIF(N72:N76,"&lt;9e307")</f>
        <v>128</v>
      </c>
      <c r="P77" s="1300"/>
      <c r="Q77" s="3010">
        <f ca="1">O77/N69</f>
        <v>0.16976127320954906</v>
      </c>
      <c r="R77" s="2014"/>
      <c r="S77" s="2014"/>
      <c r="T77" s="2014"/>
      <c r="U77" s="2014"/>
      <c r="V77" s="2014"/>
    </row>
    <row r="78" spans="1:22" ht="12" customHeight="1">
      <c r="A78" s="1301"/>
      <c r="B78" s="311"/>
      <c r="C78" s="311"/>
      <c r="D78" s="311"/>
      <c r="E78" s="42"/>
      <c r="F78" s="42"/>
      <c r="G78" s="42"/>
      <c r="H78" s="1003"/>
      <c r="I78" s="311"/>
      <c r="J78" s="2021"/>
      <c r="K78" s="3355"/>
      <c r="L78" s="3354"/>
      <c r="M78" s="3012" t="s">
        <v>425</v>
      </c>
      <c r="N78" s="1298"/>
      <c r="O78" s="1299" t="str">
        <f ca="1">NUMBERSTRING(INT(O77*10000),2)&amp;"元整"</f>
        <v>壹佰贰拾捌万元整</v>
      </c>
      <c r="P78" s="1300"/>
      <c r="Q78" s="2014"/>
      <c r="R78" s="2014"/>
      <c r="S78" s="2014"/>
      <c r="T78" s="2014"/>
      <c r="U78" s="2014"/>
      <c r="V78" s="2014"/>
    </row>
    <row r="79" spans="1:22" ht="13.5" thickBot="1">
      <c r="A79" s="3349" t="s">
        <v>427</v>
      </c>
      <c r="B79" s="3349"/>
      <c r="C79" s="3349"/>
      <c r="D79" s="3349"/>
      <c r="E79" s="3349"/>
      <c r="F79" s="42"/>
      <c r="G79" s="42"/>
      <c r="H79" s="1003"/>
      <c r="I79" s="311"/>
      <c r="J79" s="2021"/>
      <c r="K79" s="3375">
        <f>K77+1</f>
        <v>5</v>
      </c>
      <c r="L79" s="3354" t="s">
        <v>2883</v>
      </c>
      <c r="M79" s="3012" t="s">
        <v>421</v>
      </c>
      <c r="N79" s="1298"/>
      <c r="O79" s="1299">
        <f ca="1">N69-O77</f>
        <v>626</v>
      </c>
      <c r="P79" s="1300"/>
      <c r="Q79" s="2014"/>
      <c r="R79" s="2014"/>
      <c r="S79" s="2014"/>
      <c r="T79" s="2014"/>
      <c r="U79" s="2014"/>
      <c r="V79" s="2014"/>
    </row>
    <row r="80" spans="1:22" ht="25.5">
      <c r="A80" s="3344" t="s">
        <v>428</v>
      </c>
      <c r="B80" s="3345"/>
      <c r="C80" s="994"/>
      <c r="D80" s="994" t="s">
        <v>429</v>
      </c>
      <c r="E80" s="370" t="s">
        <v>430</v>
      </c>
      <c r="F80" s="42"/>
      <c r="G80" s="42"/>
      <c r="H80" s="1003"/>
      <c r="I80" s="311"/>
      <c r="J80" s="2014"/>
      <c r="K80" s="3376"/>
      <c r="L80" s="3354"/>
      <c r="M80" s="3012" t="s">
        <v>425</v>
      </c>
      <c r="N80" s="1298"/>
      <c r="O80" s="1299" t="str">
        <f ca="1">NUMBERSTRING(INT(O79*10000),2)&amp;"元整"</f>
        <v>陆佰贰拾陆万元整</v>
      </c>
      <c r="P80" s="1300"/>
      <c r="Q80" s="2014"/>
      <c r="R80" s="2014"/>
      <c r="S80" s="2014"/>
      <c r="T80" s="2014"/>
      <c r="U80" s="2014"/>
      <c r="V80" s="2014"/>
    </row>
    <row r="81" spans="1:26" ht="13.5" thickBot="1">
      <c r="A81" s="381" t="s">
        <v>1823</v>
      </c>
      <c r="B81" s="371" t="s">
        <v>431</v>
      </c>
      <c r="C81" s="372">
        <f ca="1">ROUND((C82+C83)/(1+'数据-取费表'!C42),0)</f>
        <v>718</v>
      </c>
      <c r="D81" s="373"/>
      <c r="E81" s="374"/>
      <c r="F81" s="42"/>
      <c r="G81" s="42"/>
      <c r="H81" s="1003"/>
      <c r="I81" s="311"/>
      <c r="J81" s="2014"/>
      <c r="K81" s="3006">
        <f>K79+1</f>
        <v>6</v>
      </c>
      <c r="L81" s="3352" t="s">
        <v>2884</v>
      </c>
      <c r="M81" s="3353"/>
      <c r="N81" s="1302"/>
      <c r="O81" s="1303">
        <f ca="1">ROUND(O79*10000/'数据-汇总表'!E3,0)</f>
        <v>1093</v>
      </c>
      <c r="P81" s="1304"/>
      <c r="Q81" s="2014"/>
      <c r="R81" s="2014"/>
      <c r="S81" s="2014"/>
      <c r="T81" s="2014"/>
      <c r="U81" s="2014"/>
      <c r="V81" s="2014"/>
    </row>
    <row r="82" spans="1:26" ht="13.5" thickTop="1">
      <c r="A82" s="375" t="s">
        <v>1824</v>
      </c>
      <c r="B82" s="376" t="s">
        <v>432</v>
      </c>
      <c r="C82" s="377">
        <f ca="1">D63</f>
        <v>754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4" t="s">
        <v>2872</v>
      </c>
      <c r="L83" s="3018" t="s">
        <v>2873</v>
      </c>
      <c r="M83" s="3008">
        <f ca="1">IF(N69&gt;10000,N69*0.5%,IF(AND(N69&gt;1000,N69&lt;=10000),N69*1%,IF(AND(N69&gt;100,N69&lt;=1000),N69*3%,IF(AND(N69&gt;10,N69&lt;=100),N69*5%,N69*8%))))</f>
        <v>22.619999999999997</v>
      </c>
      <c r="N83" s="53">
        <f ca="1">ROUND(M83,1)</f>
        <v>22.6</v>
      </c>
      <c r="O83" s="3011"/>
      <c r="P83" s="2014"/>
      <c r="Q83" s="2014"/>
      <c r="R83" s="2014"/>
      <c r="S83" s="2014"/>
      <c r="T83" s="2014"/>
      <c r="U83" s="2014"/>
      <c r="V83" s="2014"/>
    </row>
    <row r="84" spans="1:26" ht="12.75">
      <c r="A84" s="381" t="s">
        <v>1826</v>
      </c>
      <c r="B84" s="382" t="s">
        <v>434</v>
      </c>
      <c r="C84" s="383">
        <v>2000</v>
      </c>
      <c r="D84" s="384" t="s">
        <v>19</v>
      </c>
      <c r="E84" s="3052" t="s">
        <v>2931</v>
      </c>
      <c r="F84" s="42"/>
      <c r="G84" s="42"/>
      <c r="H84" s="1003"/>
      <c r="I84" s="311"/>
      <c r="J84" s="2014"/>
      <c r="K84" s="3364"/>
      <c r="L84" s="3018" t="s">
        <v>2874</v>
      </c>
      <c r="M84" s="3008">
        <f ca="1">IF(N69&gt;2000,N69*0.5%,IF(AND(N69&gt;1000,N69&lt;=2000),N69*0.6%,IF(AND(N69&gt;500,N69&lt;=1000),N69*0.7%,IF(AND(N69&gt;200,N69&lt;=500),N69*0.8%,IF(AND(N69&gt;100,N69&lt;=200),N69*0.9%,IF(AND(N69&gt;50,N69&lt;=100),N69*1%,IF(AND(N69&gt;20,N69&lt;=50),N69*1.5%,IF(AND(N69&gt;10,N69&lt;=20),N69*2%,IF(AND(N69&gt;1,N69&lt;=10),N69*2.5%)))))))))</f>
        <v>5.2779999999999996</v>
      </c>
      <c r="N84" s="53">
        <f t="shared" ref="N84:N85" ca="1" si="2">ROUND(M84,1)</f>
        <v>5.3</v>
      </c>
      <c r="O84" s="2014" t="s">
        <v>2875</v>
      </c>
      <c r="P84" s="2014"/>
      <c r="Q84" s="2014"/>
      <c r="R84" s="2014"/>
      <c r="S84" s="2014"/>
      <c r="T84" s="2014"/>
      <c r="U84" s="2014"/>
      <c r="V84" s="2014"/>
    </row>
    <row r="85" spans="1:26" ht="12.75">
      <c r="A85" s="381" t="s">
        <v>1827</v>
      </c>
      <c r="B85" s="382" t="s">
        <v>435</v>
      </c>
      <c r="C85" s="385">
        <f ca="1">C81-C84</f>
        <v>-1282</v>
      </c>
      <c r="D85" s="378" t="s">
        <v>19</v>
      </c>
      <c r="E85" s="379"/>
      <c r="F85" s="42"/>
      <c r="G85" s="42"/>
      <c r="H85" s="1003"/>
      <c r="I85" s="311"/>
      <c r="J85" s="2014"/>
      <c r="K85" s="3364"/>
      <c r="L85" s="3018" t="s">
        <v>2876</v>
      </c>
      <c r="M85" s="3008">
        <f ca="1">IF(N69&gt;1000,N69*0.1%,IF(AND(N69&gt;500,N69&lt;=1000),N69*0.5%,IF(AND(N69&gt;50,N69&lt;=500),N69*1%,IF(AND(N69&gt;1,N69&lt;=50),N69*1.5%))))</f>
        <v>3.77</v>
      </c>
      <c r="N85" s="53">
        <f t="shared" ca="1" si="2"/>
        <v>3.8</v>
      </c>
      <c r="O85" s="2014" t="s">
        <v>2875</v>
      </c>
      <c r="P85" s="2014"/>
      <c r="Q85" s="2014"/>
      <c r="R85" s="2014"/>
      <c r="S85" s="2014"/>
      <c r="T85" s="2014"/>
      <c r="U85" s="2014"/>
      <c r="V85" s="2014"/>
    </row>
    <row r="86" spans="1:26" ht="13.5" thickBot="1">
      <c r="A86" s="386" t="s">
        <v>1828</v>
      </c>
      <c r="B86" s="387" t="s">
        <v>436</v>
      </c>
      <c r="C86" s="388">
        <f ca="1">IF(C85&lt;=0,0,ROUND(C85*D86,0))</f>
        <v>0</v>
      </c>
      <c r="D86" s="389">
        <f>'数据-取费表'!B41</f>
        <v>5.5000000000000007E-2</v>
      </c>
      <c r="E86" s="390"/>
      <c r="F86" s="42"/>
      <c r="G86" s="42"/>
      <c r="H86" s="1003"/>
      <c r="I86" s="311"/>
      <c r="J86" s="2014"/>
      <c r="K86" s="3364"/>
      <c r="L86" s="3018" t="s">
        <v>2877</v>
      </c>
      <c r="M86" s="3008">
        <f ca="1">N69*0.5%</f>
        <v>3.77</v>
      </c>
      <c r="N86" s="53">
        <f ca="1">IF(M86&gt;0.5,0.5,ROUND(M86,0))</f>
        <v>0.5</v>
      </c>
      <c r="O86" s="2014" t="s">
        <v>2878</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64"/>
      <c r="L87" s="3018" t="s">
        <v>2879</v>
      </c>
      <c r="M87" s="3008">
        <f ca="1">IF(N69&gt;=10000,(8.25+(N69-10000)*0.01%),IF(AND(N69&gt;=8000,N69&lt;10000),(7.85+(N69-8000)*0.02%),IF(AND(N69&gt;=5000,N69&lt;8000),(6.65+(N69-5000)*0.04%),IF(AND(N69&gt;=2000,N69&lt;5000),(4.25+(PN69-2000)*0.08%),IF(AND(N69&gt;=1000,N69&lt;2000),(2.75+(N69-1000)*0.15%),IF(AND(N69&gt;=100,N69&lt;1000),(0.5+(N69-100)*0.25%),IF(AND(N69&gt;0,N69&lt;100),N69*0.5%)))))))</f>
        <v>2.1349999999999998</v>
      </c>
      <c r="N87" s="53">
        <f ca="1">ROUND(M87*0.9,1)</f>
        <v>1.9</v>
      </c>
      <c r="O87" s="3011"/>
      <c r="P87" s="311"/>
      <c r="Q87" s="2014"/>
      <c r="R87" s="2014"/>
      <c r="S87" s="2014"/>
      <c r="T87" s="2014"/>
      <c r="U87" s="2014"/>
      <c r="V87" s="2014"/>
      <c r="W87" s="292"/>
      <c r="X87" s="292"/>
      <c r="Y87" s="292"/>
      <c r="Z87" s="292"/>
    </row>
    <row r="88" spans="1:26" s="1310" customFormat="1" ht="15" hidden="1" thickBot="1">
      <c r="A88" s="3346" t="s">
        <v>437</v>
      </c>
      <c r="B88" s="3347"/>
      <c r="C88" s="3347"/>
      <c r="D88" s="3347"/>
      <c r="E88" s="3347"/>
      <c r="F88" s="3347"/>
      <c r="G88" s="3347"/>
      <c r="H88" s="3347"/>
      <c r="I88" s="1311"/>
      <c r="J88" s="2022"/>
      <c r="K88" s="3364"/>
      <c r="L88" s="3018" t="s">
        <v>2880</v>
      </c>
      <c r="M88" s="3008">
        <f ca="1">IF(N69&gt;10000,N69*0.5%,IF(AND(N69&gt;5000,N69&lt;=10000),N69*1%,IF(AND(N69&gt;1000,N69&lt;=5000),N69*2%,IF(AND(N69&gt;200,N69&lt;=1000),N69*3%,N69*5%))))</f>
        <v>22.619999999999997</v>
      </c>
      <c r="N88" s="53">
        <f ca="1">ROUND(M88,1)</f>
        <v>22.6</v>
      </c>
      <c r="O88" s="3011"/>
      <c r="P88" s="11"/>
      <c r="Q88" s="2019"/>
      <c r="R88" s="2019"/>
      <c r="S88" s="2019"/>
      <c r="T88" s="2019"/>
      <c r="U88" s="2019"/>
      <c r="V88" s="2019"/>
      <c r="W88" s="2023"/>
      <c r="X88" s="2023"/>
      <c r="Y88" s="2023"/>
      <c r="Z88" s="2023"/>
    </row>
    <row r="89" spans="1:26" s="1310" customFormat="1" ht="14.25" hidden="1">
      <c r="A89" s="3344" t="s">
        <v>428</v>
      </c>
      <c r="B89" s="3345"/>
      <c r="C89" s="994"/>
      <c r="D89" s="994" t="s">
        <v>429</v>
      </c>
      <c r="E89" s="391" t="s">
        <v>438</v>
      </c>
      <c r="F89" s="392"/>
      <c r="G89" s="392"/>
      <c r="H89" s="393"/>
      <c r="I89" s="1312"/>
      <c r="J89" s="2024"/>
      <c r="K89" s="3364"/>
      <c r="L89" s="3018" t="s">
        <v>27</v>
      </c>
      <c r="M89" s="3009"/>
      <c r="N89" s="53">
        <f ca="1">ROUND(SUM(N83:N88),0)</f>
        <v>57</v>
      </c>
      <c r="O89" s="3019">
        <f ca="1">N89/N69</f>
        <v>7.5596816976127315E-2</v>
      </c>
      <c r="P89" s="2019"/>
      <c r="Q89" s="2019"/>
      <c r="R89" s="2019"/>
      <c r="S89" s="2019"/>
      <c r="T89" s="2019"/>
      <c r="U89" s="2019"/>
      <c r="V89" s="2019"/>
      <c r="W89" s="2023"/>
      <c r="X89" s="2023"/>
      <c r="Y89" s="2023"/>
      <c r="Z89" s="2023"/>
    </row>
    <row r="90" spans="1:26" s="1310" customFormat="1" ht="14.25" hidden="1">
      <c r="A90" s="381" t="s">
        <v>1823</v>
      </c>
      <c r="B90" s="382" t="s">
        <v>439</v>
      </c>
      <c r="C90" s="385">
        <f ca="1">ROUND(D63/(1+'数据-取费表'!C42),0)</f>
        <v>718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1829</v>
      </c>
      <c r="B91" s="348" t="s">
        <v>440</v>
      </c>
      <c r="C91" s="385">
        <f ca="1">C92+C96</f>
        <v>2565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1832</v>
      </c>
      <c r="B94" s="400" t="s">
        <v>446</v>
      </c>
      <c r="C94" s="378">
        <f>IF(F93="购房发票",ROUND(C93*H93*5%,0),0)</f>
        <v>500</v>
      </c>
      <c r="D94" s="401">
        <v>0.05</v>
      </c>
      <c r="E94" s="3307" t="s">
        <v>447</v>
      </c>
      <c r="F94" s="3306"/>
      <c r="G94" s="3306"/>
      <c r="H94" s="334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1834</v>
      </c>
      <c r="B96" s="376" t="s">
        <v>450</v>
      </c>
      <c r="C96" s="405">
        <f ca="1">ROUND(D63*D96/(1+'数据-取费表'!C42),0)</f>
        <v>4</v>
      </c>
      <c r="D96" s="406">
        <f>'数据-取费表'!B43</f>
        <v>5.000000000000001E-3</v>
      </c>
      <c r="E96" s="3335" t="s">
        <v>2427</v>
      </c>
      <c r="F96" s="3336"/>
      <c r="G96" s="3336"/>
      <c r="H96" s="333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1835</v>
      </c>
      <c r="B97" s="382" t="s">
        <v>451</v>
      </c>
      <c r="C97" s="385">
        <f ca="1">C90-C91</f>
        <v>-1847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6" t="s">
        <v>454</v>
      </c>
      <c r="B101" s="3347"/>
      <c r="C101" s="3347"/>
      <c r="D101" s="3347"/>
      <c r="E101" s="3347"/>
      <c r="F101" s="3347"/>
      <c r="G101" s="3347"/>
      <c r="H101" s="334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4" t="s">
        <v>428</v>
      </c>
      <c r="B102" s="334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441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397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f>土地证信息!O13</f>
        <v>385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38" t="s">
        <v>462</v>
      </c>
      <c r="F109" s="3336"/>
      <c r="G109" s="3336"/>
      <c r="H109" s="1927" t="s">
        <v>2278</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40</v>
      </c>
      <c r="D110" s="406">
        <v>0.1</v>
      </c>
      <c r="E110" s="3338" t="s">
        <v>464</v>
      </c>
      <c r="F110" s="3336"/>
      <c r="G110" s="3336"/>
      <c r="H110" s="333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v>
      </c>
      <c r="D111" s="406">
        <f>'数据-取费表'!B43</f>
        <v>5.000000000000001E-3</v>
      </c>
      <c r="E111" s="3335" t="s">
        <v>2427</v>
      </c>
      <c r="F111" s="3336"/>
      <c r="G111" s="3336"/>
      <c r="H111" s="333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8" t="s">
        <v>2452</v>
      </c>
      <c r="F112" s="3336"/>
      <c r="G112" s="3336"/>
      <c r="H112" s="333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277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0.6281179138321995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1260</v>
      </c>
      <c r="D13" s="451"/>
      <c r="E13" s="365"/>
      <c r="F13" s="452"/>
      <c r="G13" s="444"/>
      <c r="H13" s="447"/>
      <c r="I13" s="447"/>
      <c r="J13" s="447"/>
      <c r="K13" s="448"/>
    </row>
    <row r="14" spans="1:41" s="2102" customFormat="1" ht="13.5" customHeight="1">
      <c r="A14" s="1619" t="s">
        <v>1849</v>
      </c>
      <c r="B14" s="449" t="s">
        <v>480</v>
      </c>
      <c r="C14" s="53">
        <f ca="1">ROUND(C13*F14,0)</f>
        <v>38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63</v>
      </c>
      <c r="D16" s="451">
        <f ca="1">IF(B1="",'数据-汇总表'!E3,INDIRECT("'数据-取费表'!K"&amp;$K$1)+INDIRECT("'数据-取费表'!S"&amp;$K$1))</f>
        <v>5725</v>
      </c>
      <c r="E16" s="53">
        <f>'数据-取费表'!B35</f>
        <v>110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1380</v>
      </c>
      <c r="D18" s="461"/>
      <c r="E18" s="462"/>
      <c r="F18" s="462"/>
      <c r="G18" s="1323" t="s">
        <v>2431</v>
      </c>
      <c r="H18" s="447"/>
      <c r="I18" s="447"/>
      <c r="J18" s="447"/>
      <c r="K18" s="448"/>
    </row>
    <row r="19" spans="1:14" s="2105" customFormat="1" ht="13.5" customHeight="1">
      <c r="A19" s="1620" t="s">
        <v>1854</v>
      </c>
      <c r="B19" s="459" t="s">
        <v>493</v>
      </c>
      <c r="C19" s="460">
        <f ca="1">ROUND(C18*F19,0)</f>
        <v>21</v>
      </c>
      <c r="D19" s="462"/>
      <c r="E19" s="462"/>
      <c r="F19" s="466">
        <f>'数据-取费表'!B37</f>
        <v>1.4999999999999999E-2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2453</v>
      </c>
    </row>
    <row r="22" spans="1:14" s="2106" customFormat="1" ht="13.5" customHeight="1">
      <c r="A22" s="1619" t="s">
        <v>1848</v>
      </c>
      <c r="B22" s="1324" t="s">
        <v>2434</v>
      </c>
      <c r="C22" s="487">
        <f ca="1">ROUND(IF('数据-取费表'!B22&lt;=1,(C18+C19)*F21*'数据-取费表'!B20/2,(C18+C19)*(POWER((1+F21),'数据-取费表'!B20/2)-1)),0)</f>
        <v>30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2830</v>
      </c>
      <c r="C24" s="478">
        <f ca="1">C25</f>
        <v>210</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2435</v>
      </c>
      <c r="C25" s="490">
        <f ca="1">ROUND((C18+C19)*F24,0)</f>
        <v>210</v>
      </c>
      <c r="D25" s="472"/>
      <c r="E25" s="473"/>
      <c r="F25" s="480"/>
      <c r="G25" s="1322" t="s">
        <v>2432</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2828</v>
      </c>
      <c r="E27" s="462"/>
      <c r="F27" s="466">
        <f>'数据-取费表'!B41</f>
        <v>5.5000000000000007E-2</v>
      </c>
      <c r="G27" s="1946" t="s">
        <v>2290</v>
      </c>
      <c r="H27" s="447"/>
      <c r="I27" s="447"/>
      <c r="J27" s="447"/>
      <c r="K27" s="448"/>
    </row>
    <row r="28" spans="1:14" s="2107" customFormat="1" ht="13.5" customHeight="1">
      <c r="A28" s="1623" t="s">
        <v>1868</v>
      </c>
      <c r="B28" s="476" t="s">
        <v>512</v>
      </c>
      <c r="C28" s="470">
        <f ca="1">ROUND((C18+C19+C21+C24)/(1-C20-D21-D24-C27),0)</f>
        <v>1776</v>
      </c>
      <c r="D28" s="477"/>
      <c r="E28" s="469"/>
      <c r="F28" s="471"/>
      <c r="G28" s="1323" t="s">
        <v>2433</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F49" sqref="F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377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987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9" t="s">
        <v>522</v>
      </c>
      <c r="D6" s="3390"/>
      <c r="E6" s="3389" t="s">
        <v>523</v>
      </c>
      <c r="F6" s="3390"/>
      <c r="G6" s="3389" t="s">
        <v>524</v>
      </c>
      <c r="H6" s="3390"/>
      <c r="I6" s="3389" t="s">
        <v>525</v>
      </c>
      <c r="J6" s="3390"/>
      <c r="K6" s="514" t="s">
        <v>526</v>
      </c>
      <c r="L6" s="2119"/>
      <c r="M6" s="2118"/>
      <c r="N6" s="2118"/>
      <c r="O6" s="2120"/>
      <c r="P6" s="3391" t="s">
        <v>527</v>
      </c>
      <c r="Q6" s="3392"/>
      <c r="R6" s="3397" t="s">
        <v>523</v>
      </c>
      <c r="S6" s="3398"/>
      <c r="T6" s="3397" t="s">
        <v>524</v>
      </c>
      <c r="U6" s="3398"/>
      <c r="V6" s="3384" t="s">
        <v>525</v>
      </c>
      <c r="W6" s="3384"/>
      <c r="X6" s="1554"/>
      <c r="Y6" s="3397" t="s">
        <v>527</v>
      </c>
      <c r="Z6" s="3398"/>
      <c r="AA6" s="3386" t="s">
        <v>523</v>
      </c>
      <c r="AB6" s="3387" t="s">
        <v>524</v>
      </c>
      <c r="AC6" s="3386" t="s">
        <v>525</v>
      </c>
    </row>
    <row r="7" spans="1:30" ht="37.5" customHeight="1">
      <c r="A7" s="515"/>
      <c r="B7" s="516"/>
      <c r="C7" s="3405" t="s">
        <v>2920</v>
      </c>
      <c r="D7" s="3406"/>
      <c r="E7" s="3405" t="str">
        <f>土地案例!A2</f>
        <v>新区二期泰昌南路东侧、爱民西街南昌(宗地三)</v>
      </c>
      <c r="F7" s="3406"/>
      <c r="G7" s="3405" t="str">
        <f>土地案例!A63</f>
        <v>正和路西侧、昌兴东街北侧</v>
      </c>
      <c r="H7" s="3406"/>
      <c r="I7" s="3405" t="str">
        <f>土地案例!A71</f>
        <v>正和路西侧、察哈尔西街北侧、曙光北路东侧</v>
      </c>
      <c r="J7" s="3406"/>
      <c r="K7" s="514"/>
      <c r="L7" s="2119"/>
      <c r="M7" s="2118"/>
      <c r="N7" s="2118"/>
      <c r="O7" s="2120"/>
      <c r="P7" s="3393"/>
      <c r="Q7" s="3394"/>
      <c r="R7" s="3399"/>
      <c r="S7" s="3400"/>
      <c r="T7" s="3399"/>
      <c r="U7" s="3400"/>
      <c r="V7" s="3384"/>
      <c r="W7" s="3384"/>
      <c r="X7" s="1554"/>
      <c r="Y7" s="3399"/>
      <c r="Z7" s="3400"/>
      <c r="AA7" s="3387"/>
      <c r="AB7" s="3387"/>
      <c r="AC7" s="3387"/>
    </row>
    <row r="8" spans="1:30" ht="21" thickBot="1">
      <c r="A8" s="515"/>
      <c r="B8" s="516"/>
      <c r="C8" s="3407" t="s">
        <v>2924</v>
      </c>
      <c r="D8" s="3408"/>
      <c r="E8" s="3407" t="s">
        <v>2924</v>
      </c>
      <c r="F8" s="3408"/>
      <c r="G8" s="3403" t="s">
        <v>2924</v>
      </c>
      <c r="H8" s="3404"/>
      <c r="I8" s="3403" t="s">
        <v>2924</v>
      </c>
      <c r="J8" s="3404"/>
      <c r="K8" s="514" t="s">
        <v>528</v>
      </c>
      <c r="L8" s="2119"/>
      <c r="M8" s="2118"/>
      <c r="N8" s="2118"/>
      <c r="O8" s="2120"/>
      <c r="P8" s="3395"/>
      <c r="Q8" s="3396"/>
      <c r="R8" s="3399"/>
      <c r="S8" s="3400"/>
      <c r="T8" s="3401"/>
      <c r="U8" s="3402"/>
      <c r="V8" s="3384"/>
      <c r="W8" s="3384"/>
      <c r="X8" s="1554"/>
      <c r="Y8" s="3401"/>
      <c r="Z8" s="3402"/>
      <c r="AA8" s="3388"/>
      <c r="AB8" s="3388"/>
      <c r="AC8" s="3388"/>
    </row>
    <row r="9" spans="1:30" s="1216" customFormat="1" ht="21" thickBot="1">
      <c r="A9" s="2868"/>
      <c r="B9" s="2875" t="s">
        <v>529</v>
      </c>
      <c r="C9" s="2867">
        <f>'数据-取费表'!B2</f>
        <v>43633</v>
      </c>
      <c r="D9" s="520">
        <v>100</v>
      </c>
      <c r="E9" s="521" t="str">
        <f>土地案例!I2</f>
        <v>2019-05-28</v>
      </c>
      <c r="F9" s="522">
        <f>SUMIF(72:72,YEAR(E9)&amp;"-"&amp;INT((MONTH(E9)+2)/3),73:73)</f>
        <v>100</v>
      </c>
      <c r="G9" s="523" t="str">
        <f>土地案例!I58</f>
        <v>2017-08-22</v>
      </c>
      <c r="H9" s="520">
        <f>SUMIF(72:72,YEAR(G9)&amp;"-"&amp;INT((MONTH(G9)+2)/3),73:73)</f>
        <v>93</v>
      </c>
      <c r="I9" s="523" t="str">
        <f>土地案例!I71</f>
        <v>2016-11-11</v>
      </c>
      <c r="J9" s="520">
        <f>SUMIF(72:72,YEAR(I9)&amp;"-"&amp;INT((MONTH(I9)+2)/3),73:73)</f>
        <v>90</v>
      </c>
      <c r="K9" s="524"/>
      <c r="L9" s="2121"/>
      <c r="M9" s="2118"/>
      <c r="N9" s="2118"/>
      <c r="O9" s="2122"/>
      <c r="P9" s="3414" t="s">
        <v>530</v>
      </c>
      <c r="Q9" s="3416"/>
      <c r="R9" s="1555" t="s">
        <v>8</v>
      </c>
      <c r="S9" s="1556">
        <f t="shared" ref="S9:S17" si="0">F9</f>
        <v>100</v>
      </c>
      <c r="T9" s="1555" t="s">
        <v>8</v>
      </c>
      <c r="U9" s="1556">
        <f t="shared" ref="U9:U17" si="1">H9</f>
        <v>93</v>
      </c>
      <c r="V9" s="1555" t="s">
        <v>8</v>
      </c>
      <c r="W9" s="1556">
        <f t="shared" ref="W9:W17" si="2">J9</f>
        <v>90</v>
      </c>
      <c r="X9" s="1557"/>
      <c r="Y9" s="3414" t="s">
        <v>530</v>
      </c>
      <c r="Z9" s="3415"/>
      <c r="AA9" s="1558">
        <f>D9/F9</f>
        <v>1</v>
      </c>
      <c r="AB9" s="1558">
        <f>D9/H9</f>
        <v>1.075268817204301</v>
      </c>
      <c r="AC9" s="1558">
        <f>D9/J9</f>
        <v>1.1111111111111112</v>
      </c>
    </row>
    <row r="10" spans="1:30" s="1216" customFormat="1" ht="21" thickBot="1">
      <c r="A10" s="2869"/>
      <c r="B10" s="2876" t="s">
        <v>531</v>
      </c>
      <c r="C10" s="856" t="s">
        <v>532</v>
      </c>
      <c r="D10" s="520">
        <v>100</v>
      </c>
      <c r="E10" s="525" t="s">
        <v>3218</v>
      </c>
      <c r="F10" s="522">
        <f>SUMIF(75:75,E10,76:76)-SUMIF(75:75,C10,76:76)+100</f>
        <v>100</v>
      </c>
      <c r="G10" s="525" t="s">
        <v>3218</v>
      </c>
      <c r="H10" s="520">
        <f>SUMIF(75:75,G10,76:76)-SUMIF(75:75,C10,76:76)+100</f>
        <v>100</v>
      </c>
      <c r="I10" s="525" t="s">
        <v>3218</v>
      </c>
      <c r="J10" s="520">
        <f>SUMIF(75:75,I10,76:76)-SUMIF(75:75,C10,76:76)+100</f>
        <v>100</v>
      </c>
      <c r="K10" s="524"/>
      <c r="L10" s="2121"/>
      <c r="M10" s="2118"/>
      <c r="N10" s="2118"/>
      <c r="O10" s="2122"/>
      <c r="P10" s="3414" t="s">
        <v>533</v>
      </c>
      <c r="Q10" s="3415"/>
      <c r="R10" s="1555" t="s">
        <v>8</v>
      </c>
      <c r="S10" s="1556">
        <f t="shared" si="0"/>
        <v>100</v>
      </c>
      <c r="T10" s="1555" t="s">
        <v>8</v>
      </c>
      <c r="U10" s="1556">
        <f t="shared" si="1"/>
        <v>100</v>
      </c>
      <c r="V10" s="1555" t="s">
        <v>8</v>
      </c>
      <c r="W10" s="1556">
        <f t="shared" si="2"/>
        <v>100</v>
      </c>
      <c r="X10" s="1557"/>
      <c r="Y10" s="3414" t="s">
        <v>533</v>
      </c>
      <c r="Z10" s="3415"/>
      <c r="AA10" s="1558">
        <f t="shared" ref="AA10:AA47" si="3">D10/F10</f>
        <v>1</v>
      </c>
      <c r="AB10" s="1558">
        <f t="shared" ref="AB10:AB47" si="4">D10/H10</f>
        <v>1</v>
      </c>
      <c r="AC10" s="1558">
        <f t="shared" ref="AC10:AC47" si="5">D10/J10</f>
        <v>1</v>
      </c>
    </row>
    <row r="11" spans="1:30" s="1216" customFormat="1" ht="20.25">
      <c r="A11" s="2870"/>
      <c r="B11" s="2877" t="s">
        <v>2754</v>
      </c>
      <c r="C11" s="2864" t="s">
        <v>3219</v>
      </c>
      <c r="D11" s="254">
        <v>100</v>
      </c>
      <c r="E11" s="2864" t="s">
        <v>3219</v>
      </c>
      <c r="F11" s="254">
        <f>SUMIF(77:77,E11,78:78)-SUMIF(77:77,C11,78:78)+100</f>
        <v>100</v>
      </c>
      <c r="G11" s="2864" t="s">
        <v>3219</v>
      </c>
      <c r="H11" s="254">
        <f>SUMIF(77:77,G11,78:78)-SUMIF(77:77,C11,78:78)+100</f>
        <v>100</v>
      </c>
      <c r="I11" s="2864" t="s">
        <v>3219</v>
      </c>
      <c r="J11" s="254">
        <f>SUMIF(77:77,I11,78:78)-SUMIF(77:77,C11,78:78)+100</f>
        <v>100</v>
      </c>
      <c r="K11" s="524"/>
      <c r="L11" s="2121"/>
      <c r="M11" s="2118"/>
      <c r="N11" s="2118"/>
      <c r="O11" s="2123"/>
      <c r="P11" s="3383" t="s">
        <v>535</v>
      </c>
      <c r="Q11" s="1147" t="str">
        <f t="shared" ref="Q11:Q17" si="6">B11</f>
        <v>用途</v>
      </c>
      <c r="R11" s="1555" t="s">
        <v>8</v>
      </c>
      <c r="S11" s="1556">
        <f t="shared" si="0"/>
        <v>100</v>
      </c>
      <c r="T11" s="1555" t="s">
        <v>8</v>
      </c>
      <c r="U11" s="1556">
        <f t="shared" si="1"/>
        <v>100</v>
      </c>
      <c r="V11" s="1555" t="s">
        <v>8</v>
      </c>
      <c r="W11" s="1556">
        <f t="shared" si="2"/>
        <v>100</v>
      </c>
      <c r="X11" s="1557"/>
      <c r="Y11" s="3329" t="s">
        <v>536</v>
      </c>
      <c r="Z11" s="1146" t="str">
        <f t="shared" ref="Z11:Z17" si="7">Q11</f>
        <v>用途</v>
      </c>
      <c r="AA11" s="1558">
        <f t="shared" si="3"/>
        <v>1</v>
      </c>
      <c r="AB11" s="1558">
        <f t="shared" si="4"/>
        <v>1</v>
      </c>
      <c r="AC11" s="1558">
        <f t="shared" si="5"/>
        <v>1</v>
      </c>
    </row>
    <row r="12" spans="1:30" s="1334" customFormat="1" ht="27">
      <c r="A12" s="2871"/>
      <c r="B12" s="2876" t="s">
        <v>2755</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83"/>
      <c r="Q12" s="1147" t="str">
        <f t="shared" si="6"/>
        <v>土地使用年限（年）</v>
      </c>
      <c r="R12" s="1555" t="s">
        <v>8</v>
      </c>
      <c r="S12" s="1556">
        <f t="shared" si="0"/>
        <v>106</v>
      </c>
      <c r="T12" s="1555" t="s">
        <v>8</v>
      </c>
      <c r="U12" s="1556">
        <f t="shared" si="1"/>
        <v>106</v>
      </c>
      <c r="V12" s="1555" t="s">
        <v>8</v>
      </c>
      <c r="W12" s="1556">
        <f t="shared" si="2"/>
        <v>106</v>
      </c>
      <c r="X12" s="1557"/>
      <c r="Y12" s="3329"/>
      <c r="Z12" s="1146" t="str">
        <f t="shared" si="7"/>
        <v>土地使用年限（年）</v>
      </c>
      <c r="AA12" s="1558">
        <f t="shared" si="3"/>
        <v>0.94339622641509435</v>
      </c>
      <c r="AB12" s="1558">
        <f t="shared" si="4"/>
        <v>0.94339622641509435</v>
      </c>
      <c r="AC12" s="1558">
        <f t="shared" si="5"/>
        <v>0.94339622641509435</v>
      </c>
    </row>
    <row r="13" spans="1:30" ht="21" thickBot="1">
      <c r="A13" s="2872"/>
      <c r="B13" s="2876" t="s">
        <v>2756</v>
      </c>
      <c r="C13" s="534">
        <f>'数据-汇总表'!I6</f>
        <v>1.5</v>
      </c>
      <c r="D13" s="255">
        <v>100</v>
      </c>
      <c r="E13" s="533">
        <f>土地案例!G2</f>
        <v>2.7</v>
      </c>
      <c r="F13" s="255">
        <f>LOOKUP(E13,82:82,83:83)-LOOKUP(C13,82:82,83:83)+100</f>
        <v>105</v>
      </c>
      <c r="G13" s="534">
        <f>土地案例!G58</f>
        <v>1.5</v>
      </c>
      <c r="H13" s="255">
        <f>LOOKUP(G13,82:82,83:83)-LOOKUP(C13,82:82,83:83)+100</f>
        <v>100</v>
      </c>
      <c r="I13" s="533">
        <f>土地案例!G71</f>
        <v>1.5</v>
      </c>
      <c r="J13" s="255">
        <f>LOOKUP(I13,82:82,83:83)-LOOKUP(C13,82:82,83:83)+100</f>
        <v>100</v>
      </c>
      <c r="K13" s="535">
        <v>5</v>
      </c>
      <c r="L13" s="2126"/>
      <c r="M13" s="2118"/>
      <c r="N13" s="2118"/>
      <c r="O13" s="2127"/>
      <c r="P13" s="3383"/>
      <c r="Q13" s="1147" t="str">
        <f t="shared" si="6"/>
        <v>容积率</v>
      </c>
      <c r="R13" s="1555" t="s">
        <v>8</v>
      </c>
      <c r="S13" s="1556">
        <f t="shared" si="0"/>
        <v>105</v>
      </c>
      <c r="T13" s="1555" t="s">
        <v>8</v>
      </c>
      <c r="U13" s="1556">
        <f t="shared" si="1"/>
        <v>100</v>
      </c>
      <c r="V13" s="1555" t="s">
        <v>8</v>
      </c>
      <c r="W13" s="1556">
        <f t="shared" si="2"/>
        <v>100</v>
      </c>
      <c r="X13" s="1557"/>
      <c r="Y13" s="3329"/>
      <c r="Z13" s="1146" t="str">
        <f t="shared" si="7"/>
        <v>容积率</v>
      </c>
      <c r="AA13" s="1558">
        <f t="shared" si="3"/>
        <v>0.95238095238095233</v>
      </c>
      <c r="AB13" s="1558">
        <f t="shared" si="4"/>
        <v>1</v>
      </c>
      <c r="AC13" s="1558">
        <f t="shared" si="5"/>
        <v>1</v>
      </c>
    </row>
    <row r="14" spans="1:30" s="1216" customFormat="1" ht="20.25" hidden="1">
      <c r="A14" s="2869"/>
      <c r="B14" s="2878" t="s">
        <v>2757</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3"/>
      <c r="Q14" s="1147" t="str">
        <f t="shared" si="6"/>
        <v>配建</v>
      </c>
      <c r="R14" s="1555" t="s">
        <v>8</v>
      </c>
      <c r="S14" s="1556">
        <f t="shared" si="0"/>
        <v>100</v>
      </c>
      <c r="T14" s="1555" t="s">
        <v>8</v>
      </c>
      <c r="U14" s="1556">
        <f t="shared" si="1"/>
        <v>100</v>
      </c>
      <c r="V14" s="1555" t="s">
        <v>8</v>
      </c>
      <c r="W14" s="1556">
        <f t="shared" si="2"/>
        <v>100</v>
      </c>
      <c r="X14" s="1557"/>
      <c r="Y14" s="3329"/>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3"/>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3"/>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D16/F16</f>
        <v>1</v>
      </c>
      <c r="AB16" s="1558">
        <f>D16/H16</f>
        <v>1</v>
      </c>
      <c r="AC16" s="1558">
        <f>D16/J16</f>
        <v>1</v>
      </c>
    </row>
    <row r="17" spans="1:29" ht="20.25">
      <c r="A17" s="2866" t="s">
        <v>2752</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7" t="s">
        <v>540</v>
      </c>
      <c r="Q17" s="1559" t="str">
        <f t="shared" si="6"/>
        <v>居住社区成熟度</v>
      </c>
      <c r="R17" s="1560" t="s">
        <v>8</v>
      </c>
      <c r="S17" s="1561">
        <f t="shared" si="0"/>
        <v>100</v>
      </c>
      <c r="T17" s="1560" t="s">
        <v>8</v>
      </c>
      <c r="U17" s="1561">
        <f t="shared" si="1"/>
        <v>100</v>
      </c>
      <c r="V17" s="1560" t="s">
        <v>8</v>
      </c>
      <c r="W17" s="1561">
        <f t="shared" si="2"/>
        <v>100</v>
      </c>
      <c r="X17" s="1554"/>
      <c r="Y17" s="3417" t="s">
        <v>540</v>
      </c>
      <c r="Z17" s="1562" t="str">
        <f t="shared" si="7"/>
        <v>居住社区成熟度</v>
      </c>
      <c r="AA17" s="1563">
        <f t="shared" si="3"/>
        <v>1</v>
      </c>
      <c r="AB17" s="1563">
        <f t="shared" si="4"/>
        <v>1</v>
      </c>
      <c r="AC17" s="1563">
        <f t="shared" si="5"/>
        <v>1</v>
      </c>
    </row>
    <row r="18" spans="1:29" ht="20.25">
      <c r="A18" s="532"/>
      <c r="B18" s="553"/>
      <c r="C18" s="554" t="s">
        <v>3231</v>
      </c>
      <c r="D18" s="557"/>
      <c r="E18" s="558" t="s">
        <v>3231</v>
      </c>
      <c r="F18" s="555"/>
      <c r="G18" s="556" t="s">
        <v>3231</v>
      </c>
      <c r="H18" s="559"/>
      <c r="I18" s="558" t="s">
        <v>3231</v>
      </c>
      <c r="J18" s="555"/>
      <c r="K18" s="531"/>
      <c r="L18" s="2128"/>
      <c r="M18" s="2118"/>
      <c r="N18" s="2118"/>
      <c r="O18" s="2127"/>
      <c r="P18" s="3418"/>
      <c r="Q18" s="1559"/>
      <c r="R18" s="1560"/>
      <c r="S18" s="1561"/>
      <c r="T18" s="1560"/>
      <c r="U18" s="1561"/>
      <c r="V18" s="1560"/>
      <c r="W18" s="1561"/>
      <c r="X18" s="1554"/>
      <c r="Y18" s="3418"/>
      <c r="Z18" s="1562"/>
      <c r="AA18" s="1563">
        <v>1</v>
      </c>
      <c r="AB18" s="1563">
        <v>1</v>
      </c>
      <c r="AC18" s="1563">
        <v>1</v>
      </c>
    </row>
    <row r="19" spans="1:29" ht="20.25">
      <c r="A19" s="532"/>
      <c r="B19" s="560" t="s">
        <v>541</v>
      </c>
      <c r="C19" s="561" t="str">
        <f>估价对象房地状况!C16</f>
        <v>较差</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18"/>
      <c r="Q19" s="1559" t="str">
        <f>B19</f>
        <v>商业繁华度</v>
      </c>
      <c r="R19" s="1560" t="s">
        <v>8</v>
      </c>
      <c r="S19" s="1561">
        <f>F19</f>
        <v>102</v>
      </c>
      <c r="T19" s="1560" t="s">
        <v>8</v>
      </c>
      <c r="U19" s="1561">
        <f>H19</f>
        <v>102</v>
      </c>
      <c r="V19" s="1560" t="s">
        <v>8</v>
      </c>
      <c r="W19" s="1561">
        <f>J19</f>
        <v>102</v>
      </c>
      <c r="X19" s="1554"/>
      <c r="Y19" s="3418"/>
      <c r="Z19" s="1562" t="str">
        <f>Q19</f>
        <v>商业繁华度</v>
      </c>
      <c r="AA19" s="1563">
        <f t="shared" si="3"/>
        <v>0.98039215686274506</v>
      </c>
      <c r="AB19" s="1563">
        <f t="shared" si="4"/>
        <v>0.98039215686274506</v>
      </c>
      <c r="AC19" s="1563">
        <f t="shared" si="5"/>
        <v>0.98039215686274506</v>
      </c>
    </row>
    <row r="20" spans="1:29" ht="20.25">
      <c r="A20" s="532"/>
      <c r="B20" s="566"/>
      <c r="C20" s="567" t="s">
        <v>3227</v>
      </c>
      <c r="D20" s="563"/>
      <c r="E20" s="569" t="s">
        <v>3231</v>
      </c>
      <c r="F20" s="559"/>
      <c r="G20" s="568" t="s">
        <v>3231</v>
      </c>
      <c r="H20" s="555"/>
      <c r="I20" s="569" t="s">
        <v>3231</v>
      </c>
      <c r="J20" s="555"/>
      <c r="K20" s="531"/>
      <c r="L20" s="2128"/>
      <c r="M20" s="2118"/>
      <c r="N20" s="2118"/>
      <c r="O20" s="2127"/>
      <c r="P20" s="3418"/>
      <c r="Q20" s="1559"/>
      <c r="R20" s="1560"/>
      <c r="S20" s="1561"/>
      <c r="T20" s="1560"/>
      <c r="U20" s="1561"/>
      <c r="V20" s="1560"/>
      <c r="W20" s="1561"/>
      <c r="X20" s="1554"/>
      <c r="Y20" s="3418"/>
      <c r="Z20" s="1562"/>
      <c r="AA20" s="1563">
        <v>1</v>
      </c>
      <c r="AB20" s="1563">
        <v>1</v>
      </c>
      <c r="AC20" s="1563">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8"/>
      <c r="Q21" s="1559" t="str">
        <f>B21</f>
        <v>办公集聚程度</v>
      </c>
      <c r="R21" s="1560" t="s">
        <v>8</v>
      </c>
      <c r="S21" s="1561">
        <f>F21</f>
        <v>100</v>
      </c>
      <c r="T21" s="1560" t="s">
        <v>8</v>
      </c>
      <c r="U21" s="1561">
        <f>H21</f>
        <v>100</v>
      </c>
      <c r="V21" s="1560" t="s">
        <v>8</v>
      </c>
      <c r="W21" s="1561">
        <f>J21</f>
        <v>100</v>
      </c>
      <c r="X21" s="1554"/>
      <c r="Y21" s="3418"/>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8"/>
      <c r="Q22" s="1559"/>
      <c r="R22" s="1560"/>
      <c r="S22" s="1561"/>
      <c r="T22" s="1560"/>
      <c r="U22" s="1561"/>
      <c r="V22" s="1560"/>
      <c r="W22" s="1561"/>
      <c r="X22" s="1554"/>
      <c r="Y22" s="3418"/>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418"/>
      <c r="Q23" s="1559" t="str">
        <f>B23</f>
        <v>交通便捷度</v>
      </c>
      <c r="R23" s="1560" t="s">
        <v>8</v>
      </c>
      <c r="S23" s="1561">
        <f>F23</f>
        <v>104</v>
      </c>
      <c r="T23" s="1560" t="s">
        <v>8</v>
      </c>
      <c r="U23" s="1561">
        <f>H23</f>
        <v>104</v>
      </c>
      <c r="V23" s="1560" t="s">
        <v>8</v>
      </c>
      <c r="W23" s="1561">
        <f>J23</f>
        <v>104</v>
      </c>
      <c r="X23" s="1554"/>
      <c r="Y23" s="3418"/>
      <c r="Z23" s="1562" t="str">
        <f>Q23</f>
        <v>交通便捷度</v>
      </c>
      <c r="AA23" s="1563">
        <f t="shared" si="3"/>
        <v>0.96153846153846156</v>
      </c>
      <c r="AB23" s="1563">
        <f t="shared" si="4"/>
        <v>0.96153846153846156</v>
      </c>
      <c r="AC23" s="1563">
        <f t="shared" si="5"/>
        <v>0.96153846153846156</v>
      </c>
    </row>
    <row r="24" spans="1:29" ht="20.25">
      <c r="A24" s="532"/>
      <c r="B24" s="578"/>
      <c r="C24" s="554" t="s">
        <v>3227</v>
      </c>
      <c r="D24" s="557"/>
      <c r="E24" s="558" t="s">
        <v>3235</v>
      </c>
      <c r="F24" s="555"/>
      <c r="G24" s="556" t="s">
        <v>3235</v>
      </c>
      <c r="H24" s="555"/>
      <c r="I24" s="558" t="s">
        <v>3235</v>
      </c>
      <c r="J24" s="555"/>
      <c r="K24" s="531"/>
      <c r="L24" s="2128"/>
      <c r="M24" s="2118"/>
      <c r="N24" s="2118"/>
      <c r="O24" s="2127"/>
      <c r="P24" s="3418"/>
      <c r="Q24" s="1559"/>
      <c r="R24" s="1560"/>
      <c r="S24" s="1561"/>
      <c r="T24" s="1560"/>
      <c r="U24" s="1561"/>
      <c r="V24" s="1560"/>
      <c r="W24" s="1561"/>
      <c r="X24" s="1554"/>
      <c r="Y24" s="341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18"/>
      <c r="Q25" s="1559" t="str">
        <f t="shared" ref="Q25:Q39" si="8">B25</f>
        <v>区域土地利用方向</v>
      </c>
      <c r="R25" s="1560" t="s">
        <v>8</v>
      </c>
      <c r="S25" s="1561">
        <f>F25</f>
        <v>100</v>
      </c>
      <c r="T25" s="1560" t="s">
        <v>8</v>
      </c>
      <c r="U25" s="1561">
        <f>H25</f>
        <v>100</v>
      </c>
      <c r="V25" s="1560" t="s">
        <v>8</v>
      </c>
      <c r="W25" s="1561">
        <f>J25</f>
        <v>100</v>
      </c>
      <c r="X25" s="1554"/>
      <c r="Y25" s="3418"/>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8"/>
      <c r="Q26" s="1559"/>
      <c r="R26" s="1560"/>
      <c r="S26" s="1561"/>
      <c r="T26" s="1560"/>
      <c r="U26" s="1561"/>
      <c r="V26" s="1560"/>
      <c r="W26" s="1561"/>
      <c r="X26" s="1554"/>
      <c r="Y26" s="3418"/>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8"/>
      <c r="M27" s="2118"/>
      <c r="N27" s="2118"/>
      <c r="O27" s="2127"/>
      <c r="P27" s="3418"/>
      <c r="Q27" s="1559" t="str">
        <f t="shared" si="8"/>
        <v>自然及人文环境状况</v>
      </c>
      <c r="R27" s="1560" t="s">
        <v>8</v>
      </c>
      <c r="S27" s="1561">
        <f>F27</f>
        <v>102</v>
      </c>
      <c r="T27" s="1560" t="s">
        <v>8</v>
      </c>
      <c r="U27" s="1561">
        <f>H27</f>
        <v>102</v>
      </c>
      <c r="V27" s="1560" t="s">
        <v>8</v>
      </c>
      <c r="W27" s="1561">
        <f>J27</f>
        <v>102</v>
      </c>
      <c r="X27" s="1554"/>
      <c r="Y27" s="3418"/>
      <c r="Z27" s="1562" t="str">
        <f>Q27</f>
        <v>自然及人文环境状况</v>
      </c>
      <c r="AA27" s="1563">
        <f t="shared" si="3"/>
        <v>0.98039215686274506</v>
      </c>
      <c r="AB27" s="1563">
        <f t="shared" si="4"/>
        <v>0.98039215686274506</v>
      </c>
      <c r="AC27" s="1563">
        <f t="shared" si="5"/>
        <v>0.98039215686274506</v>
      </c>
    </row>
    <row r="28" spans="1:29" ht="20.25">
      <c r="A28" s="515"/>
      <c r="B28" s="566"/>
      <c r="C28" s="554" t="s">
        <v>3231</v>
      </c>
      <c r="D28" s="557"/>
      <c r="E28" s="576" t="s">
        <v>3235</v>
      </c>
      <c r="F28" s="555"/>
      <c r="G28" s="554" t="s">
        <v>3235</v>
      </c>
      <c r="H28" s="555"/>
      <c r="I28" s="576" t="s">
        <v>3235</v>
      </c>
      <c r="J28" s="555"/>
      <c r="K28" s="531"/>
      <c r="L28" s="2128"/>
      <c r="M28" s="2118"/>
      <c r="N28" s="2118"/>
      <c r="O28" s="2127"/>
      <c r="P28" s="3418"/>
      <c r="Q28" s="1559"/>
      <c r="R28" s="1560"/>
      <c r="S28" s="1561"/>
      <c r="T28" s="1560"/>
      <c r="U28" s="1561"/>
      <c r="V28" s="1560"/>
      <c r="W28" s="1561"/>
      <c r="X28" s="1554"/>
      <c r="Y28" s="3418"/>
      <c r="Z28" s="1562"/>
      <c r="AA28" s="1563">
        <v>1</v>
      </c>
      <c r="AB28" s="1563">
        <v>1</v>
      </c>
      <c r="AC28" s="1563">
        <v>1</v>
      </c>
    </row>
    <row r="29" spans="1:29" s="1216" customFormat="1" ht="20.25">
      <c r="A29" s="577"/>
      <c r="B29" s="2556" t="s">
        <v>2546</v>
      </c>
      <c r="C29" s="573" t="str">
        <f>估价对象房地状况!C21</f>
        <v>较差</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418"/>
      <c r="Q29" s="1147" t="str">
        <f t="shared" si="8"/>
        <v>公共配套设施</v>
      </c>
      <c r="R29" s="1555" t="s">
        <v>8</v>
      </c>
      <c r="S29" s="1556">
        <f>F29</f>
        <v>104</v>
      </c>
      <c r="T29" s="1555" t="s">
        <v>8</v>
      </c>
      <c r="U29" s="1556">
        <f>H29</f>
        <v>104</v>
      </c>
      <c r="V29" s="1555" t="s">
        <v>8</v>
      </c>
      <c r="W29" s="1556">
        <f>J29</f>
        <v>104</v>
      </c>
      <c r="X29" s="1557"/>
      <c r="Y29" s="3418"/>
      <c r="Z29" s="1146" t="str">
        <f>Q29</f>
        <v>公共配套设施</v>
      </c>
      <c r="AA29" s="1563">
        <f>D29/F29</f>
        <v>0.96153846153846156</v>
      </c>
      <c r="AB29" s="1563">
        <f>D29/H29</f>
        <v>0.96153846153846156</v>
      </c>
      <c r="AC29" s="1563">
        <f>D29/J29</f>
        <v>0.96153846153846156</v>
      </c>
    </row>
    <row r="30" spans="1:29" s="1216" customFormat="1" ht="20.25">
      <c r="A30" s="577"/>
      <c r="B30" s="566"/>
      <c r="C30" s="579" t="s">
        <v>3227</v>
      </c>
      <c r="D30" s="557"/>
      <c r="E30" s="576" t="s">
        <v>3235</v>
      </c>
      <c r="F30" s="555"/>
      <c r="G30" s="554" t="s">
        <v>3235</v>
      </c>
      <c r="H30" s="555"/>
      <c r="I30" s="576" t="s">
        <v>3235</v>
      </c>
      <c r="J30" s="555"/>
      <c r="K30" s="531"/>
      <c r="L30" s="2121"/>
      <c r="M30" s="2118"/>
      <c r="N30" s="2118"/>
      <c r="O30" s="2123"/>
      <c r="P30" s="3418"/>
      <c r="Q30" s="1147"/>
      <c r="R30" s="1555"/>
      <c r="S30" s="1556"/>
      <c r="T30" s="1555"/>
      <c r="U30" s="1556"/>
      <c r="V30" s="1555"/>
      <c r="W30" s="1556"/>
      <c r="X30" s="1557"/>
      <c r="Y30" s="3418"/>
      <c r="Z30" s="1146"/>
      <c r="AA30" s="1563">
        <v>1</v>
      </c>
      <c r="AB30" s="1563">
        <v>1</v>
      </c>
      <c r="AC30" s="1563">
        <v>1</v>
      </c>
    </row>
    <row r="31" spans="1:29" s="1216" customFormat="1" ht="20.25">
      <c r="A31" s="577"/>
      <c r="B31" s="2556"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18"/>
      <c r="Q31" s="2543" t="str">
        <f t="shared" ref="Q31" si="9">B31</f>
        <v>基础设施水平</v>
      </c>
      <c r="R31" s="1555" t="s">
        <v>8</v>
      </c>
      <c r="S31" s="1556">
        <f>F31</f>
        <v>100</v>
      </c>
      <c r="T31" s="1555" t="s">
        <v>8</v>
      </c>
      <c r="U31" s="1556">
        <f>H31</f>
        <v>100</v>
      </c>
      <c r="V31" s="1555" t="s">
        <v>8</v>
      </c>
      <c r="W31" s="1556">
        <f>J31</f>
        <v>100</v>
      </c>
      <c r="X31" s="1557"/>
      <c r="Y31" s="3418"/>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8"/>
      <c r="Q32" s="2543"/>
      <c r="R32" s="1555"/>
      <c r="S32" s="1556"/>
      <c r="T32" s="1555"/>
      <c r="U32" s="1556"/>
      <c r="V32" s="1555"/>
      <c r="W32" s="1556"/>
      <c r="X32" s="1557"/>
      <c r="Y32" s="3418"/>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8"/>
      <c r="M33" s="2118"/>
      <c r="N33" s="2118"/>
      <c r="O33" s="2127"/>
      <c r="P33" s="341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28"/>
      <c r="M34" s="2118"/>
      <c r="N34" s="2118"/>
      <c r="O34" s="2127"/>
      <c r="P34" s="3418"/>
      <c r="Q34" s="1559" t="str">
        <f t="shared" si="8"/>
        <v>毗邻道路的类型与等级</v>
      </c>
      <c r="R34" s="1560" t="s">
        <v>8</v>
      </c>
      <c r="S34" s="1561">
        <f t="shared" si="10"/>
        <v>101</v>
      </c>
      <c r="T34" s="1560" t="s">
        <v>8</v>
      </c>
      <c r="U34" s="1561">
        <f t="shared" si="11"/>
        <v>101</v>
      </c>
      <c r="V34" s="1560" t="s">
        <v>8</v>
      </c>
      <c r="W34" s="1561">
        <f t="shared" si="12"/>
        <v>101</v>
      </c>
      <c r="X34" s="1554"/>
      <c r="Y34" s="3418"/>
      <c r="Z34" s="1562" t="str">
        <f t="shared" si="13"/>
        <v>毗邻道路的类型与等级</v>
      </c>
      <c r="AA34" s="1563">
        <f t="shared" si="3"/>
        <v>0.99009900990099009</v>
      </c>
      <c r="AB34" s="1563">
        <f t="shared" si="4"/>
        <v>0.99009900990099009</v>
      </c>
      <c r="AC34" s="1563">
        <f t="shared" si="5"/>
        <v>0.99009900990099009</v>
      </c>
    </row>
    <row r="35" spans="1:29" ht="21" thickBot="1">
      <c r="A35" s="532"/>
      <c r="B35" s="566"/>
      <c r="C35" s="554" t="s">
        <v>3233</v>
      </c>
      <c r="D35" s="557"/>
      <c r="E35" s="576" t="s">
        <v>3237</v>
      </c>
      <c r="F35" s="555"/>
      <c r="G35" s="554" t="s">
        <v>3237</v>
      </c>
      <c r="H35" s="555"/>
      <c r="I35" s="576" t="s">
        <v>3237</v>
      </c>
      <c r="J35" s="555"/>
      <c r="K35" s="581"/>
      <c r="L35" s="2128"/>
      <c r="M35" s="2118"/>
      <c r="N35" s="2118"/>
      <c r="O35" s="2127"/>
      <c r="P35" s="3418"/>
      <c r="Q35" s="1559"/>
      <c r="R35" s="1560"/>
      <c r="S35" s="1561"/>
      <c r="T35" s="1560"/>
      <c r="U35" s="1561"/>
      <c r="V35" s="1560"/>
      <c r="W35" s="1561"/>
      <c r="X35" s="1554"/>
      <c r="Y35" s="3418"/>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8"/>
      <c r="Q36" s="1559" t="str">
        <f t="shared" si="8"/>
        <v>土地级别</v>
      </c>
      <c r="R36" s="1560" t="s">
        <v>8</v>
      </c>
      <c r="S36" s="1561">
        <f t="shared" si="10"/>
        <v>100</v>
      </c>
      <c r="T36" s="1560" t="s">
        <v>8</v>
      </c>
      <c r="U36" s="1561">
        <f t="shared" si="11"/>
        <v>100</v>
      </c>
      <c r="V36" s="1560" t="s">
        <v>8</v>
      </c>
      <c r="W36" s="1561">
        <f t="shared" si="12"/>
        <v>100</v>
      </c>
      <c r="X36" s="1554"/>
      <c r="Y36" s="3418"/>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8"/>
      <c r="Q37" s="1559">
        <f t="shared" si="8"/>
        <v>111</v>
      </c>
      <c r="R37" s="1560" t="s">
        <v>8</v>
      </c>
      <c r="S37" s="1561">
        <f t="shared" si="10"/>
        <v>100</v>
      </c>
      <c r="T37" s="1560" t="s">
        <v>8</v>
      </c>
      <c r="U37" s="1561">
        <f t="shared" si="11"/>
        <v>100</v>
      </c>
      <c r="V37" s="1560" t="s">
        <v>8</v>
      </c>
      <c r="W37" s="1561">
        <f t="shared" si="12"/>
        <v>100</v>
      </c>
      <c r="X37" s="1554"/>
      <c r="Y37" s="3418"/>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9" t="s">
        <v>550</v>
      </c>
      <c r="Q38" s="1559">
        <f t="shared" si="8"/>
        <v>111</v>
      </c>
      <c r="R38" s="1560" t="s">
        <v>8</v>
      </c>
      <c r="S38" s="1561">
        <f t="shared" si="10"/>
        <v>100</v>
      </c>
      <c r="T38" s="1560" t="s">
        <v>8</v>
      </c>
      <c r="U38" s="1561">
        <f t="shared" si="11"/>
        <v>100</v>
      </c>
      <c r="V38" s="1560" t="s">
        <v>8</v>
      </c>
      <c r="W38" s="1561">
        <f t="shared" si="12"/>
        <v>100</v>
      </c>
      <c r="X38" s="1554"/>
      <c r="Y38" s="3420"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0"/>
      <c r="Q39" s="1559">
        <f t="shared" si="8"/>
        <v>111</v>
      </c>
      <c r="R39" s="1564" t="s">
        <v>8</v>
      </c>
      <c r="S39" s="1565">
        <f t="shared" si="10"/>
        <v>100</v>
      </c>
      <c r="T39" s="1564" t="s">
        <v>8</v>
      </c>
      <c r="U39" s="1565">
        <f t="shared" si="11"/>
        <v>100</v>
      </c>
      <c r="V39" s="1564" t="s">
        <v>8</v>
      </c>
      <c r="W39" s="1565">
        <f t="shared" si="12"/>
        <v>100</v>
      </c>
      <c r="X39" s="1566"/>
      <c r="Y39" s="3420"/>
      <c r="Z39" s="1567">
        <f t="shared" si="13"/>
        <v>111</v>
      </c>
      <c r="AA39" s="1563">
        <f t="shared" si="3"/>
        <v>1</v>
      </c>
      <c r="AB39" s="1563">
        <f t="shared" si="4"/>
        <v>1</v>
      </c>
      <c r="AC39" s="1563">
        <f t="shared" si="5"/>
        <v>1</v>
      </c>
    </row>
    <row r="40" spans="1:29" ht="20.25">
      <c r="A40" s="2863" t="s">
        <v>2753</v>
      </c>
      <c r="B40" s="595" t="s">
        <v>552</v>
      </c>
      <c r="C40" s="596">
        <f>'数据-基础表'!A3</f>
        <v>3817</v>
      </c>
      <c r="D40" s="597">
        <v>100</v>
      </c>
      <c r="E40" s="596">
        <f>土地案例!D2</f>
        <v>58731</v>
      </c>
      <c r="F40" s="597">
        <f>LOOKUP(E40,119:119,120:120)-LOOKUP(C40,119:119,120:120)+100</f>
        <v>110</v>
      </c>
      <c r="G40" s="596">
        <f>土地案例!D58</f>
        <v>6667</v>
      </c>
      <c r="H40" s="597">
        <f>LOOKUP(G40,119:119,120:120)-LOOKUP(C40,119:119,120:120)+100</f>
        <v>100</v>
      </c>
      <c r="I40" s="598">
        <f>土地案例!D71</f>
        <v>19053</v>
      </c>
      <c r="J40" s="597">
        <f>LOOKUP(I40,119:119,120:120)-LOOKUP(C40,119:119,120:120)+100</f>
        <v>102</v>
      </c>
      <c r="K40" s="581"/>
      <c r="L40" s="2128"/>
      <c r="M40" s="2118"/>
      <c r="N40" s="2118"/>
      <c r="O40" s="2127"/>
      <c r="P40" s="3420"/>
      <c r="Q40" s="1559" t="str">
        <f>B40</f>
        <v>宗地面积</v>
      </c>
      <c r="R40" s="1560" t="s">
        <v>8</v>
      </c>
      <c r="S40" s="1561">
        <f t="shared" si="10"/>
        <v>110</v>
      </c>
      <c r="T40" s="1560" t="s">
        <v>8</v>
      </c>
      <c r="U40" s="1561">
        <f t="shared" si="11"/>
        <v>100</v>
      </c>
      <c r="V40" s="1560" t="s">
        <v>8</v>
      </c>
      <c r="W40" s="1561">
        <f t="shared" si="12"/>
        <v>102</v>
      </c>
      <c r="X40" s="1554"/>
      <c r="Y40" s="3420"/>
      <c r="Z40" s="1562" t="str">
        <f t="shared" si="13"/>
        <v>宗地面积</v>
      </c>
      <c r="AA40" s="1563">
        <f t="shared" si="3"/>
        <v>0.90909090909090906</v>
      </c>
      <c r="AB40" s="1563">
        <f t="shared" si="4"/>
        <v>1</v>
      </c>
      <c r="AC40" s="1563">
        <f t="shared" si="5"/>
        <v>0.98039215686274506</v>
      </c>
    </row>
    <row r="41" spans="1:29" ht="20.25">
      <c r="A41" s="594"/>
      <c r="B41" s="527" t="s">
        <v>553</v>
      </c>
      <c r="C41" s="599" t="s">
        <v>3244</v>
      </c>
      <c r="D41" s="540">
        <v>100</v>
      </c>
      <c r="E41" s="599" t="s">
        <v>3241</v>
      </c>
      <c r="F41" s="540">
        <f>SUMIF(121:121,E41,122:122)-SUMIF(121:121,C41,122:122)+100</f>
        <v>102</v>
      </c>
      <c r="G41" s="599" t="s">
        <v>3241</v>
      </c>
      <c r="H41" s="540">
        <f>SUMIF(121:121,G41,122:122)-SUMIF(121:121,C41,122:122)+100</f>
        <v>102</v>
      </c>
      <c r="I41" s="599" t="s">
        <v>3241</v>
      </c>
      <c r="J41" s="540">
        <f>SUMIF(121:121,I41,122:122)-SUMIF(121:121,C41,122:122)+100</f>
        <v>102</v>
      </c>
      <c r="K41" s="584">
        <v>1</v>
      </c>
      <c r="L41" s="2128"/>
      <c r="M41" s="2118"/>
      <c r="N41" s="2118"/>
      <c r="O41" s="2127"/>
      <c r="P41" s="3420"/>
      <c r="Q41" s="1559" t="str">
        <f t="shared" ref="Q41:Q47" si="14">B41</f>
        <v>宗地形状</v>
      </c>
      <c r="R41" s="1560" t="s">
        <v>8</v>
      </c>
      <c r="S41" s="1561">
        <f t="shared" si="10"/>
        <v>102</v>
      </c>
      <c r="T41" s="1560" t="s">
        <v>8</v>
      </c>
      <c r="U41" s="1561">
        <f t="shared" si="11"/>
        <v>102</v>
      </c>
      <c r="V41" s="1560" t="s">
        <v>8</v>
      </c>
      <c r="W41" s="1561">
        <f t="shared" si="12"/>
        <v>102</v>
      </c>
      <c r="X41" s="1554"/>
      <c r="Y41" s="3420"/>
      <c r="Z41" s="1562" t="str">
        <f t="shared" si="13"/>
        <v>宗地形状</v>
      </c>
      <c r="AA41" s="1563">
        <f t="shared" si="3"/>
        <v>0.98039215686274506</v>
      </c>
      <c r="AB41" s="1563">
        <f t="shared" si="4"/>
        <v>0.98039215686274506</v>
      </c>
      <c r="AC41" s="1563">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0"/>
      <c r="Q42" s="1559" t="str">
        <f t="shared" si="14"/>
        <v>临街宽度及深度</v>
      </c>
      <c r="R42" s="1560" t="s">
        <v>8</v>
      </c>
      <c r="S42" s="1561">
        <f t="shared" si="10"/>
        <v>100</v>
      </c>
      <c r="T42" s="1560" t="s">
        <v>8</v>
      </c>
      <c r="U42" s="1561">
        <f t="shared" si="11"/>
        <v>100</v>
      </c>
      <c r="V42" s="1560" t="s">
        <v>8</v>
      </c>
      <c r="W42" s="1561">
        <f t="shared" si="12"/>
        <v>100</v>
      </c>
      <c r="X42" s="1554"/>
      <c r="Y42" s="3420"/>
      <c r="Z42" s="1562" t="str">
        <f t="shared" si="13"/>
        <v>临街宽度及深度</v>
      </c>
      <c r="AA42" s="1563">
        <f t="shared" si="3"/>
        <v>1</v>
      </c>
      <c r="AB42" s="1563">
        <f t="shared" si="4"/>
        <v>1</v>
      </c>
      <c r="AC42" s="1563">
        <f t="shared" si="5"/>
        <v>1</v>
      </c>
    </row>
    <row r="43" spans="1:29" s="1216" customFormat="1" ht="21" thickBot="1">
      <c r="A43" s="600"/>
      <c r="B43" s="1881" t="s">
        <v>2423</v>
      </c>
      <c r="C43" s="601" t="s">
        <v>3257</v>
      </c>
      <c r="D43" s="255">
        <v>100</v>
      </c>
      <c r="E43" s="601" t="s">
        <v>3250</v>
      </c>
      <c r="F43" s="540">
        <f>SUMIF(125:125,E43,126:126)-SUMIF(125:125,C43,126:126)+100</f>
        <v>94</v>
      </c>
      <c r="G43" s="601" t="s">
        <v>3250</v>
      </c>
      <c r="H43" s="540">
        <f>SUMIF(125:125,G43,126:126)-SUMIF(125:125,C43,126:126)+100</f>
        <v>94</v>
      </c>
      <c r="I43" s="601" t="s">
        <v>3250</v>
      </c>
      <c r="J43" s="540">
        <f>SUMIF(125:125,I43,126:126)-SUMIF(125:125,C43,126:126)+100</f>
        <v>94</v>
      </c>
      <c r="K43" s="584">
        <v>2</v>
      </c>
      <c r="L43" s="2121"/>
      <c r="M43" s="2118"/>
      <c r="N43" s="2118"/>
      <c r="O43" s="2123"/>
      <c r="P43" s="3420"/>
      <c r="Q43" s="1559" t="str">
        <f t="shared" si="14"/>
        <v>宗地开发程度</v>
      </c>
      <c r="R43" s="1555" t="s">
        <v>8</v>
      </c>
      <c r="S43" s="1556">
        <f t="shared" si="10"/>
        <v>94</v>
      </c>
      <c r="T43" s="1555" t="s">
        <v>8</v>
      </c>
      <c r="U43" s="1556">
        <f t="shared" si="11"/>
        <v>94</v>
      </c>
      <c r="V43" s="1555" t="s">
        <v>8</v>
      </c>
      <c r="W43" s="1556">
        <f t="shared" si="12"/>
        <v>94</v>
      </c>
      <c r="X43" s="1557"/>
      <c r="Y43" s="3420"/>
      <c r="Z43" s="1146" t="str">
        <f t="shared" si="13"/>
        <v>宗地开发程度</v>
      </c>
      <c r="AA43" s="1558">
        <f t="shared" si="3"/>
        <v>1.0638297872340425</v>
      </c>
      <c r="AB43" s="1558">
        <f t="shared" si="4"/>
        <v>1.0638297872340425</v>
      </c>
      <c r="AC43" s="1558">
        <f t="shared" si="5"/>
        <v>1.0638297872340425</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8"/>
      <c r="M44" s="2118"/>
      <c r="N44" s="2118"/>
      <c r="O44" s="2127"/>
      <c r="P44" s="3420" t="s">
        <v>550</v>
      </c>
      <c r="Q44" s="1559" t="str">
        <f t="shared" si="14"/>
        <v>工程地质条件</v>
      </c>
      <c r="R44" s="1560" t="s">
        <v>8</v>
      </c>
      <c r="S44" s="1561">
        <f t="shared" si="10"/>
        <v>100</v>
      </c>
      <c r="T44" s="1560" t="s">
        <v>8</v>
      </c>
      <c r="U44" s="1561">
        <f t="shared" si="11"/>
        <v>100</v>
      </c>
      <c r="V44" s="1560" t="s">
        <v>8</v>
      </c>
      <c r="W44" s="1561">
        <f t="shared" si="12"/>
        <v>100</v>
      </c>
      <c r="X44" s="1554"/>
      <c r="Y44" s="3420"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0"/>
      <c r="Q45" s="1559">
        <f t="shared" si="14"/>
        <v>111</v>
      </c>
      <c r="R45" s="1560" t="s">
        <v>8</v>
      </c>
      <c r="S45" s="1561">
        <f t="shared" si="10"/>
        <v>100</v>
      </c>
      <c r="T45" s="1560" t="s">
        <v>8</v>
      </c>
      <c r="U45" s="1561">
        <f t="shared" si="11"/>
        <v>100</v>
      </c>
      <c r="V45" s="1560" t="s">
        <v>8</v>
      </c>
      <c r="W45" s="1561">
        <f t="shared" si="12"/>
        <v>100</v>
      </c>
      <c r="X45" s="1554"/>
      <c r="Y45" s="3420"/>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0"/>
      <c r="Q46" s="1559">
        <f t="shared" si="14"/>
        <v>111</v>
      </c>
      <c r="R46" s="1560" t="s">
        <v>8</v>
      </c>
      <c r="S46" s="1561">
        <f t="shared" si="10"/>
        <v>100</v>
      </c>
      <c r="T46" s="1560" t="s">
        <v>8</v>
      </c>
      <c r="U46" s="1561">
        <f t="shared" si="11"/>
        <v>100</v>
      </c>
      <c r="V46" s="1560" t="s">
        <v>8</v>
      </c>
      <c r="W46" s="1561">
        <f t="shared" si="12"/>
        <v>100</v>
      </c>
      <c r="X46" s="1554"/>
      <c r="Y46" s="3420"/>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0"/>
      <c r="Q47" s="1559">
        <f t="shared" si="14"/>
        <v>111</v>
      </c>
      <c r="R47" s="1564" t="s">
        <v>8</v>
      </c>
      <c r="S47" s="1565">
        <f t="shared" si="10"/>
        <v>100</v>
      </c>
      <c r="T47" s="1564" t="s">
        <v>8</v>
      </c>
      <c r="U47" s="1565">
        <f t="shared" si="11"/>
        <v>100</v>
      </c>
      <c r="V47" s="1564" t="s">
        <v>8</v>
      </c>
      <c r="W47" s="1565">
        <f t="shared" si="12"/>
        <v>100</v>
      </c>
      <c r="X47" s="1566"/>
      <c r="Y47" s="3420"/>
      <c r="Z47" s="1567">
        <f t="shared" si="13"/>
        <v>111</v>
      </c>
      <c r="AA47" s="1563">
        <f t="shared" si="3"/>
        <v>1</v>
      </c>
      <c r="AB47" s="1563">
        <f t="shared" si="4"/>
        <v>1</v>
      </c>
      <c r="AC47" s="1563">
        <f t="shared" si="5"/>
        <v>1</v>
      </c>
    </row>
    <row r="48" spans="1:29" ht="20.25">
      <c r="A48" s="607" t="s">
        <v>556</v>
      </c>
      <c r="B48" s="608" t="s">
        <v>3254</v>
      </c>
      <c r="C48" s="609" t="s">
        <v>1</v>
      </c>
      <c r="D48" s="610"/>
      <c r="E48" s="611">
        <f>土地案例!M2</f>
        <v>1418</v>
      </c>
      <c r="F48" s="612"/>
      <c r="G48" s="613">
        <f>土地案例!M63</f>
        <v>1021</v>
      </c>
      <c r="H48" s="614"/>
      <c r="I48" s="611">
        <f>土地案例!M71</f>
        <v>1005</v>
      </c>
      <c r="J48" s="614"/>
      <c r="K48" s="1336"/>
      <c r="L48" s="2130"/>
      <c r="M48" s="2118"/>
      <c r="N48" s="2118"/>
      <c r="O48" s="2131"/>
      <c r="P48" s="3383" t="str">
        <f>A48</f>
        <v>成交单价</v>
      </c>
      <c r="Q48" s="3383"/>
      <c r="R48" s="3384">
        <f>E48</f>
        <v>1418</v>
      </c>
      <c r="S48" s="3384"/>
      <c r="T48" s="3384">
        <f>G48</f>
        <v>1021</v>
      </c>
      <c r="U48" s="3384"/>
      <c r="V48" s="3384">
        <f>I48</f>
        <v>1005</v>
      </c>
      <c r="W48" s="3384"/>
      <c r="X48" s="1546"/>
      <c r="Y48" s="1568"/>
      <c r="Z48" s="1546"/>
      <c r="AA48" s="1546"/>
      <c r="AB48" s="1546"/>
      <c r="AC48" s="1546"/>
    </row>
    <row r="49" spans="1:29" ht="21" thickBot="1">
      <c r="A49" s="615" t="s">
        <v>2691</v>
      </c>
      <c r="B49" s="616"/>
      <c r="C49" s="617">
        <f>R50</f>
        <v>987</v>
      </c>
      <c r="D49" s="618"/>
      <c r="E49" s="617">
        <f>R49</f>
        <v>1063</v>
      </c>
      <c r="F49" s="619"/>
      <c r="G49" s="620">
        <f>T49</f>
        <v>950</v>
      </c>
      <c r="H49" s="618"/>
      <c r="I49" s="617">
        <f>V49</f>
        <v>948</v>
      </c>
      <c r="J49" s="618"/>
      <c r="K49" s="1337"/>
      <c r="L49" s="2130"/>
      <c r="M49" s="2118"/>
      <c r="N49" s="2118"/>
      <c r="O49" s="2131"/>
      <c r="P49" s="3383" t="str">
        <f>A49</f>
        <v>比较价格（元/平方米）</v>
      </c>
      <c r="Q49" s="3383"/>
      <c r="R49" s="3385">
        <f>ROUND(PRODUCT(R48,AA9:AA47),0)</f>
        <v>1063</v>
      </c>
      <c r="S49" s="3385"/>
      <c r="T49" s="3385">
        <f>ROUND(PRODUCT(T48,AB9:AB47),0)</f>
        <v>950</v>
      </c>
      <c r="U49" s="3385"/>
      <c r="V49" s="3385">
        <f>ROUND(PRODUCT(V48,AC9:AC47),0)</f>
        <v>948</v>
      </c>
      <c r="W49" s="3385"/>
      <c r="X49" s="1546"/>
      <c r="Y49" s="1546"/>
      <c r="Z49" s="1546"/>
      <c r="AA49" s="1546"/>
      <c r="AB49" s="1546"/>
      <c r="AC49" s="1546"/>
    </row>
    <row r="50" spans="1:29" ht="21" thickBot="1">
      <c r="A50" s="621" t="s">
        <v>2926</v>
      </c>
      <c r="B50" s="622"/>
      <c r="C50" s="623">
        <f>R50</f>
        <v>987</v>
      </c>
      <c r="D50" s="623"/>
      <c r="E50" s="623"/>
      <c r="F50" s="623"/>
      <c r="G50" s="623"/>
      <c r="H50" s="623"/>
      <c r="I50" s="623"/>
      <c r="J50" s="623"/>
      <c r="K50" s="1338"/>
      <c r="L50" s="2130"/>
      <c r="M50" s="2118"/>
      <c r="N50" s="2118"/>
      <c r="O50" s="2131"/>
      <c r="P50" s="3380" t="str">
        <f>A50</f>
        <v>估价对象XX用房的比较价格（楼面单价，元/平方米）</v>
      </c>
      <c r="Q50" s="3381"/>
      <c r="R50" s="3382">
        <f>ROUND(AVERAGE(R49:V49),0)</f>
        <v>987</v>
      </c>
      <c r="S50" s="3382"/>
      <c r="T50" s="3382"/>
      <c r="U50" s="3382"/>
      <c r="V50" s="3382"/>
      <c r="W50" s="338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0.33396048918156152</v>
      </c>
      <c r="F53" s="627" t="str">
        <f>IF(OR(E53&gt;=0.3,E53&lt;=-0.3),"超过30%","")</f>
        <v>超过30%</v>
      </c>
      <c r="G53" s="626">
        <f>IF(G48&lt;G49,G49/G48-1,G48/G49-1)</f>
        <v>7.4736842105263213E-2</v>
      </c>
      <c r="H53" s="627" t="str">
        <f>IF(OR(G53&gt;=0.3,G53&lt;=-0.3),"超过30%","")</f>
        <v/>
      </c>
      <c r="I53" s="626">
        <f>IF(I48&lt;I49,I49/I48-1,I48/I49-1)</f>
        <v>6.0126582278481111E-2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0.11894736842105269</v>
      </c>
      <c r="F54" s="627" t="str">
        <f>IF(OR(E54&gt;=0.2,E54&lt;=-0.2),"超过20%","")</f>
        <v/>
      </c>
      <c r="G54" s="626">
        <f>IF(G49&lt;I49,I49/G49-1,G49/I49-1)</f>
        <v>2.1097046413502962E-3</v>
      </c>
      <c r="H54" s="627" t="str">
        <f>IF(OR(G54&gt;=0.2,G54&lt;=-0.2),"超过20%","")</f>
        <v/>
      </c>
      <c r="I54" s="626">
        <f>IF(I49&lt;E49,E49/I49-1,I49/E49-1)</f>
        <v>0.12130801687763704</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0.38883447600391774</v>
      </c>
      <c r="F55" s="627" t="str">
        <f>IF(OR(E55&gt;=0.3,E55&lt;=-0.3),"超过30%","")</f>
        <v>超过30%</v>
      </c>
      <c r="G55" s="626">
        <f>IF(G48&lt;I48,I48/G48-1,G48/I48-1)</f>
        <v>1.5920398009950265E-2</v>
      </c>
      <c r="H55" s="627" t="str">
        <f>IF(OR(G55&gt;=0.3,G55&lt;=-0.3),"超过30%","")</f>
        <v/>
      </c>
      <c r="I55" s="626">
        <f>IF(I48&lt;E48,E48/I48-1,I48/E48-1)</f>
        <v>0.41094527363184086</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2292</v>
      </c>
      <c r="E57" s="631" t="s">
        <v>562</v>
      </c>
      <c r="F57" s="632" t="s">
        <v>563</v>
      </c>
      <c r="G57" s="3409" t="s">
        <v>2280</v>
      </c>
      <c r="H57" s="3410"/>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987</v>
      </c>
      <c r="C58" s="635">
        <v>1</v>
      </c>
      <c r="D58" s="2214">
        <v>1</v>
      </c>
      <c r="E58" s="635">
        <f>'数据-汇总表'!E8+'数据-汇总表'!E9</f>
        <v>5725</v>
      </c>
      <c r="F58" s="636">
        <f t="shared" ref="F58:F67" si="15">ROUND(B58*E58/10000,0)</f>
        <v>565</v>
      </c>
      <c r="G58" s="3411"/>
      <c r="H58" s="3412"/>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3"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3"/>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3"/>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3"/>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3817</v>
      </c>
      <c r="F68" s="644">
        <f>IF(B48="楼面地价",SUM(F58:F67),ROUND(C50*E68/10000,0))</f>
        <v>377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3198">
        <f>C73-$C$74</f>
        <v>99</v>
      </c>
      <c r="E73" s="3198">
        <f t="shared" ref="E73:N73" si="20">D73-$C$74</f>
        <v>98</v>
      </c>
      <c r="F73" s="3198">
        <f t="shared" si="20"/>
        <v>97</v>
      </c>
      <c r="G73" s="3198">
        <f t="shared" si="20"/>
        <v>96</v>
      </c>
      <c r="H73" s="3198">
        <f t="shared" si="20"/>
        <v>95</v>
      </c>
      <c r="I73" s="3198">
        <f t="shared" si="20"/>
        <v>94</v>
      </c>
      <c r="J73" s="3198">
        <f t="shared" si="20"/>
        <v>93</v>
      </c>
      <c r="K73" s="3198">
        <f t="shared" si="20"/>
        <v>92</v>
      </c>
      <c r="L73" s="3198">
        <f t="shared" si="20"/>
        <v>91</v>
      </c>
      <c r="M73" s="3198">
        <f t="shared" si="20"/>
        <v>90</v>
      </c>
      <c r="N73" s="3198">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v>1</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2" t="s">
        <v>3256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105</v>
      </c>
      <c r="E83" s="679">
        <f t="shared" ref="E83:M83" si="22">IF($B$48="单位面积地价",D83+$K13,D83-$K13)</f>
        <v>110</v>
      </c>
      <c r="F83" s="679">
        <f t="shared" si="22"/>
        <v>115</v>
      </c>
      <c r="G83" s="679">
        <f t="shared" si="22"/>
        <v>120</v>
      </c>
      <c r="H83" s="679">
        <f t="shared" si="22"/>
        <v>125</v>
      </c>
      <c r="I83" s="679">
        <f t="shared" si="22"/>
        <v>130</v>
      </c>
      <c r="J83" s="679">
        <f t="shared" si="22"/>
        <v>135</v>
      </c>
      <c r="K83" s="679">
        <f t="shared" si="22"/>
        <v>140</v>
      </c>
      <c r="L83" s="679">
        <f t="shared" si="22"/>
        <v>145</v>
      </c>
      <c r="M83" s="679">
        <f t="shared" si="22"/>
        <v>150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3" t="s">
        <v>3236</v>
      </c>
      <c r="D108" s="3203" t="s">
        <v>3238</v>
      </c>
      <c r="E108" s="3203" t="s">
        <v>3239</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2"/>
      <c r="O109" s="2152"/>
      <c r="P109" s="2151"/>
      <c r="Q109" s="2144"/>
      <c r="R109" s="2131"/>
      <c r="S109" s="2131"/>
      <c r="T109" s="2131"/>
      <c r="U109" s="2131"/>
      <c r="V109" s="2131"/>
      <c r="W109" s="2131"/>
      <c r="X109" s="2131"/>
      <c r="Y109" s="2131"/>
      <c r="Z109" s="2131"/>
      <c r="AA109" s="2131"/>
      <c r="AB109" s="2131"/>
      <c r="AC109" s="2131"/>
    </row>
    <row r="110" spans="1:29" ht="15.75" hidden="1"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hidden="1"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hidden="1"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hidden="1"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hidden="1"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hidden="1"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hidden="1"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36.75" customHeight="1" thickTop="1">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4" t="str">
        <f t="shared" si="26"/>
        <v>70000(含)-80000</v>
      </c>
      <c r="K118" s="3044" t="str">
        <f t="shared" si="26"/>
        <v>80000(含)-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v>70000</v>
      </c>
      <c r="K119" s="2332">
        <v>80000</v>
      </c>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4" t="s">
        <v>3240</v>
      </c>
      <c r="D121" s="3204" t="s">
        <v>3242</v>
      </c>
      <c r="E121" s="3204" t="s">
        <v>3243</v>
      </c>
      <c r="F121" s="3204" t="s">
        <v>3245</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3246</v>
      </c>
      <c r="D125" s="1372" t="s">
        <v>3247</v>
      </c>
      <c r="E125" s="1372" t="s">
        <v>3248</v>
      </c>
      <c r="F125" s="1372" t="s">
        <v>3249</v>
      </c>
      <c r="G125" s="1372" t="s">
        <v>3251</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5" t="str">
        <f>项目基本情况!B1</f>
        <v>出让国有建设用地使用权抵押价格预评估</v>
      </c>
      <c r="C37" s="3215"/>
      <c r="D37" s="3215"/>
      <c r="E37" s="3215"/>
      <c r="F37" s="3215"/>
      <c r="G37" s="3215"/>
      <c r="H37" s="3215"/>
      <c r="I37" s="3215"/>
    </row>
    <row r="38" spans="1:9">
      <c r="A38" s="1642"/>
      <c r="B38" s="1642"/>
    </row>
    <row r="39" spans="1:9">
      <c r="A39" s="1640" t="s">
        <v>1901</v>
      </c>
      <c r="B39" s="1640" t="s">
        <v>2045</v>
      </c>
    </row>
    <row r="40" spans="1:9">
      <c r="A40" s="1640"/>
      <c r="B40" s="1640">
        <f>项目基本情况!B5</f>
        <v>0</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郑燚、吴薇</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9" t="s">
        <v>522</v>
      </c>
      <c r="D6" s="3390"/>
      <c r="E6" s="3423" t="s">
        <v>523</v>
      </c>
      <c r="F6" s="3424"/>
      <c r="G6" s="3389" t="s">
        <v>524</v>
      </c>
      <c r="H6" s="3390"/>
      <c r="I6" s="3389" t="s">
        <v>525</v>
      </c>
      <c r="J6" s="3390"/>
      <c r="K6" s="514" t="s">
        <v>526</v>
      </c>
      <c r="L6" s="2119"/>
      <c r="M6" s="2120"/>
      <c r="N6" s="2120"/>
      <c r="O6" s="2120"/>
      <c r="P6" s="3391" t="s">
        <v>527</v>
      </c>
      <c r="Q6" s="3392"/>
      <c r="R6" s="3397" t="s">
        <v>523</v>
      </c>
      <c r="S6" s="3398"/>
      <c r="T6" s="3397" t="s">
        <v>524</v>
      </c>
      <c r="U6" s="3398"/>
      <c r="V6" s="3384" t="s">
        <v>525</v>
      </c>
      <c r="W6" s="3384"/>
      <c r="X6" s="1554"/>
      <c r="Y6" s="3397" t="s">
        <v>527</v>
      </c>
      <c r="Z6" s="3398"/>
      <c r="AA6" s="3386" t="s">
        <v>523</v>
      </c>
      <c r="AB6" s="3387" t="s">
        <v>524</v>
      </c>
      <c r="AC6" s="3386" t="s">
        <v>525</v>
      </c>
    </row>
    <row r="7" spans="1:29" ht="15">
      <c r="A7" s="515"/>
      <c r="B7" s="516"/>
      <c r="C7" s="3405" t="s">
        <v>2920</v>
      </c>
      <c r="D7" s="3406"/>
      <c r="E7" s="3425" t="s">
        <v>2921</v>
      </c>
      <c r="F7" s="3426"/>
      <c r="G7" s="3405" t="s">
        <v>2922</v>
      </c>
      <c r="H7" s="3406"/>
      <c r="I7" s="3405" t="s">
        <v>2923</v>
      </c>
      <c r="J7" s="3406"/>
      <c r="K7" s="514"/>
      <c r="L7" s="2119"/>
      <c r="M7" s="2120"/>
      <c r="N7" s="2120"/>
      <c r="O7" s="2120"/>
      <c r="P7" s="3393"/>
      <c r="Q7" s="3394"/>
      <c r="R7" s="3399"/>
      <c r="S7" s="3400"/>
      <c r="T7" s="3399"/>
      <c r="U7" s="3400"/>
      <c r="V7" s="3384"/>
      <c r="W7" s="3384"/>
      <c r="X7" s="1554"/>
      <c r="Y7" s="3399"/>
      <c r="Z7" s="3400"/>
      <c r="AA7" s="3387"/>
      <c r="AB7" s="3387"/>
      <c r="AC7" s="3387"/>
    </row>
    <row r="8" spans="1:29" ht="15.75" thickBot="1">
      <c r="A8" s="517"/>
      <c r="B8" s="518"/>
      <c r="C8" s="3403" t="s">
        <v>2924</v>
      </c>
      <c r="D8" s="3404"/>
      <c r="E8" s="3421" t="s">
        <v>2924</v>
      </c>
      <c r="F8" s="3422"/>
      <c r="G8" s="3403" t="s">
        <v>2924</v>
      </c>
      <c r="H8" s="3404"/>
      <c r="I8" s="3403" t="s">
        <v>2924</v>
      </c>
      <c r="J8" s="3404"/>
      <c r="K8" s="514" t="s">
        <v>528</v>
      </c>
      <c r="L8" s="2119"/>
      <c r="M8" s="2120"/>
      <c r="N8" s="2120"/>
      <c r="O8" s="2120"/>
      <c r="P8" s="3395"/>
      <c r="Q8" s="3396"/>
      <c r="R8" s="3399"/>
      <c r="S8" s="3400"/>
      <c r="T8" s="3401"/>
      <c r="U8" s="3402"/>
      <c r="V8" s="3384"/>
      <c r="W8" s="3384"/>
      <c r="X8" s="1554"/>
      <c r="Y8" s="3401"/>
      <c r="Z8" s="3402"/>
      <c r="AA8" s="3388"/>
      <c r="AB8" s="3388"/>
      <c r="AC8" s="3388"/>
    </row>
    <row r="9" spans="1:29" s="1216" customFormat="1" ht="15.75" thickBot="1">
      <c r="A9" s="2868"/>
      <c r="B9" s="2875" t="s">
        <v>529</v>
      </c>
      <c r="C9" s="519">
        <f>'数据-取费表'!B2</f>
        <v>43633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4" t="s">
        <v>530</v>
      </c>
      <c r="Q9" s="3416"/>
      <c r="R9" s="1555" t="s">
        <v>8</v>
      </c>
      <c r="S9" s="1556">
        <f t="shared" ref="S9:S17" si="0">F9</f>
        <v>0</v>
      </c>
      <c r="T9" s="1555" t="s">
        <v>8</v>
      </c>
      <c r="U9" s="1556">
        <f t="shared" ref="U9:U17" si="1">H9</f>
        <v>0</v>
      </c>
      <c r="V9" s="1555" t="s">
        <v>8</v>
      </c>
      <c r="W9" s="1556">
        <f t="shared" ref="W9:W17" si="2">J9</f>
        <v>0</v>
      </c>
      <c r="X9" s="1557"/>
      <c r="Y9" s="3414" t="s">
        <v>530</v>
      </c>
      <c r="Z9" s="341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4" t="s">
        <v>533</v>
      </c>
      <c r="Q10" s="3415"/>
      <c r="R10" s="1555" t="s">
        <v>8</v>
      </c>
      <c r="S10" s="1556">
        <f t="shared" si="0"/>
        <v>0</v>
      </c>
      <c r="T10" s="1555" t="s">
        <v>8</v>
      </c>
      <c r="U10" s="1556">
        <f t="shared" si="1"/>
        <v>0</v>
      </c>
      <c r="V10" s="1555" t="s">
        <v>8</v>
      </c>
      <c r="W10" s="1556">
        <f t="shared" si="2"/>
        <v>0</v>
      </c>
      <c r="X10" s="1557"/>
      <c r="Y10" s="3414" t="s">
        <v>533</v>
      </c>
      <c r="Z10" s="3415"/>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3" t="s">
        <v>535</v>
      </c>
      <c r="Q11" s="1147" t="str">
        <f t="shared" ref="Q11:Q17" si="6">B11</f>
        <v>用途</v>
      </c>
      <c r="R11" s="1555" t="s">
        <v>8</v>
      </c>
      <c r="S11" s="1556">
        <f t="shared" si="0"/>
        <v>100</v>
      </c>
      <c r="T11" s="1555" t="s">
        <v>8</v>
      </c>
      <c r="U11" s="1556">
        <f t="shared" si="1"/>
        <v>100</v>
      </c>
      <c r="V11" s="1555" t="s">
        <v>8</v>
      </c>
      <c r="W11" s="1556">
        <f t="shared" si="2"/>
        <v>100</v>
      </c>
      <c r="X11" s="1557"/>
      <c r="Y11" s="3329" t="s">
        <v>536</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83"/>
      <c r="Q12" s="1147" t="str">
        <f t="shared" si="6"/>
        <v>土地使用年限（年）</v>
      </c>
      <c r="R12" s="1555" t="s">
        <v>8</v>
      </c>
      <c r="S12" s="1556">
        <f t="shared" si="0"/>
        <v>106</v>
      </c>
      <c r="T12" s="1555" t="s">
        <v>8</v>
      </c>
      <c r="U12" s="1556">
        <f t="shared" si="1"/>
        <v>106</v>
      </c>
      <c r="V12" s="1555" t="s">
        <v>8</v>
      </c>
      <c r="W12" s="1556">
        <f t="shared" si="2"/>
        <v>106</v>
      </c>
      <c r="X12" s="1557"/>
      <c r="Y12" s="3329"/>
      <c r="Z12" s="1146" t="str">
        <f t="shared" si="7"/>
        <v>土地使用年限（年）</v>
      </c>
      <c r="AA12" s="1558">
        <f t="shared" si="3"/>
        <v>0.94339622641509435</v>
      </c>
      <c r="AB12" s="1558">
        <f t="shared" si="4"/>
        <v>0.94339622641509435</v>
      </c>
      <c r="AC12" s="1558">
        <f t="shared" si="5"/>
        <v>0.94339622641509435</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3"/>
      <c r="Q13" s="1147" t="str">
        <f t="shared" si="6"/>
        <v>容积率</v>
      </c>
      <c r="R13" s="1555" t="s">
        <v>8</v>
      </c>
      <c r="S13" s="1556" t="e">
        <f t="shared" si="0"/>
        <v>#N/A</v>
      </c>
      <c r="T13" s="1555" t="s">
        <v>8</v>
      </c>
      <c r="U13" s="1556" t="e">
        <f t="shared" si="1"/>
        <v>#N/A</v>
      </c>
      <c r="V13" s="1555" t="s">
        <v>8</v>
      </c>
      <c r="W13" s="1556" t="e">
        <f t="shared" si="2"/>
        <v>#N/A</v>
      </c>
      <c r="X13" s="1557"/>
      <c r="Y13" s="332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3"/>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3"/>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3"/>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 t="shared" si="3"/>
        <v>1</v>
      </c>
      <c r="AB16" s="1558">
        <f t="shared" si="4"/>
        <v>1</v>
      </c>
      <c r="AC16" s="1558">
        <f t="shared" si="5"/>
        <v>1</v>
      </c>
    </row>
    <row r="17" spans="1:29" ht="57">
      <c r="A17" s="286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7" t="s">
        <v>540</v>
      </c>
      <c r="Q17" s="1559" t="str">
        <f t="shared" si="6"/>
        <v>产业集聚程度</v>
      </c>
      <c r="R17" s="1560" t="s">
        <v>8</v>
      </c>
      <c r="S17" s="1561">
        <f t="shared" si="0"/>
        <v>100</v>
      </c>
      <c r="T17" s="1560" t="s">
        <v>8</v>
      </c>
      <c r="U17" s="1561">
        <f t="shared" si="1"/>
        <v>100</v>
      </c>
      <c r="V17" s="1560" t="s">
        <v>8</v>
      </c>
      <c r="W17" s="1561">
        <f t="shared" si="2"/>
        <v>100</v>
      </c>
      <c r="X17" s="1554"/>
      <c r="Y17" s="341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8"/>
      <c r="Q18" s="1559"/>
      <c r="R18" s="1560"/>
      <c r="S18" s="1561"/>
      <c r="T18" s="1560"/>
      <c r="U18" s="1561"/>
      <c r="V18" s="1560"/>
      <c r="W18" s="1561"/>
      <c r="X18" s="1554"/>
      <c r="Y18" s="341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8"/>
      <c r="Q19" s="1559" t="str">
        <f>B19</f>
        <v>交通便捷度</v>
      </c>
      <c r="R19" s="1560" t="s">
        <v>8</v>
      </c>
      <c r="S19" s="1561">
        <f>F19</f>
        <v>100</v>
      </c>
      <c r="T19" s="1560" t="s">
        <v>8</v>
      </c>
      <c r="U19" s="1561">
        <f>H19</f>
        <v>100</v>
      </c>
      <c r="V19" s="1560" t="s">
        <v>8</v>
      </c>
      <c r="W19" s="1561">
        <f>J19</f>
        <v>100</v>
      </c>
      <c r="X19" s="1554"/>
      <c r="Y19" s="341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8"/>
      <c r="Q20" s="1559"/>
      <c r="R20" s="1560"/>
      <c r="S20" s="1561"/>
      <c r="T20" s="1560"/>
      <c r="U20" s="1561"/>
      <c r="V20" s="1560"/>
      <c r="W20" s="1561"/>
      <c r="X20" s="1554"/>
      <c r="Y20" s="341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8"/>
      <c r="Q21" s="1559" t="str">
        <f t="shared" ref="Q21:Q35" si="8">B21</f>
        <v>区域土地利用方向</v>
      </c>
      <c r="R21" s="1560" t="s">
        <v>8</v>
      </c>
      <c r="S21" s="1561">
        <f>F21</f>
        <v>100</v>
      </c>
      <c r="T21" s="1560" t="s">
        <v>8</v>
      </c>
      <c r="U21" s="1561">
        <f>H21</f>
        <v>100</v>
      </c>
      <c r="V21" s="1560" t="s">
        <v>8</v>
      </c>
      <c r="W21" s="1561">
        <f>J21</f>
        <v>100</v>
      </c>
      <c r="X21" s="1554"/>
      <c r="Y21" s="341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8"/>
      <c r="Q22" s="1559"/>
      <c r="R22" s="1560"/>
      <c r="S22" s="1561"/>
      <c r="T22" s="1560"/>
      <c r="U22" s="1561"/>
      <c r="V22" s="1560"/>
      <c r="W22" s="1561"/>
      <c r="X22" s="1554"/>
      <c r="Y22" s="341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8"/>
      <c r="Q23" s="1559" t="str">
        <f t="shared" si="8"/>
        <v>环境状况</v>
      </c>
      <c r="R23" s="1560" t="s">
        <v>8</v>
      </c>
      <c r="S23" s="1561">
        <f>F23</f>
        <v>100</v>
      </c>
      <c r="T23" s="1560" t="s">
        <v>8</v>
      </c>
      <c r="U23" s="1561">
        <f>H23</f>
        <v>100</v>
      </c>
      <c r="V23" s="1560" t="s">
        <v>8</v>
      </c>
      <c r="W23" s="1561">
        <f>J23</f>
        <v>100</v>
      </c>
      <c r="X23" s="1554"/>
      <c r="Y23" s="341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8"/>
      <c r="Q24" s="1559"/>
      <c r="R24" s="1560"/>
      <c r="S24" s="1561"/>
      <c r="T24" s="1560"/>
      <c r="U24" s="1561"/>
      <c r="V24" s="1560"/>
      <c r="W24" s="1561"/>
      <c r="X24" s="1554"/>
      <c r="Y24" s="3418"/>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8"/>
      <c r="Q25" s="1147" t="str">
        <f t="shared" si="8"/>
        <v>公共配套设施</v>
      </c>
      <c r="R25" s="1555" t="s">
        <v>8</v>
      </c>
      <c r="S25" s="1556">
        <f>F25</f>
        <v>100</v>
      </c>
      <c r="T25" s="1555" t="s">
        <v>8</v>
      </c>
      <c r="U25" s="1556">
        <f>H25</f>
        <v>100</v>
      </c>
      <c r="V25" s="1555" t="s">
        <v>8</v>
      </c>
      <c r="W25" s="1556">
        <f>J25</f>
        <v>100</v>
      </c>
      <c r="X25" s="1557"/>
      <c r="Y25" s="341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8"/>
      <c r="Q26" s="1147"/>
      <c r="R26" s="1555"/>
      <c r="S26" s="1556"/>
      <c r="T26" s="1555"/>
      <c r="U26" s="1556"/>
      <c r="V26" s="1555"/>
      <c r="W26" s="1556"/>
      <c r="X26" s="1557"/>
      <c r="Y26" s="3418"/>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8"/>
      <c r="Q27" s="2543" t="str">
        <f t="shared" ref="Q27" si="9">B27</f>
        <v>基础设施水平</v>
      </c>
      <c r="R27" s="1555" t="s">
        <v>8</v>
      </c>
      <c r="S27" s="1556">
        <f>F27</f>
        <v>100</v>
      </c>
      <c r="T27" s="1555" t="s">
        <v>8</v>
      </c>
      <c r="U27" s="1556">
        <f>H27</f>
        <v>100</v>
      </c>
      <c r="V27" s="1555" t="s">
        <v>8</v>
      </c>
      <c r="W27" s="1556">
        <f>J27</f>
        <v>100</v>
      </c>
      <c r="X27" s="1557"/>
      <c r="Y27" s="341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8"/>
      <c r="Q28" s="2543"/>
      <c r="R28" s="1555"/>
      <c r="S28" s="1556"/>
      <c r="T28" s="1555"/>
      <c r="U28" s="1556"/>
      <c r="V28" s="1555"/>
      <c r="W28" s="1556"/>
      <c r="X28" s="1557"/>
      <c r="Y28" s="341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8"/>
      <c r="Q30" s="1559" t="str">
        <f t="shared" si="8"/>
        <v>毗邻道路的类型与等级</v>
      </c>
      <c r="R30" s="1560" t="s">
        <v>8</v>
      </c>
      <c r="S30" s="1561">
        <f t="shared" si="10"/>
        <v>100</v>
      </c>
      <c r="T30" s="1560" t="s">
        <v>8</v>
      </c>
      <c r="U30" s="1561">
        <f t="shared" si="11"/>
        <v>100</v>
      </c>
      <c r="V30" s="1560" t="s">
        <v>8</v>
      </c>
      <c r="W30" s="1561">
        <f t="shared" si="12"/>
        <v>100</v>
      </c>
      <c r="X30" s="1554"/>
      <c r="Y30" s="341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8"/>
      <c r="Q31" s="1559"/>
      <c r="R31" s="1560"/>
      <c r="S31" s="1561"/>
      <c r="T31" s="1560"/>
      <c r="U31" s="1561"/>
      <c r="V31" s="1560"/>
      <c r="W31" s="1561"/>
      <c r="X31" s="1554"/>
      <c r="Y31" s="341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8"/>
      <c r="Q32" s="1559" t="str">
        <f t="shared" si="8"/>
        <v>土地级别</v>
      </c>
      <c r="R32" s="1560" t="s">
        <v>8</v>
      </c>
      <c r="S32" s="1561">
        <f t="shared" si="10"/>
        <v>100</v>
      </c>
      <c r="T32" s="1560" t="s">
        <v>8</v>
      </c>
      <c r="U32" s="1561">
        <f t="shared" si="11"/>
        <v>100</v>
      </c>
      <c r="V32" s="1560" t="s">
        <v>8</v>
      </c>
      <c r="W32" s="1561">
        <f t="shared" si="12"/>
        <v>100</v>
      </c>
      <c r="X32" s="1554"/>
      <c r="Y32" s="341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8"/>
      <c r="Q33" s="1559">
        <f t="shared" si="8"/>
        <v>111</v>
      </c>
      <c r="R33" s="1560" t="s">
        <v>8</v>
      </c>
      <c r="S33" s="1561">
        <f t="shared" si="10"/>
        <v>100</v>
      </c>
      <c r="T33" s="1560" t="s">
        <v>8</v>
      </c>
      <c r="U33" s="1561">
        <f t="shared" si="11"/>
        <v>100</v>
      </c>
      <c r="V33" s="1560" t="s">
        <v>8</v>
      </c>
      <c r="W33" s="1561">
        <f t="shared" si="12"/>
        <v>100</v>
      </c>
      <c r="X33" s="1554"/>
      <c r="Y33" s="341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9" t="s">
        <v>550</v>
      </c>
      <c r="Q34" s="1559">
        <f t="shared" si="8"/>
        <v>111</v>
      </c>
      <c r="R34" s="1560" t="s">
        <v>8</v>
      </c>
      <c r="S34" s="1561">
        <f t="shared" si="10"/>
        <v>100</v>
      </c>
      <c r="T34" s="1560" t="s">
        <v>8</v>
      </c>
      <c r="U34" s="1561">
        <f t="shared" si="11"/>
        <v>100</v>
      </c>
      <c r="V34" s="1560" t="s">
        <v>8</v>
      </c>
      <c r="W34" s="1561">
        <f t="shared" si="12"/>
        <v>100</v>
      </c>
      <c r="X34" s="1554"/>
      <c r="Y34" s="3420"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0"/>
      <c r="Q35" s="1559">
        <f t="shared" si="8"/>
        <v>111</v>
      </c>
      <c r="R35" s="1564" t="s">
        <v>8</v>
      </c>
      <c r="S35" s="1565">
        <f t="shared" si="10"/>
        <v>100</v>
      </c>
      <c r="T35" s="1564" t="s">
        <v>8</v>
      </c>
      <c r="U35" s="1565">
        <f t="shared" si="11"/>
        <v>100</v>
      </c>
      <c r="V35" s="1564" t="s">
        <v>8</v>
      </c>
      <c r="W35" s="1565">
        <f t="shared" si="12"/>
        <v>100</v>
      </c>
      <c r="X35" s="1566"/>
      <c r="Y35" s="3420"/>
      <c r="Z35" s="1567">
        <f t="shared" si="13"/>
        <v>111</v>
      </c>
      <c r="AA35" s="1563">
        <f t="shared" si="3"/>
        <v>1</v>
      </c>
      <c r="AB35" s="1563">
        <f t="shared" si="4"/>
        <v>1</v>
      </c>
      <c r="AC35" s="1563">
        <f t="shared" si="5"/>
        <v>1</v>
      </c>
    </row>
    <row r="36" spans="1:29" ht="15">
      <c r="A36" s="2863"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0"/>
      <c r="Q36" s="1559" t="str">
        <f>B36</f>
        <v>宗地面积</v>
      </c>
      <c r="R36" s="1560" t="s">
        <v>8</v>
      </c>
      <c r="S36" s="1561" t="e">
        <f t="shared" si="10"/>
        <v>#N/A</v>
      </c>
      <c r="T36" s="1560" t="s">
        <v>8</v>
      </c>
      <c r="U36" s="1561" t="e">
        <f t="shared" si="11"/>
        <v>#N/A</v>
      </c>
      <c r="V36" s="1560" t="s">
        <v>8</v>
      </c>
      <c r="W36" s="1561" t="e">
        <f t="shared" si="12"/>
        <v>#N/A</v>
      </c>
      <c r="X36" s="1554"/>
      <c r="Y36" s="3420"/>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0"/>
      <c r="Q37" s="1559" t="str">
        <f t="shared" ref="Q37:Q42" si="14">B37</f>
        <v>宗地形状</v>
      </c>
      <c r="R37" s="1560" t="s">
        <v>8</v>
      </c>
      <c r="S37" s="1561">
        <f t="shared" si="10"/>
        <v>100</v>
      </c>
      <c r="T37" s="1560" t="s">
        <v>8</v>
      </c>
      <c r="U37" s="1561">
        <f t="shared" si="11"/>
        <v>100</v>
      </c>
      <c r="V37" s="1560" t="s">
        <v>8</v>
      </c>
      <c r="W37" s="1561">
        <f t="shared" si="12"/>
        <v>100</v>
      </c>
      <c r="X37" s="1554"/>
      <c r="Y37" s="3420"/>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0"/>
      <c r="Q38" s="1559" t="str">
        <f t="shared" si="14"/>
        <v>宗地开发程度</v>
      </c>
      <c r="R38" s="1555" t="s">
        <v>8</v>
      </c>
      <c r="S38" s="1556">
        <f t="shared" si="10"/>
        <v>100</v>
      </c>
      <c r="T38" s="1555" t="s">
        <v>8</v>
      </c>
      <c r="U38" s="1556">
        <f t="shared" si="11"/>
        <v>100</v>
      </c>
      <c r="V38" s="1555" t="s">
        <v>8</v>
      </c>
      <c r="W38" s="1556">
        <f t="shared" si="12"/>
        <v>100</v>
      </c>
      <c r="X38" s="1557"/>
      <c r="Y38" s="3420"/>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0" t="s">
        <v>601</v>
      </c>
      <c r="Q39" s="1559" t="str">
        <f t="shared" si="14"/>
        <v>工程地质条件</v>
      </c>
      <c r="R39" s="1560" t="s">
        <v>8</v>
      </c>
      <c r="S39" s="1561">
        <f t="shared" si="10"/>
        <v>100</v>
      </c>
      <c r="T39" s="1560" t="s">
        <v>8</v>
      </c>
      <c r="U39" s="1561">
        <f t="shared" si="11"/>
        <v>100</v>
      </c>
      <c r="V39" s="1560" t="s">
        <v>8</v>
      </c>
      <c r="W39" s="1561">
        <f t="shared" si="12"/>
        <v>100</v>
      </c>
      <c r="X39" s="1554"/>
      <c r="Y39" s="3420"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0"/>
      <c r="Q40" s="1559">
        <f t="shared" si="14"/>
        <v>111</v>
      </c>
      <c r="R40" s="1560" t="s">
        <v>8</v>
      </c>
      <c r="S40" s="1561">
        <f t="shared" si="10"/>
        <v>100</v>
      </c>
      <c r="T40" s="1560" t="s">
        <v>8</v>
      </c>
      <c r="U40" s="1561">
        <f t="shared" si="11"/>
        <v>100</v>
      </c>
      <c r="V40" s="1560" t="s">
        <v>8</v>
      </c>
      <c r="W40" s="1561">
        <f t="shared" si="12"/>
        <v>100</v>
      </c>
      <c r="X40" s="1554"/>
      <c r="Y40" s="3420"/>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0"/>
      <c r="Q41" s="1559">
        <f t="shared" si="14"/>
        <v>111</v>
      </c>
      <c r="R41" s="1560" t="s">
        <v>8</v>
      </c>
      <c r="S41" s="1561">
        <f t="shared" si="10"/>
        <v>100</v>
      </c>
      <c r="T41" s="1560" t="s">
        <v>8</v>
      </c>
      <c r="U41" s="1561">
        <f t="shared" si="11"/>
        <v>100</v>
      </c>
      <c r="V41" s="1560" t="s">
        <v>8</v>
      </c>
      <c r="W41" s="1561">
        <f t="shared" si="12"/>
        <v>100</v>
      </c>
      <c r="X41" s="1554"/>
      <c r="Y41" s="3420"/>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0"/>
      <c r="Q42" s="1559">
        <f t="shared" si="14"/>
        <v>111</v>
      </c>
      <c r="R42" s="1564" t="s">
        <v>8</v>
      </c>
      <c r="S42" s="1565">
        <f t="shared" si="10"/>
        <v>100</v>
      </c>
      <c r="T42" s="1564" t="s">
        <v>8</v>
      </c>
      <c r="U42" s="1565">
        <f t="shared" si="11"/>
        <v>100</v>
      </c>
      <c r="V42" s="1564" t="s">
        <v>8</v>
      </c>
      <c r="W42" s="1565">
        <f t="shared" si="12"/>
        <v>100</v>
      </c>
      <c r="X42" s="1566"/>
      <c r="Y42" s="3420"/>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83" t="str">
        <f>A43</f>
        <v>成交单价</v>
      </c>
      <c r="Q43" s="3383"/>
      <c r="R43" s="3384">
        <f>E43</f>
        <v>0</v>
      </c>
      <c r="S43" s="3384"/>
      <c r="T43" s="3384">
        <f>G43</f>
        <v>0</v>
      </c>
      <c r="U43" s="3384"/>
      <c r="V43" s="3384">
        <f>I43</f>
        <v>0</v>
      </c>
      <c r="W43" s="3384"/>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383" t="str">
        <f>A44</f>
        <v>比较价格（元/平方米）</v>
      </c>
      <c r="Q44" s="3383"/>
      <c r="R44" s="3385" t="e">
        <f>ROUND(PRODUCT(R43,AA9:AA42),0)</f>
        <v>#DIV/0!</v>
      </c>
      <c r="S44" s="3385"/>
      <c r="T44" s="3385" t="e">
        <f>ROUND(PRODUCT(T43,AB9:AB42),0)</f>
        <v>#DIV/0!</v>
      </c>
      <c r="U44" s="3385"/>
      <c r="V44" s="3385" t="e">
        <f>ROUND(PRODUCT(V43,AC9:AC42),0)</f>
        <v>#DIV/0!</v>
      </c>
      <c r="W44" s="3385"/>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380" t="str">
        <f>A45</f>
        <v>估价对象XX用房的比较价格（楼面单价，元/平方米）</v>
      </c>
      <c r="Q45" s="3381"/>
      <c r="R45" s="3382" t="e">
        <f>ROUND(AVERAGE(R44:V44),0)</f>
        <v>#DIV/0!</v>
      </c>
      <c r="S45" s="3382"/>
      <c r="T45" s="3382"/>
      <c r="U45" s="3382"/>
      <c r="V45" s="3382"/>
      <c r="W45" s="338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2292</v>
      </c>
      <c r="E52" s="631" t="s">
        <v>562</v>
      </c>
      <c r="F52" s="1937" t="s">
        <v>563</v>
      </c>
      <c r="G52" s="3427" t="s">
        <v>2283</v>
      </c>
      <c r="H52" s="3428"/>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5725</v>
      </c>
      <c r="F53" s="1936" t="e">
        <f t="shared" ref="F53:F62" si="15">ROUND(B53*E53/10000,0)</f>
        <v>#DIV/0!</v>
      </c>
      <c r="G53" s="3429"/>
      <c r="H53" s="343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1"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3817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3"/>
      <c r="L4" s="1871" t="s">
        <v>2240</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4"/>
      <c r="L5" s="1871" t="s">
        <v>2241</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3" t="str">
        <f>IF(E2="商业",IF(C8="不临58条商业街","",2),"")</f>
        <v/>
      </c>
      <c r="B7" s="1424" t="s">
        <v>932</v>
      </c>
      <c r="C7" s="1043" t="e">
        <f>IF(C8="不临58条商业街",1,ROUND(1+(1.6*E8+1.2*E9+0.8*E10+0.4*E11)*C9,4))</f>
        <v>#DIV/0!</v>
      </c>
      <c r="D7" s="1425" t="s">
        <v>933</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2763</v>
      </c>
      <c r="X7" s="2883">
        <f>G2</f>
        <v>0</v>
      </c>
      <c r="Y7" s="2883" t="s">
        <v>2764</v>
      </c>
      <c r="Z7" s="2884">
        <f>G3</f>
        <v>4</v>
      </c>
      <c r="AA7" s="2178"/>
      <c r="AB7" s="2178"/>
      <c r="AC7" s="2179"/>
      <c r="AD7" s="2885"/>
      <c r="AE7" s="2885"/>
      <c r="AF7" s="2885"/>
      <c r="AG7" s="2885"/>
      <c r="AH7" s="2885"/>
      <c r="AI7" s="2885"/>
      <c r="AJ7" s="2886"/>
    </row>
    <row r="8" spans="1:39" ht="15">
      <c r="A8" s="3444"/>
      <c r="B8" s="1411" t="s">
        <v>934</v>
      </c>
      <c r="C8" s="1517"/>
      <c r="D8" s="1045" t="s">
        <v>935</v>
      </c>
      <c r="E8" s="1046" t="e">
        <f>ROUND(C11/E7,4)</f>
        <v>#DIV/0!</v>
      </c>
      <c r="F8" s="1429" t="s">
        <v>936</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3" t="s">
        <v>2781</v>
      </c>
      <c r="X8" s="3434"/>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44"/>
      <c r="B9" s="1411" t="s">
        <v>937</v>
      </c>
      <c r="C9" s="1047">
        <f>SUMIF(修正!C59:C119,C8,修正!E59:E119)</f>
        <v>0</v>
      </c>
      <c r="D9" s="1048" t="s">
        <v>938</v>
      </c>
      <c r="E9" s="1048" t="e">
        <f>ROUND(C11/E7,4)</f>
        <v>#DIV/0!</v>
      </c>
      <c r="F9" s="1429" t="s">
        <v>939</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2" t="s">
        <v>2777</v>
      </c>
      <c r="X9" s="2887" t="s">
        <v>2778</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4"/>
      <c r="B10" s="1411" t="s">
        <v>940</v>
      </c>
      <c r="C10" s="1048">
        <f>SUMIF(修正!C59:C119,C8,修正!F59:F119)</f>
        <v>0</v>
      </c>
      <c r="D10" s="1048" t="s">
        <v>941</v>
      </c>
      <c r="E10" s="1048" t="e">
        <f>ROUND(C11/E7,4)</f>
        <v>#DIV/0!</v>
      </c>
      <c r="F10" s="1429" t="s">
        <v>942</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2"/>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4"/>
      <c r="B11" s="1432" t="s">
        <v>943</v>
      </c>
      <c r="C11" s="1049">
        <f>C10/4</f>
        <v>0</v>
      </c>
      <c r="D11" s="1049" t="s">
        <v>944</v>
      </c>
      <c r="E11" s="1049" t="e">
        <f>ROUND(C11/E7,4)</f>
        <v>#DIV/0!</v>
      </c>
      <c r="F11" s="1433" t="s">
        <v>945</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2"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3" t="s">
        <v>1871</v>
      </c>
      <c r="B12" s="1436" t="s">
        <v>946</v>
      </c>
      <c r="C12" s="1043">
        <f>ROUND(C15*D15*E15*F15*G15*H15*I15*J15,4)</f>
        <v>1</v>
      </c>
      <c r="D12" s="1437" t="s">
        <v>947</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2"/>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5"/>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5"/>
      <c r="R13" s="2893">
        <v>12</v>
      </c>
      <c r="S13" s="2882"/>
      <c r="T13" s="2893" t="e">
        <f t="shared" si="0"/>
        <v>#DIV/0!</v>
      </c>
      <c r="U13" s="2882"/>
      <c r="V13" s="2893" t="e">
        <f t="shared" si="1"/>
        <v>#DIV/0!</v>
      </c>
      <c r="W13" s="3432"/>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5"/>
      <c r="B14" s="1448"/>
      <c r="C14" s="1449"/>
      <c r="D14" s="1450"/>
      <c r="E14" s="1450"/>
      <c r="F14" s="1451"/>
      <c r="G14" s="1452" t="s">
        <v>949</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6"/>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3" t="s">
        <v>1838</v>
      </c>
      <c r="B16" s="1424" t="s">
        <v>950</v>
      </c>
      <c r="C16" s="1052" t="e">
        <f>ROUND(IF(F17="与级别开发程度一致",0,(G17-E17)/C17),0)</f>
        <v>#DIV/0!</v>
      </c>
      <c r="D16" s="3440" t="s">
        <v>954</v>
      </c>
      <c r="E16" s="3441"/>
      <c r="F16" s="3440" t="s">
        <v>951</v>
      </c>
      <c r="G16" s="3441"/>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7"/>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5" t="s">
        <v>955</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43633</v>
      </c>
      <c r="H19" s="1464"/>
      <c r="I19" s="2741" t="str">
        <f>IF(H19="季度增幅（自定义）",SUMIF(N21:N24,E2,O21:O24),"")</f>
        <v/>
      </c>
      <c r="J19" s="1460"/>
      <c r="K19" s="3154"/>
      <c r="L19" s="2993" t="s">
        <v>2839</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6"/>
      <c r="L20" s="2995" t="s">
        <v>2840</v>
      </c>
      <c r="M20" s="3163">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54"/>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8"/>
      <c r="L24" s="1470"/>
      <c r="M24" s="1470"/>
      <c r="N24" s="1467" t="s">
        <v>981</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4" t="s">
        <v>2646</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0"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2979</v>
      </c>
      <c r="C41" s="839" t="e">
        <f>ROUND(POWER(1+E41,H41-G41)*(POWER(1+E41,G41)-1)/(POWER(1+E41,H41)-1),4)</f>
        <v>#DIV/0!</v>
      </c>
      <c r="D41" s="378" t="s">
        <v>2977</v>
      </c>
      <c r="E41" s="3149">
        <f>G20</f>
        <v>0</v>
      </c>
      <c r="F41" s="378" t="s">
        <v>2978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2249</v>
      </c>
      <c r="G46" s="2396" t="s">
        <v>1014</v>
      </c>
      <c r="H46" s="2379" t="s">
        <v>2417</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较差</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较差</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t="str">
        <f>估价对象房地状况!C24</f>
        <v>支路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较差</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2250</v>
      </c>
      <c r="G57" s="2396" t="s">
        <v>1014</v>
      </c>
      <c r="H57" s="2379" t="s">
        <v>2417</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较差</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支路</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较差</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2251</v>
      </c>
      <c r="G68" s="2396" t="s">
        <v>1014</v>
      </c>
      <c r="H68" s="2379" t="s">
        <v>2417</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较差</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支路</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较差</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2252</v>
      </c>
      <c r="G79" s="2396" t="s">
        <v>1014</v>
      </c>
      <c r="H79" s="2379" t="s">
        <v>2417</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8" t="s">
        <v>1633</v>
      </c>
      <c r="B90" s="3448"/>
      <c r="C90" s="3448"/>
      <c r="D90" s="3448"/>
      <c r="E90" s="3448"/>
      <c r="F90" s="3448"/>
      <c r="G90" s="3448"/>
      <c r="H90" s="3448"/>
      <c r="I90" s="3448"/>
      <c r="J90" s="3448"/>
      <c r="K90" s="2415"/>
      <c r="L90" s="2415"/>
      <c r="M90" s="2415"/>
      <c r="N90" s="2415"/>
    </row>
    <row r="91" spans="1:40">
      <c r="A91" s="3449" t="s">
        <v>1443</v>
      </c>
      <c r="B91" s="3449" t="s">
        <v>1634</v>
      </c>
      <c r="C91" s="1136" t="s">
        <v>1635</v>
      </c>
      <c r="D91" s="1137"/>
      <c r="E91" s="1137"/>
      <c r="F91" s="1137"/>
      <c r="G91" s="1137"/>
      <c r="H91" s="1137"/>
      <c r="I91" s="1137"/>
      <c r="J91" s="1138"/>
      <c r="K91" s="1130"/>
      <c r="L91" s="1130"/>
      <c r="M91" s="1130"/>
      <c r="N91" s="1130"/>
    </row>
    <row r="92" spans="1:40">
      <c r="A92" s="3449"/>
      <c r="B92" s="344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5"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6"/>
      <c r="B108" s="343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7"/>
      <c r="B109" s="343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2" t="s">
        <v>1639</v>
      </c>
      <c r="B110" s="3442"/>
      <c r="C110" s="3442"/>
      <c r="D110" s="3442"/>
      <c r="E110" s="3442"/>
      <c r="F110" s="3442"/>
      <c r="G110" s="3442"/>
      <c r="H110" s="3442"/>
      <c r="I110" s="3442"/>
      <c r="J110" s="3442"/>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9" t="s">
        <v>1007</v>
      </c>
      <c r="B18" s="1150" t="s">
        <v>1446</v>
      </c>
      <c r="C18" s="1127" t="s">
        <v>1447</v>
      </c>
      <c r="D18" s="1128"/>
      <c r="E18" s="1150">
        <v>1</v>
      </c>
      <c r="F18" s="1129" t="s">
        <v>1448</v>
      </c>
      <c r="G18" s="1130"/>
      <c r="H18" s="1101"/>
      <c r="I18" s="1101"/>
    </row>
    <row r="19" spans="1:9" s="1585" customFormat="1" ht="19.5" customHeight="1">
      <c r="A19" s="3449"/>
      <c r="B19" s="3449" t="s">
        <v>1449</v>
      </c>
      <c r="C19" s="1127" t="s">
        <v>1450</v>
      </c>
      <c r="D19" s="1128"/>
      <c r="E19" s="1150">
        <v>0.9</v>
      </c>
      <c r="F19" s="1129" t="s">
        <v>1451</v>
      </c>
      <c r="G19" s="1130"/>
      <c r="H19" s="1101"/>
      <c r="I19" s="1101"/>
    </row>
    <row r="20" spans="1:9" s="1585" customFormat="1" ht="19.5" customHeight="1">
      <c r="A20" s="3449"/>
      <c r="B20" s="3449"/>
      <c r="C20" s="1127" t="s">
        <v>1452</v>
      </c>
      <c r="D20" s="1128"/>
      <c r="E20" s="1150">
        <v>1.1000000000000001</v>
      </c>
      <c r="F20" s="1129" t="s">
        <v>1453</v>
      </c>
      <c r="G20" s="1130"/>
      <c r="H20" s="1101"/>
      <c r="I20" s="1101"/>
    </row>
    <row r="21" spans="1:9" s="1585" customFormat="1" ht="19.5" customHeight="1">
      <c r="A21" s="3449"/>
      <c r="B21" s="3449"/>
      <c r="C21" s="1127" t="s">
        <v>1454</v>
      </c>
      <c r="D21" s="1128"/>
      <c r="E21" s="1150">
        <v>0.8</v>
      </c>
      <c r="F21" s="1129" t="s">
        <v>1455</v>
      </c>
      <c r="G21" s="1130"/>
      <c r="H21" s="1101"/>
      <c r="I21" s="1101"/>
    </row>
    <row r="22" spans="1:9" s="1585" customFormat="1" ht="19.5" customHeight="1">
      <c r="A22" s="3449"/>
      <c r="B22" s="3449"/>
      <c r="C22" s="1127" t="s">
        <v>1456</v>
      </c>
      <c r="D22" s="1128"/>
      <c r="E22" s="1150">
        <v>0.5</v>
      </c>
      <c r="F22" s="1129"/>
      <c r="G22" s="1130"/>
      <c r="H22" s="1101"/>
      <c r="I22" s="1101"/>
    </row>
    <row r="23" spans="1:9" s="1585" customFormat="1" ht="19.5" customHeight="1">
      <c r="A23" s="3449" t="s">
        <v>1029</v>
      </c>
      <c r="B23" s="1150" t="s">
        <v>1446</v>
      </c>
      <c r="C23" s="1127" t="s">
        <v>1457</v>
      </c>
      <c r="D23" s="1128"/>
      <c r="E23" s="1150">
        <v>1</v>
      </c>
      <c r="F23" s="1129" t="s">
        <v>1458</v>
      </c>
      <c r="G23" s="1130"/>
      <c r="H23" s="1101"/>
      <c r="I23" s="1101"/>
    </row>
    <row r="24" spans="1:9" s="1585" customFormat="1" ht="19.5" customHeight="1">
      <c r="A24" s="3449"/>
      <c r="B24" s="3449" t="s">
        <v>1449</v>
      </c>
      <c r="C24" s="1127" t="s">
        <v>1459</v>
      </c>
      <c r="D24" s="1128"/>
      <c r="E24" s="1150">
        <v>0.5</v>
      </c>
      <c r="F24" s="1129"/>
      <c r="G24" s="1130"/>
      <c r="H24" s="1101"/>
      <c r="I24" s="1101"/>
    </row>
    <row r="25" spans="1:9" s="1585" customFormat="1" ht="19.5" customHeight="1">
      <c r="A25" s="3449"/>
      <c r="B25" s="3449"/>
      <c r="C25" s="1127" t="s">
        <v>1460</v>
      </c>
      <c r="D25" s="1128"/>
      <c r="E25" s="1150">
        <v>1.1000000000000001</v>
      </c>
      <c r="F25" s="1129"/>
      <c r="G25" s="1130"/>
      <c r="H25" s="1101"/>
      <c r="I25" s="1101"/>
    </row>
    <row r="26" spans="1:9" s="1585" customFormat="1" ht="19.5" customHeight="1">
      <c r="A26" s="3449"/>
      <c r="B26" s="3449"/>
      <c r="C26" s="1127" t="s">
        <v>1461</v>
      </c>
      <c r="D26" s="1128"/>
      <c r="E26" s="1150">
        <v>1.1000000000000001</v>
      </c>
      <c r="F26" s="1129"/>
      <c r="G26" s="1130"/>
      <c r="H26" s="1101"/>
      <c r="I26" s="1101"/>
    </row>
    <row r="27" spans="1:9" s="1585" customFormat="1" ht="19.5" customHeight="1">
      <c r="A27" s="3449"/>
      <c r="B27" s="3449"/>
      <c r="C27" s="1127" t="s">
        <v>1462</v>
      </c>
      <c r="D27" s="1128"/>
      <c r="E27" s="1150">
        <v>0.9</v>
      </c>
      <c r="F27" s="1129" t="s">
        <v>1463</v>
      </c>
      <c r="G27" s="1130"/>
      <c r="H27" s="1101"/>
      <c r="I27" s="1101"/>
    </row>
    <row r="28" spans="1:9" s="1585" customFormat="1" ht="19.5" customHeight="1">
      <c r="A28" s="3449"/>
      <c r="B28" s="3449"/>
      <c r="C28" s="1127" t="s">
        <v>1464</v>
      </c>
      <c r="D28" s="1128"/>
      <c r="E28" s="1150">
        <v>0.9</v>
      </c>
      <c r="F28" s="1129" t="s">
        <v>1465</v>
      </c>
      <c r="G28" s="1130"/>
      <c r="H28" s="1101"/>
      <c r="I28" s="1101"/>
    </row>
    <row r="29" spans="1:9" s="1585" customFormat="1" ht="19.5" customHeight="1">
      <c r="A29" s="3449"/>
      <c r="B29" s="3449"/>
      <c r="C29" s="1127" t="s">
        <v>1466</v>
      </c>
      <c r="D29" s="1128"/>
      <c r="E29" s="1150">
        <v>0.9</v>
      </c>
      <c r="F29" s="1129" t="s">
        <v>1467</v>
      </c>
      <c r="G29" s="1130"/>
      <c r="H29" s="1101"/>
      <c r="I29" s="1101"/>
    </row>
    <row r="30" spans="1:9" s="1585" customFormat="1" ht="19.5" customHeight="1">
      <c r="A30" s="3449"/>
      <c r="B30" s="3449"/>
      <c r="C30" s="1127" t="s">
        <v>1468</v>
      </c>
      <c r="D30" s="1128"/>
      <c r="E30" s="1150">
        <v>0.9</v>
      </c>
      <c r="F30" s="1129" t="s">
        <v>1469</v>
      </c>
      <c r="G30" s="1130"/>
      <c r="H30" s="1101"/>
      <c r="I30" s="1101"/>
    </row>
    <row r="31" spans="1:9" s="1585" customFormat="1" ht="19.5" customHeight="1">
      <c r="A31" s="3449"/>
      <c r="B31" s="3449"/>
      <c r="C31" s="1127" t="s">
        <v>1470</v>
      </c>
      <c r="D31" s="1128"/>
      <c r="E31" s="1150">
        <v>0.8</v>
      </c>
      <c r="F31" s="1129" t="s">
        <v>1471</v>
      </c>
      <c r="G31" s="1130"/>
      <c r="H31" s="1101"/>
      <c r="I31" s="1101"/>
    </row>
    <row r="32" spans="1:9" s="1585" customFormat="1" ht="19.5" customHeight="1">
      <c r="A32" s="3449"/>
      <c r="B32" s="3449"/>
      <c r="C32" s="1127" t="s">
        <v>1472</v>
      </c>
      <c r="D32" s="1128"/>
      <c r="E32" s="1150">
        <v>0.8</v>
      </c>
      <c r="F32" s="1129" t="s">
        <v>1473</v>
      </c>
      <c r="G32" s="1130"/>
      <c r="H32" s="1101"/>
      <c r="I32" s="1101"/>
    </row>
    <row r="33" spans="1:9" s="1585" customFormat="1" ht="19.5" customHeight="1">
      <c r="A33" s="3449" t="s">
        <v>1474</v>
      </c>
      <c r="B33" s="1150" t="s">
        <v>1446</v>
      </c>
      <c r="C33" s="1127" t="s">
        <v>1475</v>
      </c>
      <c r="D33" s="1128"/>
      <c r="E33" s="1150">
        <v>1</v>
      </c>
      <c r="F33" s="1129" t="s">
        <v>1476</v>
      </c>
      <c r="G33" s="1130"/>
      <c r="H33" s="1101"/>
      <c r="I33" s="1101"/>
    </row>
    <row r="34" spans="1:9" s="1585" customFormat="1" ht="19.5" customHeight="1">
      <c r="A34" s="3449"/>
      <c r="B34" s="1150" t="s">
        <v>1449</v>
      </c>
      <c r="C34" s="1127" t="s">
        <v>1477</v>
      </c>
      <c r="D34" s="1128"/>
      <c r="E34" s="1150">
        <v>1.5</v>
      </c>
      <c r="F34" s="1129" t="s">
        <v>1478</v>
      </c>
      <c r="G34" s="1130"/>
      <c r="H34" s="1101"/>
      <c r="I34" s="1101"/>
    </row>
    <row r="35" spans="1:9" s="1585" customFormat="1" ht="19.5" customHeight="1">
      <c r="A35" s="3449" t="s">
        <v>1432</v>
      </c>
      <c r="B35" s="1150" t="s">
        <v>1446</v>
      </c>
      <c r="C35" s="1127" t="s">
        <v>1479</v>
      </c>
      <c r="D35" s="1128"/>
      <c r="E35" s="1150">
        <v>1</v>
      </c>
      <c r="F35" s="1129" t="s">
        <v>1480</v>
      </c>
      <c r="G35" s="1130"/>
      <c r="H35" s="1101"/>
      <c r="I35" s="1101"/>
    </row>
    <row r="36" spans="1:9" s="1585" customFormat="1" ht="19.5" customHeight="1">
      <c r="A36" s="3449"/>
      <c r="B36" s="3449" t="s">
        <v>1449</v>
      </c>
      <c r="C36" s="1127" t="s">
        <v>1481</v>
      </c>
      <c r="D36" s="1128"/>
      <c r="E36" s="1150">
        <v>1</v>
      </c>
      <c r="F36" s="1129" t="s">
        <v>1482</v>
      </c>
      <c r="G36" s="1130"/>
      <c r="H36" s="1101"/>
      <c r="I36" s="1101"/>
    </row>
    <row r="37" spans="1:9" s="1585" customFormat="1" ht="19.5" customHeight="1">
      <c r="A37" s="3449"/>
      <c r="B37" s="3449"/>
      <c r="C37" s="1127" t="s">
        <v>1483</v>
      </c>
      <c r="D37" s="1128"/>
      <c r="E37" s="1150">
        <v>1.5</v>
      </c>
      <c r="F37" s="1129" t="s">
        <v>1484</v>
      </c>
      <c r="G37" s="1130"/>
      <c r="H37" s="1101"/>
      <c r="I37" s="1101"/>
    </row>
    <row r="38" spans="1:9" s="1585" customFormat="1" ht="19.5" customHeight="1">
      <c r="A38" s="3449"/>
      <c r="B38" s="3449"/>
      <c r="C38" s="1127" t="s">
        <v>1485</v>
      </c>
      <c r="D38" s="1128"/>
      <c r="E38" s="1150">
        <v>1</v>
      </c>
      <c r="F38" s="1129" t="s">
        <v>1486</v>
      </c>
      <c r="G38" s="1130"/>
      <c r="H38" s="1101"/>
      <c r="I38" s="1101"/>
    </row>
    <row r="39" spans="1:9" s="1585" customFormat="1" ht="19.5" customHeight="1">
      <c r="A39" s="3449"/>
      <c r="B39" s="344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9" t="s">
        <v>1501</v>
      </c>
      <c r="C61" s="1064" t="s">
        <v>1502</v>
      </c>
      <c r="D61" s="1064" t="s">
        <v>1503</v>
      </c>
      <c r="E61" s="1135">
        <v>0.5</v>
      </c>
      <c r="F61" s="1150">
        <v>80</v>
      </c>
      <c r="H61" s="1101">
        <f>SUMIF(C59:C119,基准地价!C8,E59:E119)</f>
        <v>0</v>
      </c>
    </row>
    <row r="62" spans="1:8" s="1101" customFormat="1" ht="24">
      <c r="A62" s="1150">
        <v>2</v>
      </c>
      <c r="B62" s="3449"/>
      <c r="C62" s="1064" t="s">
        <v>1504</v>
      </c>
      <c r="D62" s="1064" t="s">
        <v>1505</v>
      </c>
      <c r="E62" s="1135">
        <v>0.5</v>
      </c>
      <c r="F62" s="1150">
        <v>80</v>
      </c>
    </row>
    <row r="63" spans="1:8" s="1101" customFormat="1" ht="36">
      <c r="A63" s="1150">
        <v>3</v>
      </c>
      <c r="B63" s="3449"/>
      <c r="C63" s="1064" t="s">
        <v>1506</v>
      </c>
      <c r="D63" s="1064" t="s">
        <v>1507</v>
      </c>
      <c r="E63" s="1135">
        <v>0.5</v>
      </c>
      <c r="F63" s="1150">
        <v>80</v>
      </c>
    </row>
    <row r="64" spans="1:8" s="1101" customFormat="1" ht="36">
      <c r="A64" s="1150">
        <v>4</v>
      </c>
      <c r="B64" s="3449"/>
      <c r="C64" s="1064" t="s">
        <v>1508</v>
      </c>
      <c r="D64" s="1064" t="s">
        <v>1509</v>
      </c>
      <c r="E64" s="1135">
        <v>0.4</v>
      </c>
      <c r="F64" s="1150">
        <v>60</v>
      </c>
    </row>
    <row r="65" spans="1:6" s="1101" customFormat="1" ht="36">
      <c r="A65" s="1150">
        <v>5</v>
      </c>
      <c r="B65" s="3449"/>
      <c r="C65" s="1064" t="s">
        <v>1510</v>
      </c>
      <c r="D65" s="1064" t="s">
        <v>1511</v>
      </c>
      <c r="E65" s="1135">
        <v>0.2</v>
      </c>
      <c r="F65" s="1150">
        <v>30</v>
      </c>
    </row>
    <row r="66" spans="1:6" s="1101" customFormat="1" ht="36">
      <c r="A66" s="1150">
        <v>6</v>
      </c>
      <c r="B66" s="3449"/>
      <c r="C66" s="1064" t="s">
        <v>1512</v>
      </c>
      <c r="D66" s="1064" t="s">
        <v>1513</v>
      </c>
      <c r="E66" s="1135">
        <v>0.3</v>
      </c>
      <c r="F66" s="1150">
        <v>50</v>
      </c>
    </row>
    <row r="67" spans="1:6" s="1101" customFormat="1" ht="36">
      <c r="A67" s="1150">
        <v>7</v>
      </c>
      <c r="B67" s="3449"/>
      <c r="C67" s="1064" t="s">
        <v>1514</v>
      </c>
      <c r="D67" s="1064" t="s">
        <v>1515</v>
      </c>
      <c r="E67" s="1135">
        <v>0.2</v>
      </c>
      <c r="F67" s="1150">
        <v>30</v>
      </c>
    </row>
    <row r="68" spans="1:6" s="1101" customFormat="1" ht="36">
      <c r="A68" s="1150">
        <v>8</v>
      </c>
      <c r="B68" s="3449"/>
      <c r="C68" s="1064" t="s">
        <v>1516</v>
      </c>
      <c r="D68" s="1064" t="s">
        <v>1517</v>
      </c>
      <c r="E68" s="1135">
        <v>0.2</v>
      </c>
      <c r="F68" s="1150">
        <v>30</v>
      </c>
    </row>
    <row r="69" spans="1:6" s="1101" customFormat="1" ht="36">
      <c r="A69" s="1150">
        <v>9</v>
      </c>
      <c r="B69" s="3449"/>
      <c r="C69" s="1064" t="s">
        <v>1518</v>
      </c>
      <c r="D69" s="1064" t="s">
        <v>1519</v>
      </c>
      <c r="E69" s="1135">
        <v>0.2</v>
      </c>
      <c r="F69" s="1150">
        <v>30</v>
      </c>
    </row>
    <row r="70" spans="1:6" s="1101" customFormat="1" ht="48">
      <c r="A70" s="1150">
        <v>10</v>
      </c>
      <c r="B70" s="3449"/>
      <c r="C70" s="1064" t="s">
        <v>1520</v>
      </c>
      <c r="D70" s="1064" t="s">
        <v>1521</v>
      </c>
      <c r="E70" s="1135">
        <v>0.2</v>
      </c>
      <c r="F70" s="1150">
        <v>30</v>
      </c>
    </row>
    <row r="71" spans="1:6" s="1101" customFormat="1" ht="48">
      <c r="A71" s="1150">
        <v>11</v>
      </c>
      <c r="B71" s="3449"/>
      <c r="C71" s="1064" t="s">
        <v>1522</v>
      </c>
      <c r="D71" s="1064" t="s">
        <v>1523</v>
      </c>
      <c r="E71" s="1135">
        <v>0.2</v>
      </c>
      <c r="F71" s="1150">
        <v>30</v>
      </c>
    </row>
    <row r="72" spans="1:6" s="1101" customFormat="1" ht="36">
      <c r="A72" s="1150">
        <v>12</v>
      </c>
      <c r="B72" s="3449"/>
      <c r="C72" s="1064" t="s">
        <v>1524</v>
      </c>
      <c r="D72" s="1064" t="s">
        <v>1525</v>
      </c>
      <c r="E72" s="1135">
        <v>0.5</v>
      </c>
      <c r="F72" s="1150">
        <v>80</v>
      </c>
    </row>
    <row r="73" spans="1:6" s="1101" customFormat="1" ht="24">
      <c r="A73" s="1150">
        <v>13</v>
      </c>
      <c r="B73" s="3449"/>
      <c r="C73" s="1064" t="s">
        <v>1526</v>
      </c>
      <c r="D73" s="1064" t="s">
        <v>1527</v>
      </c>
      <c r="E73" s="1135">
        <v>0.4</v>
      </c>
      <c r="F73" s="1150">
        <v>60</v>
      </c>
    </row>
    <row r="74" spans="1:6" s="1101" customFormat="1" ht="24">
      <c r="A74" s="1150">
        <v>14</v>
      </c>
      <c r="B74" s="3449"/>
      <c r="C74" s="1064" t="s">
        <v>1528</v>
      </c>
      <c r="D74" s="1064" t="s">
        <v>1529</v>
      </c>
      <c r="E74" s="1135">
        <v>0.2</v>
      </c>
      <c r="F74" s="1150">
        <v>30</v>
      </c>
    </row>
    <row r="75" spans="1:6" s="1101" customFormat="1" ht="24">
      <c r="A75" s="1150">
        <v>15</v>
      </c>
      <c r="B75" s="3449"/>
      <c r="C75" s="1064" t="s">
        <v>1530</v>
      </c>
      <c r="D75" s="1064" t="s">
        <v>1531</v>
      </c>
      <c r="E75" s="1135">
        <v>0.2</v>
      </c>
      <c r="F75" s="1150">
        <v>30</v>
      </c>
    </row>
    <row r="76" spans="1:6" s="1101" customFormat="1" ht="24">
      <c r="A76" s="1150">
        <v>16</v>
      </c>
      <c r="B76" s="3449" t="s">
        <v>1532</v>
      </c>
      <c r="C76" s="1064" t="s">
        <v>1533</v>
      </c>
      <c r="D76" s="1064" t="s">
        <v>1534</v>
      </c>
      <c r="E76" s="1135">
        <v>0.5</v>
      </c>
      <c r="F76" s="1150">
        <v>80</v>
      </c>
    </row>
    <row r="77" spans="1:6" s="1101" customFormat="1" ht="24">
      <c r="A77" s="1150">
        <v>17</v>
      </c>
      <c r="B77" s="3449"/>
      <c r="C77" s="1064" t="s">
        <v>1535</v>
      </c>
      <c r="D77" s="1064" t="s">
        <v>1536</v>
      </c>
      <c r="E77" s="1135">
        <v>0.5</v>
      </c>
      <c r="F77" s="1150">
        <v>80</v>
      </c>
    </row>
    <row r="78" spans="1:6" s="1101" customFormat="1" ht="24">
      <c r="A78" s="1150">
        <v>18</v>
      </c>
      <c r="B78" s="3449"/>
      <c r="C78" s="1064" t="s">
        <v>1537</v>
      </c>
      <c r="D78" s="1064" t="s">
        <v>1538</v>
      </c>
      <c r="E78" s="1135">
        <v>0.2</v>
      </c>
      <c r="F78" s="1150">
        <v>30</v>
      </c>
    </row>
    <row r="79" spans="1:6" s="1101" customFormat="1" ht="24">
      <c r="A79" s="1150">
        <v>19</v>
      </c>
      <c r="B79" s="3449"/>
      <c r="C79" s="1064" t="s">
        <v>1539</v>
      </c>
      <c r="D79" s="1064" t="s">
        <v>1540</v>
      </c>
      <c r="E79" s="1135">
        <v>0.5</v>
      </c>
      <c r="F79" s="1150">
        <v>80</v>
      </c>
    </row>
    <row r="80" spans="1:6" s="1101" customFormat="1" ht="36">
      <c r="A80" s="1150">
        <v>20</v>
      </c>
      <c r="B80" s="3449"/>
      <c r="C80" s="1064" t="s">
        <v>1541</v>
      </c>
      <c r="D80" s="1064" t="s">
        <v>1542</v>
      </c>
      <c r="E80" s="1135">
        <v>0.2</v>
      </c>
      <c r="F80" s="1150">
        <v>30</v>
      </c>
    </row>
    <row r="81" spans="1:6" s="1101" customFormat="1" ht="36">
      <c r="A81" s="1150">
        <v>21</v>
      </c>
      <c r="B81" s="3449"/>
      <c r="C81" s="1064" t="s">
        <v>1543</v>
      </c>
      <c r="D81" s="1064" t="s">
        <v>1544</v>
      </c>
      <c r="E81" s="1135">
        <v>0.2</v>
      </c>
      <c r="F81" s="1150">
        <v>30</v>
      </c>
    </row>
    <row r="82" spans="1:6" s="1101" customFormat="1" ht="48">
      <c r="A82" s="1150">
        <v>22</v>
      </c>
      <c r="B82" s="3449"/>
      <c r="C82" s="1064" t="s">
        <v>1545</v>
      </c>
      <c r="D82" s="1064" t="s">
        <v>1546</v>
      </c>
      <c r="E82" s="1135">
        <v>0.2</v>
      </c>
      <c r="F82" s="1150">
        <v>30</v>
      </c>
    </row>
    <row r="83" spans="1:6" s="1101" customFormat="1" ht="48">
      <c r="A83" s="1150">
        <v>23</v>
      </c>
      <c r="B83" s="3449"/>
      <c r="C83" s="1064" t="s">
        <v>1547</v>
      </c>
      <c r="D83" s="1064" t="s">
        <v>1548</v>
      </c>
      <c r="E83" s="1135">
        <v>0.2</v>
      </c>
      <c r="F83" s="1150">
        <v>30</v>
      </c>
    </row>
    <row r="84" spans="1:6" s="1101" customFormat="1" ht="36">
      <c r="A84" s="1150">
        <v>24</v>
      </c>
      <c r="B84" s="3449"/>
      <c r="C84" s="1064" t="s">
        <v>1549</v>
      </c>
      <c r="D84" s="1064" t="s">
        <v>1550</v>
      </c>
      <c r="E84" s="1135">
        <v>0.2</v>
      </c>
      <c r="F84" s="1150">
        <v>30</v>
      </c>
    </row>
    <row r="85" spans="1:6" s="1101" customFormat="1" ht="36">
      <c r="A85" s="1150">
        <v>25</v>
      </c>
      <c r="B85" s="3449"/>
      <c r="C85" s="1064" t="s">
        <v>1551</v>
      </c>
      <c r="D85" s="1064" t="s">
        <v>1552</v>
      </c>
      <c r="E85" s="1135">
        <v>0.5</v>
      </c>
      <c r="F85" s="1150">
        <v>80</v>
      </c>
    </row>
    <row r="86" spans="1:6" s="1101" customFormat="1" ht="36">
      <c r="A86" s="1150">
        <v>26</v>
      </c>
      <c r="B86" s="3449"/>
      <c r="C86" s="1064" t="s">
        <v>1553</v>
      </c>
      <c r="D86" s="1064" t="s">
        <v>1554</v>
      </c>
      <c r="E86" s="1135">
        <v>0.2</v>
      </c>
      <c r="F86" s="1150">
        <v>30</v>
      </c>
    </row>
    <row r="87" spans="1:6" s="1101" customFormat="1" ht="36">
      <c r="A87" s="1150">
        <v>27</v>
      </c>
      <c r="B87" s="3449"/>
      <c r="C87" s="1064" t="s">
        <v>1555</v>
      </c>
      <c r="D87" s="1064" t="s">
        <v>1556</v>
      </c>
      <c r="E87" s="1135">
        <v>0.2</v>
      </c>
      <c r="F87" s="1150">
        <v>30</v>
      </c>
    </row>
    <row r="88" spans="1:6" s="1101" customFormat="1" ht="36">
      <c r="A88" s="1150">
        <v>28</v>
      </c>
      <c r="B88" s="3449"/>
      <c r="C88" s="1064" t="s">
        <v>1557</v>
      </c>
      <c r="D88" s="1064" t="s">
        <v>1558</v>
      </c>
      <c r="E88" s="1135">
        <v>0.2</v>
      </c>
      <c r="F88" s="1150">
        <v>30</v>
      </c>
    </row>
    <row r="89" spans="1:6" s="1101" customFormat="1" ht="24">
      <c r="A89" s="1150">
        <v>29</v>
      </c>
      <c r="B89" s="3449"/>
      <c r="C89" s="1064" t="s">
        <v>1559</v>
      </c>
      <c r="D89" s="1064" t="s">
        <v>1560</v>
      </c>
      <c r="E89" s="1135">
        <v>0.2</v>
      </c>
      <c r="F89" s="1150">
        <v>30</v>
      </c>
    </row>
    <row r="90" spans="1:6" s="1101" customFormat="1" ht="24">
      <c r="A90" s="1150">
        <v>30</v>
      </c>
      <c r="B90" s="3449"/>
      <c r="C90" s="1064" t="s">
        <v>1561</v>
      </c>
      <c r="D90" s="1064" t="s">
        <v>1562</v>
      </c>
      <c r="E90" s="1135">
        <v>0.2</v>
      </c>
      <c r="F90" s="1150">
        <v>30</v>
      </c>
    </row>
    <row r="91" spans="1:6" s="1101" customFormat="1" ht="36">
      <c r="A91" s="1150">
        <v>31</v>
      </c>
      <c r="B91" s="3449"/>
      <c r="C91" s="1064" t="s">
        <v>1563</v>
      </c>
      <c r="D91" s="1064" t="s">
        <v>1564</v>
      </c>
      <c r="E91" s="1135">
        <v>0.2</v>
      </c>
      <c r="F91" s="1150">
        <v>30</v>
      </c>
    </row>
    <row r="92" spans="1:6" s="1101" customFormat="1" ht="24">
      <c r="A92" s="1150">
        <v>32</v>
      </c>
      <c r="B92" s="3449" t="s">
        <v>1565</v>
      </c>
      <c r="C92" s="1150" t="s">
        <v>1566</v>
      </c>
      <c r="D92" s="1064" t="s">
        <v>1567</v>
      </c>
      <c r="E92" s="1135">
        <v>0.2</v>
      </c>
      <c r="F92" s="1150">
        <v>30</v>
      </c>
    </row>
    <row r="93" spans="1:6" s="1101" customFormat="1" ht="36">
      <c r="A93" s="1150">
        <v>33</v>
      </c>
      <c r="B93" s="3449"/>
      <c r="C93" s="1150" t="s">
        <v>1568</v>
      </c>
      <c r="D93" s="1064" t="s">
        <v>1569</v>
      </c>
      <c r="E93" s="1135">
        <v>0.2</v>
      </c>
      <c r="F93" s="1150">
        <v>30</v>
      </c>
    </row>
    <row r="94" spans="1:6" s="1101" customFormat="1" ht="48">
      <c r="A94" s="1150">
        <v>34</v>
      </c>
      <c r="B94" s="3449"/>
      <c r="C94" s="1150" t="s">
        <v>1570</v>
      </c>
      <c r="D94" s="1064" t="s">
        <v>1571</v>
      </c>
      <c r="E94" s="1135">
        <v>0.2</v>
      </c>
      <c r="F94" s="1150">
        <v>30</v>
      </c>
    </row>
    <row r="95" spans="1:6" s="1101" customFormat="1" ht="36">
      <c r="A95" s="1150">
        <v>35</v>
      </c>
      <c r="B95" s="3449"/>
      <c r="C95" s="1150" t="s">
        <v>1572</v>
      </c>
      <c r="D95" s="1064" t="s">
        <v>1573</v>
      </c>
      <c r="E95" s="1135">
        <v>0.2</v>
      </c>
      <c r="F95" s="1150">
        <v>30</v>
      </c>
    </row>
    <row r="96" spans="1:6" s="1101" customFormat="1" ht="48">
      <c r="A96" s="1150">
        <v>36</v>
      </c>
      <c r="B96" s="3449"/>
      <c r="C96" s="1064" t="s">
        <v>1574</v>
      </c>
      <c r="D96" s="1064" t="s">
        <v>1575</v>
      </c>
      <c r="E96" s="1135">
        <v>0.2</v>
      </c>
      <c r="F96" s="1150">
        <v>30</v>
      </c>
    </row>
    <row r="97" spans="1:6" s="1101" customFormat="1" ht="36">
      <c r="A97" s="1150">
        <v>37</v>
      </c>
      <c r="B97" s="3449"/>
      <c r="C97" s="1150" t="s">
        <v>1576</v>
      </c>
      <c r="D97" s="1064" t="s">
        <v>1577</v>
      </c>
      <c r="E97" s="1135">
        <v>0.2</v>
      </c>
      <c r="F97" s="1150">
        <v>30</v>
      </c>
    </row>
    <row r="98" spans="1:6" s="1101" customFormat="1" ht="36">
      <c r="A98" s="1150">
        <v>38</v>
      </c>
      <c r="B98" s="3449"/>
      <c r="C98" s="1150" t="s">
        <v>1578</v>
      </c>
      <c r="D98" s="1064" t="s">
        <v>1579</v>
      </c>
      <c r="E98" s="1135">
        <v>0.2</v>
      </c>
      <c r="F98" s="1150">
        <v>30</v>
      </c>
    </row>
    <row r="99" spans="1:6" s="1101" customFormat="1" ht="36">
      <c r="A99" s="1150">
        <v>39</v>
      </c>
      <c r="B99" s="3449" t="s">
        <v>1580</v>
      </c>
      <c r="C99" s="1150" t="s">
        <v>1581</v>
      </c>
      <c r="D99" s="1064" t="s">
        <v>1582</v>
      </c>
      <c r="E99" s="1135">
        <v>0.3</v>
      </c>
      <c r="F99" s="1150">
        <v>50</v>
      </c>
    </row>
    <row r="100" spans="1:6" s="1101" customFormat="1" ht="24">
      <c r="A100" s="1150">
        <v>40</v>
      </c>
      <c r="B100" s="3449"/>
      <c r="C100" s="1150" t="s">
        <v>1583</v>
      </c>
      <c r="D100" s="1064" t="s">
        <v>1584</v>
      </c>
      <c r="E100" s="1135">
        <v>0.2</v>
      </c>
      <c r="F100" s="1150">
        <v>30</v>
      </c>
    </row>
    <row r="101" spans="1:6" s="1101" customFormat="1" ht="36">
      <c r="A101" s="1150">
        <v>41</v>
      </c>
      <c r="B101" s="344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9" t="s">
        <v>1595</v>
      </c>
      <c r="C105" s="1150" t="s">
        <v>1596</v>
      </c>
      <c r="D105" s="1064" t="s">
        <v>1597</v>
      </c>
      <c r="E105" s="1135">
        <v>0.2</v>
      </c>
      <c r="F105" s="1150">
        <v>30</v>
      </c>
    </row>
    <row r="106" spans="1:6" s="1101" customFormat="1" ht="36">
      <c r="A106" s="1150">
        <v>46</v>
      </c>
      <c r="B106" s="3449"/>
      <c r="C106" s="1150" t="s">
        <v>1598</v>
      </c>
      <c r="D106" s="1064" t="s">
        <v>1599</v>
      </c>
      <c r="E106" s="1135">
        <v>0.2</v>
      </c>
      <c r="F106" s="1150">
        <v>30</v>
      </c>
    </row>
    <row r="107" spans="1:6" s="1101" customFormat="1" ht="36">
      <c r="A107" s="1150">
        <v>47</v>
      </c>
      <c r="B107" s="3449" t="s">
        <v>1600</v>
      </c>
      <c r="C107" s="1150" t="s">
        <v>1601</v>
      </c>
      <c r="D107" s="1064" t="s">
        <v>1602</v>
      </c>
      <c r="E107" s="1135">
        <v>0.3</v>
      </c>
      <c r="F107" s="1150">
        <v>50</v>
      </c>
    </row>
    <row r="108" spans="1:6" s="1101" customFormat="1" ht="36">
      <c r="A108" s="1150">
        <v>48</v>
      </c>
      <c r="B108" s="344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9" t="s">
        <v>1611</v>
      </c>
      <c r="C111" s="1150" t="s">
        <v>1612</v>
      </c>
      <c r="D111" s="1064" t="s">
        <v>1613</v>
      </c>
      <c r="E111" s="1135">
        <v>0.2</v>
      </c>
      <c r="F111" s="1150">
        <v>30</v>
      </c>
    </row>
    <row r="112" spans="1:6" s="1101" customFormat="1" ht="24">
      <c r="A112" s="1150">
        <v>52</v>
      </c>
      <c r="B112" s="3449"/>
      <c r="C112" s="1150" t="s">
        <v>1614</v>
      </c>
      <c r="D112" s="1064" t="s">
        <v>1615</v>
      </c>
      <c r="E112" s="1135">
        <v>0.2</v>
      </c>
      <c r="F112" s="1150">
        <v>30</v>
      </c>
    </row>
    <row r="113" spans="1:14" s="1101" customFormat="1" ht="24">
      <c r="A113" s="1150">
        <v>53</v>
      </c>
      <c r="B113" s="344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9" t="s">
        <v>1624</v>
      </c>
      <c r="C116" s="1150" t="s">
        <v>1625</v>
      </c>
      <c r="D116" s="1064" t="s">
        <v>1626</v>
      </c>
      <c r="E116" s="1135">
        <v>0.2</v>
      </c>
      <c r="F116" s="1150">
        <v>30</v>
      </c>
    </row>
    <row r="117" spans="1:14" ht="36">
      <c r="A117" s="1150">
        <v>57</v>
      </c>
      <c r="B117" s="344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8" t="s">
        <v>1633</v>
      </c>
      <c r="B121" s="3448"/>
      <c r="C121" s="3448"/>
      <c r="D121" s="3448"/>
      <c r="E121" s="3448"/>
      <c r="F121" s="3448"/>
      <c r="G121" s="3448"/>
      <c r="H121" s="3448"/>
      <c r="I121" s="3448"/>
      <c r="J121" s="344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3" t="s">
        <v>1039</v>
      </c>
      <c r="B1" s="3453"/>
      <c r="C1" s="3453"/>
      <c r="D1" s="3453"/>
      <c r="E1" s="3453"/>
      <c r="F1" s="345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4" t="s">
        <v>1052</v>
      </c>
      <c r="B2" s="3454"/>
      <c r="C2" s="3454"/>
      <c r="D2" s="3454"/>
      <c r="E2" s="3454"/>
      <c r="F2" s="345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7" t="s">
        <v>2078</v>
      </c>
      <c r="B1" s="3457"/>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1096</v>
      </c>
      <c r="B6" s="1845" t="s">
        <v>2087</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2088</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2089</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2090</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2091</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2092</v>
      </c>
      <c r="C72" s="1855"/>
      <c r="D72" s="1855"/>
      <c r="E72" s="1855"/>
      <c r="F72" s="1847">
        <v>0.05</v>
      </c>
    </row>
    <row r="73" spans="1:6" ht="14.25" thickBot="1">
      <c r="A73" s="1841" t="s">
        <v>925</v>
      </c>
      <c r="B73" s="1845" t="s">
        <v>2093</v>
      </c>
      <c r="C73" s="1855"/>
      <c r="D73" s="1855"/>
      <c r="E73" s="1855"/>
      <c r="F73" s="1847">
        <v>0.05</v>
      </c>
    </row>
    <row r="74" spans="1:6" ht="14.25" thickBot="1">
      <c r="A74" s="1841" t="s">
        <v>925</v>
      </c>
      <c r="B74" s="1845" t="s">
        <v>2094</v>
      </c>
      <c r="C74" s="1855"/>
      <c r="D74" s="1855"/>
      <c r="E74" s="1855"/>
      <c r="F74" s="1847">
        <v>0.05</v>
      </c>
    </row>
    <row r="75" spans="1:6" ht="14.25" thickBot="1">
      <c r="A75" s="1849" t="s">
        <v>925</v>
      </c>
      <c r="B75" s="1856" t="s">
        <v>2095</v>
      </c>
      <c r="C75" s="1852"/>
      <c r="D75" s="1852"/>
      <c r="E75" s="1852"/>
      <c r="F75" s="1857">
        <v>0.05</v>
      </c>
    </row>
    <row r="76" spans="1:6" ht="14.25" thickBot="1">
      <c r="A76" s="1841" t="s">
        <v>1407</v>
      </c>
      <c r="B76" s="1842" t="s">
        <v>2096</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2097</v>
      </c>
      <c r="C102" s="1855"/>
      <c r="D102" s="1855"/>
      <c r="E102" s="1855"/>
      <c r="F102" s="1847">
        <v>0.05</v>
      </c>
    </row>
    <row r="103" spans="1:6" ht="24.75" thickBot="1">
      <c r="A103" s="1841" t="s">
        <v>1407</v>
      </c>
      <c r="B103" s="1845" t="s">
        <v>2098</v>
      </c>
      <c r="C103" s="1855"/>
      <c r="D103" s="1855"/>
      <c r="E103" s="1855"/>
      <c r="F103" s="1847">
        <v>0.05</v>
      </c>
    </row>
    <row r="104" spans="1:6" ht="14.25" thickBot="1">
      <c r="A104" s="1841" t="s">
        <v>1407</v>
      </c>
      <c r="B104" s="1845" t="s">
        <v>2099</v>
      </c>
      <c r="C104" s="1855"/>
      <c r="D104" s="1855"/>
      <c r="E104" s="1855"/>
      <c r="F104" s="1847">
        <v>0.05</v>
      </c>
    </row>
    <row r="105" spans="1:6" ht="14.25" thickBot="1">
      <c r="A105" s="1841" t="s">
        <v>1407</v>
      </c>
      <c r="B105" s="1845" t="s">
        <v>2100</v>
      </c>
      <c r="C105" s="1855"/>
      <c r="D105" s="1855"/>
      <c r="E105" s="1855"/>
      <c r="F105" s="1847">
        <v>0.05</v>
      </c>
    </row>
    <row r="106" spans="1:6" ht="14.25" thickBot="1">
      <c r="A106" s="1841" t="s">
        <v>1407</v>
      </c>
      <c r="B106" s="1845" t="s">
        <v>2101</v>
      </c>
      <c r="C106" s="1855"/>
      <c r="D106" s="1855"/>
      <c r="E106" s="1855"/>
      <c r="F106" s="1847">
        <v>0.05</v>
      </c>
    </row>
    <row r="107" spans="1:6" ht="24.75" thickBot="1">
      <c r="A107" s="1841" t="s">
        <v>1407</v>
      </c>
      <c r="B107" s="1845" t="s">
        <v>2102</v>
      </c>
      <c r="C107" s="1855"/>
      <c r="D107" s="1855"/>
      <c r="E107" s="1855"/>
      <c r="F107" s="1847">
        <v>0.05</v>
      </c>
    </row>
    <row r="108" spans="1:6" ht="24.75" thickBot="1">
      <c r="A108" s="1841" t="s">
        <v>1407</v>
      </c>
      <c r="B108" s="1845" t="s">
        <v>2103</v>
      </c>
      <c r="C108" s="1855"/>
      <c r="D108" s="1855"/>
      <c r="E108" s="1855"/>
      <c r="F108" s="1847">
        <v>0.05</v>
      </c>
    </row>
    <row r="109" spans="1:6" ht="24.75" thickBot="1">
      <c r="A109" s="1849" t="s">
        <v>1407</v>
      </c>
      <c r="B109" s="1856" t="s">
        <v>2104</v>
      </c>
      <c r="C109" s="1852"/>
      <c r="D109" s="1852"/>
      <c r="E109" s="1852"/>
      <c r="F109" s="1857">
        <v>0.05</v>
      </c>
    </row>
    <row r="110" spans="1:6" ht="14.25" thickBot="1">
      <c r="A110" s="1841" t="s">
        <v>1409</v>
      </c>
      <c r="B110" s="1842" t="s">
        <v>2105</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2106</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2107</v>
      </c>
      <c r="C138" s="1846">
        <v>0.105</v>
      </c>
      <c r="D138" s="1846">
        <v>0.125</v>
      </c>
      <c r="E138" s="1846">
        <v>0.112</v>
      </c>
      <c r="F138" s="1854"/>
    </row>
    <row r="139" spans="1:6" ht="14.25" thickBot="1">
      <c r="A139" s="1841" t="s">
        <v>1409</v>
      </c>
      <c r="B139" s="1845" t="s">
        <v>2108</v>
      </c>
      <c r="C139" s="1846">
        <v>0.127</v>
      </c>
      <c r="D139" s="1846">
        <v>0.127</v>
      </c>
      <c r="E139" s="1846">
        <v>0.122</v>
      </c>
      <c r="F139" s="1847">
        <v>0.13</v>
      </c>
    </row>
    <row r="140" spans="1:6" ht="14.25" thickBot="1">
      <c r="A140" s="1841" t="s">
        <v>1409</v>
      </c>
      <c r="B140" s="1845" t="s">
        <v>2109</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2110</v>
      </c>
      <c r="C144" s="1859">
        <v>0.126</v>
      </c>
      <c r="D144" s="1859">
        <v>0.126</v>
      </c>
      <c r="E144" s="1859">
        <v>0.121</v>
      </c>
      <c r="F144" s="1854"/>
    </row>
    <row r="145" spans="1:6" ht="14.25" thickBot="1">
      <c r="A145" s="1849" t="s">
        <v>1409</v>
      </c>
      <c r="B145" s="1860" t="s">
        <v>2111</v>
      </c>
      <c r="C145" s="1861"/>
      <c r="D145" s="1861"/>
      <c r="E145" s="1861"/>
      <c r="F145" s="1862">
        <v>0.05</v>
      </c>
    </row>
    <row r="146" spans="1:6" ht="24.75" thickBot="1">
      <c r="A146" s="1863" t="s">
        <v>1409</v>
      </c>
      <c r="B146" s="1848" t="s">
        <v>2112</v>
      </c>
      <c r="C146" s="1855"/>
      <c r="D146" s="1855"/>
      <c r="E146" s="1855"/>
      <c r="F146" s="1864">
        <v>0.05</v>
      </c>
    </row>
    <row r="147" spans="1:6" ht="24.75" thickBot="1">
      <c r="A147" s="1841" t="s">
        <v>1409</v>
      </c>
      <c r="B147" s="1845" t="s">
        <v>2113</v>
      </c>
      <c r="C147" s="1855"/>
      <c r="D147" s="1855"/>
      <c r="E147" s="1855"/>
      <c r="F147" s="1847">
        <v>0.05</v>
      </c>
    </row>
    <row r="148" spans="1:6" ht="24.75" thickBot="1">
      <c r="A148" s="1841" t="s">
        <v>1409</v>
      </c>
      <c r="B148" s="1845" t="s">
        <v>2114</v>
      </c>
      <c r="C148" s="1855"/>
      <c r="D148" s="1855"/>
      <c r="E148" s="1855"/>
      <c r="F148" s="1847">
        <v>0.05</v>
      </c>
    </row>
    <row r="149" spans="1:6" ht="24.75" thickBot="1">
      <c r="A149" s="1841" t="s">
        <v>1409</v>
      </c>
      <c r="B149" s="1845" t="s">
        <v>2115</v>
      </c>
      <c r="C149" s="1855"/>
      <c r="D149" s="1855"/>
      <c r="E149" s="1855"/>
      <c r="F149" s="1847">
        <v>0.05</v>
      </c>
    </row>
    <row r="150" spans="1:6" ht="24.75" thickBot="1">
      <c r="A150" s="1841" t="s">
        <v>1409</v>
      </c>
      <c r="B150" s="1845" t="s">
        <v>2116</v>
      </c>
      <c r="C150" s="1855"/>
      <c r="D150" s="1855"/>
      <c r="E150" s="1855"/>
      <c r="F150" s="1847">
        <v>0.05</v>
      </c>
    </row>
    <row r="151" spans="1:6" ht="24.75" thickBot="1">
      <c r="A151" s="1841" t="s">
        <v>1409</v>
      </c>
      <c r="B151" s="1845" t="s">
        <v>2117</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2118</v>
      </c>
      <c r="C153" s="1855"/>
      <c r="D153" s="1855"/>
      <c r="E153" s="1855"/>
      <c r="F153" s="1847">
        <v>0.05</v>
      </c>
    </row>
    <row r="154" spans="1:6" ht="14.25" thickBot="1">
      <c r="A154" s="1841" t="s">
        <v>1409</v>
      </c>
      <c r="B154" s="1845" t="s">
        <v>2119</v>
      </c>
      <c r="C154" s="1855"/>
      <c r="D154" s="1855"/>
      <c r="E154" s="1855"/>
      <c r="F154" s="1847">
        <v>0.05</v>
      </c>
    </row>
    <row r="155" spans="1:6" ht="24.75" thickBot="1">
      <c r="A155" s="1841" t="s">
        <v>1409</v>
      </c>
      <c r="B155" s="1845" t="s">
        <v>2120</v>
      </c>
      <c r="C155" s="1855"/>
      <c r="D155" s="1855"/>
      <c r="E155" s="1855"/>
      <c r="F155" s="1847">
        <v>0.05</v>
      </c>
    </row>
    <row r="156" spans="1:6" ht="24.75" thickBot="1">
      <c r="A156" s="1841" t="s">
        <v>1409</v>
      </c>
      <c r="B156" s="1845" t="s">
        <v>2121</v>
      </c>
      <c r="C156" s="1855"/>
      <c r="D156" s="1855"/>
      <c r="E156" s="1855"/>
      <c r="F156" s="1847">
        <v>0.05</v>
      </c>
    </row>
    <row r="157" spans="1:6" ht="14.25" thickBot="1">
      <c r="A157" s="1849" t="s">
        <v>1409</v>
      </c>
      <c r="B157" s="1856" t="s">
        <v>2122</v>
      </c>
      <c r="C157" s="1852"/>
      <c r="D157" s="1852"/>
      <c r="E157" s="1852"/>
      <c r="F157" s="1857">
        <v>0.05</v>
      </c>
    </row>
    <row r="158" spans="1:6" ht="14.25" thickBot="1">
      <c r="A158" s="1841" t="s">
        <v>1411</v>
      </c>
      <c r="B158" s="1842" t="s">
        <v>2123</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2124</v>
      </c>
      <c r="C171" s="1846">
        <v>0.127</v>
      </c>
      <c r="D171" s="1846">
        <v>0.126</v>
      </c>
      <c r="E171" s="1846">
        <v>0.126</v>
      </c>
      <c r="F171" s="1847">
        <v>0.11799999999999999</v>
      </c>
    </row>
    <row r="172" spans="1:6" ht="14.25" thickBot="1">
      <c r="A172" s="1841" t="s">
        <v>1411</v>
      </c>
      <c r="B172" s="1845" t="s">
        <v>2125</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2126</v>
      </c>
      <c r="C174" s="1846">
        <v>0.13</v>
      </c>
      <c r="D174" s="1846">
        <v>0.13</v>
      </c>
      <c r="E174" s="1846">
        <v>0.13</v>
      </c>
      <c r="F174" s="1847">
        <v>0.13</v>
      </c>
    </row>
    <row r="175" spans="1:6" ht="14.25" thickBot="1">
      <c r="A175" s="1841" t="s">
        <v>1411</v>
      </c>
      <c r="B175" s="1845" t="s">
        <v>2127</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2128</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2129</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2130</v>
      </c>
      <c r="C185" s="1846">
        <v>0.127</v>
      </c>
      <c r="D185" s="1846">
        <v>0.127</v>
      </c>
      <c r="E185" s="1846">
        <v>0.128</v>
      </c>
      <c r="F185" s="1847">
        <v>0.13</v>
      </c>
    </row>
    <row r="186" spans="1:6" ht="24.75" thickBot="1">
      <c r="A186" s="1841" t="s">
        <v>1411</v>
      </c>
      <c r="B186" s="1845" t="s">
        <v>2131</v>
      </c>
      <c r="C186" s="1855"/>
      <c r="D186" s="1855"/>
      <c r="E186" s="1855"/>
      <c r="F186" s="1847">
        <v>0.05</v>
      </c>
    </row>
    <row r="187" spans="1:6" ht="14.25" thickBot="1">
      <c r="A187" s="1841" t="s">
        <v>1411</v>
      </c>
      <c r="B187" s="1845" t="s">
        <v>2132</v>
      </c>
      <c r="C187" s="1855"/>
      <c r="D187" s="1855"/>
      <c r="E187" s="1855"/>
      <c r="F187" s="1847">
        <v>0.05</v>
      </c>
    </row>
    <row r="188" spans="1:6" ht="14.25" thickBot="1">
      <c r="A188" s="1841" t="s">
        <v>1411</v>
      </c>
      <c r="B188" s="1845" t="s">
        <v>2133</v>
      </c>
      <c r="C188" s="1855"/>
      <c r="D188" s="1855"/>
      <c r="E188" s="1855"/>
      <c r="F188" s="1847">
        <v>0.05</v>
      </c>
    </row>
    <row r="189" spans="1:6" ht="24.75" thickBot="1">
      <c r="A189" s="1841" t="s">
        <v>1411</v>
      </c>
      <c r="B189" s="1845" t="s">
        <v>2134</v>
      </c>
      <c r="C189" s="1855"/>
      <c r="D189" s="1855"/>
      <c r="E189" s="1855"/>
      <c r="F189" s="1847">
        <v>0.05</v>
      </c>
    </row>
    <row r="190" spans="1:6" ht="24.75" thickBot="1">
      <c r="A190" s="1841" t="s">
        <v>1411</v>
      </c>
      <c r="B190" s="1845" t="s">
        <v>2135</v>
      </c>
      <c r="C190" s="1855"/>
      <c r="D190" s="1855"/>
      <c r="E190" s="1855"/>
      <c r="F190" s="1847">
        <v>0.05</v>
      </c>
    </row>
    <row r="191" spans="1:6" ht="24.75" thickBot="1">
      <c r="A191" s="1841" t="s">
        <v>1411</v>
      </c>
      <c r="B191" s="1845" t="s">
        <v>2136</v>
      </c>
      <c r="C191" s="1855"/>
      <c r="D191" s="1855"/>
      <c r="E191" s="1855"/>
      <c r="F191" s="1847">
        <v>0.05</v>
      </c>
    </row>
    <row r="192" spans="1:6" ht="24.75" thickBot="1">
      <c r="A192" s="1841" t="s">
        <v>1411</v>
      </c>
      <c r="B192" s="1845" t="s">
        <v>2137</v>
      </c>
      <c r="C192" s="1855"/>
      <c r="D192" s="1855"/>
      <c r="E192" s="1855"/>
      <c r="F192" s="1847">
        <v>0.05</v>
      </c>
    </row>
    <row r="193" spans="1:6" ht="24.75" thickBot="1">
      <c r="A193" s="1841" t="s">
        <v>1411</v>
      </c>
      <c r="B193" s="1845" t="s">
        <v>2138</v>
      </c>
      <c r="C193" s="1855"/>
      <c r="D193" s="1855"/>
      <c r="E193" s="1855"/>
      <c r="F193" s="1847">
        <v>0.05</v>
      </c>
    </row>
    <row r="194" spans="1:6" ht="24.75" thickBot="1">
      <c r="A194" s="1841" t="s">
        <v>1411</v>
      </c>
      <c r="B194" s="1845" t="s">
        <v>2139</v>
      </c>
      <c r="C194" s="1855"/>
      <c r="D194" s="1855"/>
      <c r="E194" s="1855"/>
      <c r="F194" s="1847">
        <v>0.05</v>
      </c>
    </row>
    <row r="195" spans="1:6" ht="14.25" thickBot="1">
      <c r="A195" s="1841" t="s">
        <v>1411</v>
      </c>
      <c r="B195" s="1845" t="s">
        <v>2140</v>
      </c>
      <c r="C195" s="1855"/>
      <c r="D195" s="1855"/>
      <c r="E195" s="1855"/>
      <c r="F195" s="1847">
        <v>0.05</v>
      </c>
    </row>
    <row r="196" spans="1:6" ht="24.75" thickBot="1">
      <c r="A196" s="1841" t="s">
        <v>1411</v>
      </c>
      <c r="B196" s="1845" t="s">
        <v>2141</v>
      </c>
      <c r="C196" s="1855"/>
      <c r="D196" s="1855"/>
      <c r="E196" s="1855"/>
      <c r="F196" s="1847">
        <v>0.05</v>
      </c>
    </row>
    <row r="197" spans="1:6" ht="24.75" thickBot="1">
      <c r="A197" s="1841" t="s">
        <v>1411</v>
      </c>
      <c r="B197" s="1845" t="s">
        <v>2142</v>
      </c>
      <c r="C197" s="1855"/>
      <c r="D197" s="1855"/>
      <c r="E197" s="1855"/>
      <c r="F197" s="1847">
        <v>0.05</v>
      </c>
    </row>
    <row r="198" spans="1:6" ht="24.75" thickBot="1">
      <c r="A198" s="1841" t="s">
        <v>1411</v>
      </c>
      <c r="B198" s="1845" t="s">
        <v>2143</v>
      </c>
      <c r="C198" s="1855"/>
      <c r="D198" s="1855"/>
      <c r="E198" s="1855"/>
      <c r="F198" s="1847">
        <v>0.05</v>
      </c>
    </row>
    <row r="199" spans="1:6" ht="24.75" thickBot="1">
      <c r="A199" s="1841" t="s">
        <v>1411</v>
      </c>
      <c r="B199" s="1845" t="s">
        <v>2144</v>
      </c>
      <c r="C199" s="1855"/>
      <c r="D199" s="1855"/>
      <c r="E199" s="1855"/>
      <c r="F199" s="1847">
        <v>0.05</v>
      </c>
    </row>
    <row r="200" spans="1:6" ht="24.75" thickBot="1">
      <c r="A200" s="1841" t="s">
        <v>1411</v>
      </c>
      <c r="B200" s="1845" t="s">
        <v>2145</v>
      </c>
      <c r="C200" s="1855"/>
      <c r="D200" s="1855"/>
      <c r="E200" s="1855"/>
      <c r="F200" s="1847">
        <v>0.05</v>
      </c>
    </row>
    <row r="201" spans="1:6" ht="24.75" thickBot="1">
      <c r="A201" s="1841" t="s">
        <v>1411</v>
      </c>
      <c r="B201" s="1845" t="s">
        <v>2146</v>
      </c>
      <c r="C201" s="1855"/>
      <c r="D201" s="1855"/>
      <c r="E201" s="1855"/>
      <c r="F201" s="1847">
        <v>0.05</v>
      </c>
    </row>
    <row r="202" spans="1:6" ht="24.75" thickBot="1">
      <c r="A202" s="1841" t="s">
        <v>1411</v>
      </c>
      <c r="B202" s="1845" t="s">
        <v>2147</v>
      </c>
      <c r="C202" s="1855"/>
      <c r="D202" s="1855"/>
      <c r="E202" s="1855"/>
      <c r="F202" s="1847">
        <v>0.05</v>
      </c>
    </row>
    <row r="203" spans="1:6" ht="24.75" thickBot="1">
      <c r="A203" s="1841" t="s">
        <v>1411</v>
      </c>
      <c r="B203" s="1845" t="s">
        <v>2148</v>
      </c>
      <c r="C203" s="1855"/>
      <c r="D203" s="1855"/>
      <c r="E203" s="1855"/>
      <c r="F203" s="1847">
        <v>0.05</v>
      </c>
    </row>
    <row r="204" spans="1:6" ht="14.25" thickBot="1">
      <c r="A204" s="1841" t="s">
        <v>1411</v>
      </c>
      <c r="B204" s="1845" t="s">
        <v>2149</v>
      </c>
      <c r="C204" s="1855"/>
      <c r="D204" s="1855"/>
      <c r="E204" s="1855"/>
      <c r="F204" s="1847">
        <v>0.05</v>
      </c>
    </row>
    <row r="205" spans="1:6" ht="14.25" thickBot="1">
      <c r="A205" s="1849" t="s">
        <v>1411</v>
      </c>
      <c r="B205" s="1856" t="s">
        <v>2150</v>
      </c>
      <c r="C205" s="1852"/>
      <c r="D205" s="1852"/>
      <c r="E205" s="1852"/>
      <c r="F205" s="1857">
        <v>0.05</v>
      </c>
    </row>
    <row r="206" spans="1:6" ht="14.25" thickBot="1">
      <c r="A206" s="1841" t="s">
        <v>1413</v>
      </c>
      <c r="B206" s="1842" t="s">
        <v>2151</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2152</v>
      </c>
      <c r="C210" s="1846">
        <v>0.15</v>
      </c>
      <c r="D210" s="1846">
        <v>0.15</v>
      </c>
      <c r="E210" s="1846">
        <v>0.15</v>
      </c>
      <c r="F210" s="1847">
        <v>0.13800000000000001</v>
      </c>
    </row>
    <row r="211" spans="1:6" ht="14.25" thickBot="1">
      <c r="A211" s="1841" t="s">
        <v>1413</v>
      </c>
      <c r="B211" s="1845" t="s">
        <v>2153</v>
      </c>
      <c r="C211" s="1846">
        <v>0.13700000000000001</v>
      </c>
      <c r="D211" s="1846">
        <v>0.13500000000000001</v>
      </c>
      <c r="E211" s="1846">
        <v>0.13600000000000001</v>
      </c>
      <c r="F211" s="1847">
        <v>0.1</v>
      </c>
    </row>
    <row r="212" spans="1:6" ht="14.25" thickBot="1">
      <c r="A212" s="1841" t="s">
        <v>1413</v>
      </c>
      <c r="B212" s="1845" t="s">
        <v>2154</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2155</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2156</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2157</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2158</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2159</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2160</v>
      </c>
      <c r="C231" s="1846">
        <v>0.128</v>
      </c>
      <c r="D231" s="1846">
        <v>0.125</v>
      </c>
      <c r="E231" s="1846">
        <v>0.13200000000000001</v>
      </c>
      <c r="F231" s="1854"/>
    </row>
    <row r="232" spans="1:6" ht="14.25" thickBot="1">
      <c r="A232" s="1841" t="s">
        <v>1413</v>
      </c>
      <c r="B232" s="1845" t="s">
        <v>2161</v>
      </c>
      <c r="C232" s="1846">
        <v>0.14499999999999999</v>
      </c>
      <c r="D232" s="1846">
        <v>0.14399999999999999</v>
      </c>
      <c r="E232" s="1846">
        <v>0.14599999999999999</v>
      </c>
      <c r="F232" s="1847">
        <v>0.13800000000000001</v>
      </c>
    </row>
    <row r="233" spans="1:6" ht="14.25" thickBot="1">
      <c r="A233" s="1841" t="s">
        <v>1413</v>
      </c>
      <c r="B233" s="1845" t="s">
        <v>2162</v>
      </c>
      <c r="C233" s="1846">
        <v>0.14499999999999999</v>
      </c>
      <c r="D233" s="1846">
        <v>0.14299999999999999</v>
      </c>
      <c r="E233" s="1846">
        <v>0.14199999999999999</v>
      </c>
      <c r="F233" s="1854"/>
    </row>
    <row r="234" spans="1:6" ht="14.25" thickBot="1">
      <c r="A234" s="1841" t="s">
        <v>1413</v>
      </c>
      <c r="B234" s="1845" t="s">
        <v>2163</v>
      </c>
      <c r="C234" s="1846">
        <v>0.14000000000000001</v>
      </c>
      <c r="D234" s="1846">
        <v>0.14000000000000001</v>
      </c>
      <c r="E234" s="1846">
        <v>0.14399999999999999</v>
      </c>
      <c r="F234" s="1854"/>
    </row>
    <row r="235" spans="1:6" ht="14.25" thickBot="1">
      <c r="A235" s="1841" t="s">
        <v>1413</v>
      </c>
      <c r="B235" s="1845" t="s">
        <v>2164</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2165</v>
      </c>
      <c r="C237" s="1855"/>
      <c r="D237" s="1855"/>
      <c r="E237" s="1855"/>
      <c r="F237" s="1847">
        <v>0.05</v>
      </c>
    </row>
    <row r="238" spans="1:6" ht="24.75" thickBot="1">
      <c r="A238" s="1841" t="s">
        <v>1413</v>
      </c>
      <c r="B238" s="1845" t="s">
        <v>2166</v>
      </c>
      <c r="C238" s="1855"/>
      <c r="D238" s="1855"/>
      <c r="E238" s="1855"/>
      <c r="F238" s="1847">
        <v>0.05</v>
      </c>
    </row>
    <row r="239" spans="1:6" ht="24.75" thickBot="1">
      <c r="A239" s="1841" t="s">
        <v>1413</v>
      </c>
      <c r="B239" s="1845" t="s">
        <v>2167</v>
      </c>
      <c r="C239" s="1855"/>
      <c r="D239" s="1855"/>
      <c r="E239" s="1855"/>
      <c r="F239" s="1847">
        <v>0.05</v>
      </c>
    </row>
    <row r="240" spans="1:6" ht="24.75" thickBot="1">
      <c r="A240" s="1841" t="s">
        <v>1413</v>
      </c>
      <c r="B240" s="1845" t="s">
        <v>2168</v>
      </c>
      <c r="C240" s="1855"/>
      <c r="D240" s="1855"/>
      <c r="E240" s="1855"/>
      <c r="F240" s="1847">
        <v>0.05</v>
      </c>
    </row>
    <row r="241" spans="1:6" ht="24.75" thickBot="1">
      <c r="A241" s="1841" t="s">
        <v>1413</v>
      </c>
      <c r="B241" s="1845" t="s">
        <v>2169</v>
      </c>
      <c r="C241" s="1855"/>
      <c r="D241" s="1855"/>
      <c r="E241" s="1855"/>
      <c r="F241" s="1847">
        <v>0.05</v>
      </c>
    </row>
    <row r="242" spans="1:6" ht="24.75" thickBot="1">
      <c r="A242" s="1841" t="s">
        <v>1413</v>
      </c>
      <c r="B242" s="1845" t="s">
        <v>2170</v>
      </c>
      <c r="C242" s="1855"/>
      <c r="D242" s="1855"/>
      <c r="E242" s="1855"/>
      <c r="F242" s="1847">
        <v>0.05</v>
      </c>
    </row>
    <row r="243" spans="1:6" ht="24.75" thickBot="1">
      <c r="A243" s="1841" t="s">
        <v>1413</v>
      </c>
      <c r="B243" s="1845" t="s">
        <v>2171</v>
      </c>
      <c r="C243" s="1855"/>
      <c r="D243" s="1855"/>
      <c r="E243" s="1855"/>
      <c r="F243" s="1847">
        <v>0.05</v>
      </c>
    </row>
    <row r="244" spans="1:6" ht="24.75" thickBot="1">
      <c r="A244" s="1849" t="s">
        <v>1413</v>
      </c>
      <c r="B244" s="1856" t="s">
        <v>2172</v>
      </c>
      <c r="C244" s="1852"/>
      <c r="D244" s="1852"/>
      <c r="E244" s="1852"/>
      <c r="F244" s="1857">
        <v>0.05</v>
      </c>
    </row>
    <row r="245" spans="1:6" ht="14.25" thickBot="1">
      <c r="A245" s="1841" t="s">
        <v>1415</v>
      </c>
      <c r="B245" s="1842" t="s">
        <v>2173</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2174</v>
      </c>
      <c r="C247" s="1846">
        <v>0.15</v>
      </c>
      <c r="D247" s="1846">
        <v>0.15</v>
      </c>
      <c r="E247" s="1846">
        <v>0.15</v>
      </c>
      <c r="F247" s="1847">
        <v>0.15</v>
      </c>
    </row>
    <row r="248" spans="1:6" ht="14.25" thickBot="1">
      <c r="A248" s="1841" t="s">
        <v>1415</v>
      </c>
      <c r="B248" s="1845" t="s">
        <v>2175</v>
      </c>
      <c r="C248" s="1846">
        <v>0.15</v>
      </c>
      <c r="D248" s="1846">
        <v>0.15</v>
      </c>
      <c r="E248" s="1846">
        <v>0.15</v>
      </c>
      <c r="F248" s="1847">
        <v>0.14000000000000001</v>
      </c>
    </row>
    <row r="249" spans="1:6" ht="14.25" thickBot="1">
      <c r="A249" s="1841" t="s">
        <v>1415</v>
      </c>
      <c r="B249" s="1845" t="s">
        <v>2176</v>
      </c>
      <c r="C249" s="1846">
        <v>0.15</v>
      </c>
      <c r="D249" s="1846">
        <v>0.14899999999999999</v>
      </c>
      <c r="E249" s="1846">
        <v>0.15</v>
      </c>
      <c r="F249" s="1847">
        <v>0.1</v>
      </c>
    </row>
    <row r="250" spans="1:6" ht="14.25" thickBot="1">
      <c r="A250" s="1841" t="s">
        <v>1415</v>
      </c>
      <c r="B250" s="1845" t="s">
        <v>2177</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2178</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2179</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2180</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2181</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2182</v>
      </c>
      <c r="C273" s="1846">
        <v>0.14199999999999999</v>
      </c>
      <c r="D273" s="1846">
        <v>0.14299999999999999</v>
      </c>
      <c r="E273" s="1846">
        <v>0.15</v>
      </c>
      <c r="F273" s="1847">
        <v>0.1</v>
      </c>
    </row>
    <row r="274" spans="1:6" ht="14.25" thickBot="1">
      <c r="A274" s="1841" t="s">
        <v>1415</v>
      </c>
      <c r="B274" s="1845" t="s">
        <v>2183</v>
      </c>
      <c r="C274" s="1846">
        <v>0.14799999999999999</v>
      </c>
      <c r="D274" s="1846">
        <v>0.14799999999999999</v>
      </c>
      <c r="E274" s="1846">
        <v>0.15</v>
      </c>
      <c r="F274" s="1847">
        <v>6.7000000000000004E-2</v>
      </c>
    </row>
    <row r="275" spans="1:6" ht="14.25" thickBot="1">
      <c r="A275" s="1841" t="s">
        <v>1415</v>
      </c>
      <c r="B275" s="1845" t="s">
        <v>2184</v>
      </c>
      <c r="C275" s="1846">
        <v>0.15</v>
      </c>
      <c r="D275" s="1846">
        <v>0.15</v>
      </c>
      <c r="E275" s="1846">
        <v>0.15</v>
      </c>
      <c r="F275" s="1847">
        <v>0.15</v>
      </c>
    </row>
    <row r="276" spans="1:6" ht="14.25" thickBot="1">
      <c r="A276" s="1841" t="s">
        <v>1415</v>
      </c>
      <c r="B276" s="1845" t="s">
        <v>2185</v>
      </c>
      <c r="C276" s="1846">
        <v>0.14499999999999999</v>
      </c>
      <c r="D276" s="1846">
        <v>0.14299999999999999</v>
      </c>
      <c r="E276" s="1846">
        <v>0.15</v>
      </c>
      <c r="F276" s="1847">
        <v>5.8999999999999997E-2</v>
      </c>
    </row>
    <row r="277" spans="1:6" ht="14.25" thickBot="1">
      <c r="A277" s="1841" t="s">
        <v>1415</v>
      </c>
      <c r="B277" s="1845" t="s">
        <v>2186</v>
      </c>
      <c r="C277" s="1846">
        <v>0.15</v>
      </c>
      <c r="D277" s="1846">
        <v>0.15</v>
      </c>
      <c r="E277" s="1846">
        <v>0.15</v>
      </c>
      <c r="F277" s="1847">
        <v>0.121</v>
      </c>
    </row>
    <row r="278" spans="1:6" ht="14.25" thickBot="1">
      <c r="A278" s="1841" t="s">
        <v>1415</v>
      </c>
      <c r="B278" s="1845" t="s">
        <v>2187</v>
      </c>
      <c r="C278" s="1846">
        <v>0.15</v>
      </c>
      <c r="D278" s="1846">
        <v>0.15</v>
      </c>
      <c r="E278" s="1846">
        <v>0.15</v>
      </c>
      <c r="F278" s="1847">
        <v>0.13800000000000001</v>
      </c>
    </row>
    <row r="279" spans="1:6" ht="24.75" thickBot="1">
      <c r="A279" s="1841" t="s">
        <v>1415</v>
      </c>
      <c r="B279" s="1845" t="s">
        <v>2188</v>
      </c>
      <c r="C279" s="1855"/>
      <c r="D279" s="1855"/>
      <c r="E279" s="1855"/>
      <c r="F279" s="1847">
        <v>0.05</v>
      </c>
    </row>
    <row r="280" spans="1:6" ht="24.75" thickBot="1">
      <c r="A280" s="1841" t="s">
        <v>1415</v>
      </c>
      <c r="B280" s="1845" t="s">
        <v>2189</v>
      </c>
      <c r="C280" s="1855"/>
      <c r="D280" s="1855"/>
      <c r="E280" s="1855"/>
      <c r="F280" s="1847">
        <v>0.05</v>
      </c>
    </row>
    <row r="281" spans="1:6" ht="24.75" thickBot="1">
      <c r="A281" s="1841" t="s">
        <v>1415</v>
      </c>
      <c r="B281" s="1845" t="s">
        <v>2190</v>
      </c>
      <c r="C281" s="1855"/>
      <c r="D281" s="1855"/>
      <c r="E281" s="1855"/>
      <c r="F281" s="1847">
        <v>0.05</v>
      </c>
    </row>
    <row r="282" spans="1:6" ht="24.75" thickBot="1">
      <c r="A282" s="1841" t="s">
        <v>1415</v>
      </c>
      <c r="B282" s="1845" t="s">
        <v>2191</v>
      </c>
      <c r="C282" s="1855"/>
      <c r="D282" s="1855"/>
      <c r="E282" s="1855"/>
      <c r="F282" s="1847">
        <v>0.05</v>
      </c>
    </row>
    <row r="283" spans="1:6" ht="24.75" thickBot="1">
      <c r="A283" s="1841" t="s">
        <v>1415</v>
      </c>
      <c r="B283" s="1845" t="s">
        <v>2192</v>
      </c>
      <c r="C283" s="1855"/>
      <c r="D283" s="1855"/>
      <c r="E283" s="1855"/>
      <c r="F283" s="1847">
        <v>0.05</v>
      </c>
    </row>
    <row r="284" spans="1:6" ht="24.75" thickBot="1">
      <c r="A284" s="1841" t="s">
        <v>1415</v>
      </c>
      <c r="B284" s="1845" t="s">
        <v>2193</v>
      </c>
      <c r="C284" s="1855"/>
      <c r="D284" s="1855"/>
      <c r="E284" s="1855"/>
      <c r="F284" s="1847">
        <v>0.05</v>
      </c>
    </row>
    <row r="285" spans="1:6" ht="24.75" thickBot="1">
      <c r="A285" s="1841" t="s">
        <v>1415</v>
      </c>
      <c r="B285" s="1845" t="s">
        <v>2194</v>
      </c>
      <c r="C285" s="1855"/>
      <c r="D285" s="1855"/>
      <c r="E285" s="1855"/>
      <c r="F285" s="1847">
        <v>0.05</v>
      </c>
    </row>
    <row r="286" spans="1:6" ht="24.75" thickBot="1">
      <c r="A286" s="1841" t="s">
        <v>1415</v>
      </c>
      <c r="B286" s="1845" t="s">
        <v>2195</v>
      </c>
      <c r="C286" s="1855"/>
      <c r="D286" s="1855"/>
      <c r="E286" s="1855"/>
      <c r="F286" s="1847">
        <v>0.05</v>
      </c>
    </row>
    <row r="287" spans="1:6" ht="24.75" thickBot="1">
      <c r="A287" s="1841" t="s">
        <v>1415</v>
      </c>
      <c r="B287" s="1845" t="s">
        <v>2196</v>
      </c>
      <c r="C287" s="1855"/>
      <c r="D287" s="1855"/>
      <c r="E287" s="1855"/>
      <c r="F287" s="1847">
        <v>0.05</v>
      </c>
    </row>
    <row r="288" spans="1:6" ht="24.75" thickBot="1">
      <c r="A288" s="1841" t="s">
        <v>1415</v>
      </c>
      <c r="B288" s="1845" t="s">
        <v>2197</v>
      </c>
      <c r="C288" s="1855"/>
      <c r="D288" s="1855"/>
      <c r="E288" s="1855"/>
      <c r="F288" s="1847">
        <v>0.05</v>
      </c>
    </row>
    <row r="289" spans="1:6" ht="24.75" thickBot="1">
      <c r="A289" s="1849" t="s">
        <v>1415</v>
      </c>
      <c r="B289" s="1856" t="s">
        <v>2198</v>
      </c>
      <c r="C289" s="1852"/>
      <c r="D289" s="1852"/>
      <c r="E289" s="1852"/>
      <c r="F289" s="1857">
        <v>0.05</v>
      </c>
    </row>
    <row r="290" spans="1:6" ht="14.25" thickBot="1">
      <c r="A290" s="1841" t="s">
        <v>1419</v>
      </c>
      <c r="B290" s="1842" t="s">
        <v>2199</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2200</v>
      </c>
      <c r="C292" s="1846">
        <v>0.15</v>
      </c>
      <c r="D292" s="1846">
        <v>0.15</v>
      </c>
      <c r="E292" s="1846">
        <v>0.15</v>
      </c>
      <c r="F292" s="1847">
        <v>0.14699999999999999</v>
      </c>
    </row>
    <row r="293" spans="1:6" ht="14.25" thickBot="1">
      <c r="A293" s="1841" t="s">
        <v>1419</v>
      </c>
      <c r="B293" s="1845" t="s">
        <v>2201</v>
      </c>
      <c r="C293" s="1855"/>
      <c r="D293" s="1855"/>
      <c r="E293" s="1855"/>
      <c r="F293" s="1847">
        <v>0.1</v>
      </c>
    </row>
    <row r="294" spans="1:6" ht="14.25" thickBot="1">
      <c r="A294" s="1841" t="s">
        <v>1419</v>
      </c>
      <c r="B294" s="1845" t="s">
        <v>2202</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2203</v>
      </c>
      <c r="C296" s="1846">
        <v>0.15</v>
      </c>
      <c r="D296" s="1846">
        <v>0.15</v>
      </c>
      <c r="E296" s="1846">
        <v>0.15</v>
      </c>
      <c r="F296" s="1847">
        <v>0.15</v>
      </c>
    </row>
    <row r="297" spans="1:6" ht="14.25" thickBot="1">
      <c r="A297" s="1841" t="s">
        <v>1419</v>
      </c>
      <c r="B297" s="1845" t="s">
        <v>2204</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2205</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2206</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2207</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2208</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2209</v>
      </c>
      <c r="C310" s="1846">
        <v>0.15</v>
      </c>
      <c r="D310" s="1846">
        <v>0.15</v>
      </c>
      <c r="E310" s="1846">
        <v>0.15</v>
      </c>
      <c r="F310" s="1847">
        <v>0.13700000000000001</v>
      </c>
    </row>
    <row r="311" spans="1:6" ht="14.25" thickBot="1">
      <c r="A311" s="1841" t="s">
        <v>1419</v>
      </c>
      <c r="B311" s="1845" t="s">
        <v>2210</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2211</v>
      </c>
      <c r="C313" s="1846">
        <v>0.15</v>
      </c>
      <c r="D313" s="1846">
        <v>0.15</v>
      </c>
      <c r="E313" s="1846">
        <v>0.15</v>
      </c>
      <c r="F313" s="1847">
        <v>0.15</v>
      </c>
    </row>
    <row r="314" spans="1:6" ht="24.75" thickBot="1">
      <c r="A314" s="1841" t="s">
        <v>1419</v>
      </c>
      <c r="B314" s="1845" t="s">
        <v>2212</v>
      </c>
      <c r="C314" s="1855"/>
      <c r="D314" s="1855"/>
      <c r="E314" s="1855"/>
      <c r="F314" s="1847">
        <v>0.05</v>
      </c>
    </row>
    <row r="315" spans="1:6" ht="24.75" thickBot="1">
      <c r="A315" s="1841" t="s">
        <v>1419</v>
      </c>
      <c r="B315" s="1845" t="s">
        <v>2213</v>
      </c>
      <c r="C315" s="1855"/>
      <c r="D315" s="1855"/>
      <c r="E315" s="1855"/>
      <c r="F315" s="1847">
        <v>0.05</v>
      </c>
    </row>
    <row r="316" spans="1:6" ht="24.75" thickBot="1">
      <c r="A316" s="1849" t="s">
        <v>1419</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1107</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1176</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1196</v>
      </c>
      <c r="C328" s="1846">
        <v>0.15</v>
      </c>
      <c r="D328" s="1846">
        <v>0.15</v>
      </c>
      <c r="E328" s="1846">
        <v>0.15</v>
      </c>
      <c r="F328" s="1847">
        <v>0.14099999999999999</v>
      </c>
    </row>
    <row r="329" spans="1:6" ht="14.25" thickBot="1">
      <c r="A329" s="1841" t="s">
        <v>2215</v>
      </c>
      <c r="B329" s="1845" t="s">
        <v>1206</v>
      </c>
      <c r="C329" s="1846">
        <v>0.15</v>
      </c>
      <c r="D329" s="1846">
        <v>0.15</v>
      </c>
      <c r="E329" s="1846">
        <v>0.15</v>
      </c>
      <c r="F329" s="1847">
        <v>0.15</v>
      </c>
    </row>
    <row r="330" spans="1:6" ht="14.25" thickBot="1">
      <c r="A330" s="1841" t="s">
        <v>2215</v>
      </c>
      <c r="B330" s="1845" t="s">
        <v>1216</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1236</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1256</v>
      </c>
      <c r="C334" s="1846">
        <v>0.15</v>
      </c>
      <c r="D334" s="1846">
        <v>0.15</v>
      </c>
      <c r="E334" s="1846">
        <v>0.15</v>
      </c>
      <c r="F334" s="1847">
        <v>0.15</v>
      </c>
    </row>
    <row r="335" spans="1:6" ht="14.25" thickBot="1">
      <c r="A335" s="1841" t="s">
        <v>2215</v>
      </c>
      <c r="B335" s="1845" t="s">
        <v>1266</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1284</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5" t="s">
        <v>2574</v>
      </c>
      <c r="C1" s="3465"/>
      <c r="D1" s="3465"/>
      <c r="E1" s="3465"/>
      <c r="F1" s="3465"/>
      <c r="G1" s="3464" t="s">
        <v>2575</v>
      </c>
      <c r="H1" s="3464"/>
      <c r="I1" s="3464"/>
      <c r="J1" s="3464"/>
      <c r="K1" s="3464"/>
      <c r="L1" s="3464"/>
      <c r="N1" s="3464" t="s">
        <v>2576</v>
      </c>
      <c r="O1" s="3464"/>
      <c r="P1" s="3464"/>
      <c r="Q1" s="3464"/>
      <c r="R1" s="2619"/>
      <c r="S1" s="3464" t="s">
        <v>2577</v>
      </c>
      <c r="T1" s="3464"/>
      <c r="U1" s="3464"/>
      <c r="V1" s="3464"/>
      <c r="X1" s="3463" t="s">
        <v>2637</v>
      </c>
      <c r="Y1" s="3464"/>
      <c r="Z1" s="3464"/>
      <c r="AA1" s="3464"/>
      <c r="AB1" s="3464"/>
      <c r="AD1" s="3463" t="s">
        <v>2641</v>
      </c>
      <c r="AE1" s="3464"/>
      <c r="AF1" s="3464"/>
      <c r="AG1" s="3464"/>
      <c r="AH1" s="3464"/>
    </row>
    <row r="2" spans="1:34" s="2720" customFormat="1" ht="14.25" thickBot="1">
      <c r="B2" s="2728" t="s">
        <v>2578</v>
      </c>
      <c r="C2" s="2728" t="s">
        <v>2639</v>
      </c>
      <c r="D2" s="2721" t="s">
        <v>1644</v>
      </c>
      <c r="E2" s="2721" t="s">
        <v>1949</v>
      </c>
      <c r="F2" s="2728" t="s">
        <v>2640</v>
      </c>
      <c r="G2" s="2724"/>
      <c r="H2" s="2723"/>
      <c r="I2" s="2728" t="s">
        <v>2947</v>
      </c>
      <c r="J2" s="2721" t="s">
        <v>2949</v>
      </c>
      <c r="K2" s="2721" t="s">
        <v>2950</v>
      </c>
      <c r="L2" s="2728" t="s">
        <v>2951</v>
      </c>
      <c r="N2" s="2728" t="s">
        <v>2578</v>
      </c>
      <c r="O2" s="2721" t="s">
        <v>2948</v>
      </c>
      <c r="P2" s="2721" t="s">
        <v>1949</v>
      </c>
      <c r="Q2" s="2728" t="s">
        <v>2640</v>
      </c>
      <c r="R2" s="2722"/>
      <c r="S2" s="2728" t="s">
        <v>2578</v>
      </c>
      <c r="T2" s="2721" t="s">
        <v>2948</v>
      </c>
      <c r="U2" s="2721" t="s">
        <v>1949</v>
      </c>
      <c r="V2" s="2728" t="s">
        <v>2640</v>
      </c>
      <c r="X2" s="2728" t="s">
        <v>2578</v>
      </c>
      <c r="Y2" s="2728" t="s">
        <v>2639</v>
      </c>
      <c r="Z2" s="2721" t="s">
        <v>1644</v>
      </c>
      <c r="AA2" s="2721" t="s">
        <v>1949</v>
      </c>
      <c r="AB2" s="2728" t="s">
        <v>2640</v>
      </c>
      <c r="AD2" s="2728" t="s">
        <v>2578</v>
      </c>
      <c r="AE2" s="2728" t="s">
        <v>2639</v>
      </c>
      <c r="AF2" s="2721" t="s">
        <v>1644</v>
      </c>
      <c r="AG2" s="2721" t="s">
        <v>1949</v>
      </c>
      <c r="AH2" s="2728" t="s">
        <v>2640</v>
      </c>
    </row>
    <row r="3" spans="1:34" s="3083" customFormat="1" ht="14.25">
      <c r="A3" s="3095" t="s">
        <v>2960</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2961</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59">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59"/>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59"/>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6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2958</v>
      </c>
      <c r="B11" s="3097">
        <v>439</v>
      </c>
      <c r="C11" s="3097">
        <v>327</v>
      </c>
      <c r="D11" s="3097">
        <f t="shared" si="54"/>
        <v>327</v>
      </c>
      <c r="E11" s="3097">
        <v>627</v>
      </c>
      <c r="F11" s="3098">
        <v>283</v>
      </c>
      <c r="G11" s="345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59"/>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59"/>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6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5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59"/>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59"/>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62"/>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6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59"/>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59"/>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62"/>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6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59"/>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59"/>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62"/>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6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6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6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6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6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59"/>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59"/>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62"/>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6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59">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59">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62">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6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59">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59">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62">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6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59">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59">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62">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6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59">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59">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62">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6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59">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59">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62">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6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59">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59">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62">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6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59">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59">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62">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6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59">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59">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62">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61">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59">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59">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62">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61">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59">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59">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62">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2940</v>
      </c>
      <c r="B1" s="3057"/>
      <c r="C1" s="3057"/>
      <c r="D1" s="3057"/>
      <c r="E1" s="3057"/>
      <c r="F1" s="3057"/>
    </row>
    <row r="2" spans="1:6" ht="14.25">
      <c r="A2" s="3058" t="s">
        <v>2935</v>
      </c>
      <c r="B2" s="3059" t="e">
        <f ca="1">SUMIF(B7:B14,"&lt;&gt;#ref!",B7:B14)</f>
        <v>#DIV/0!</v>
      </c>
      <c r="C2" s="3058" t="s">
        <v>2936</v>
      </c>
      <c r="D2" s="3057"/>
      <c r="E2" s="3057"/>
      <c r="F2" s="3057"/>
    </row>
    <row r="3" spans="1:6" ht="14.25">
      <c r="A3" s="3058" t="s">
        <v>2968</v>
      </c>
      <c r="B3" s="3059" t="e">
        <f ca="1">ROUND(B2*10000/E3,0)</f>
        <v>#DIV/0!</v>
      </c>
      <c r="C3" s="3058" t="s">
        <v>2077</v>
      </c>
      <c r="D3" s="3058" t="s">
        <v>2937</v>
      </c>
      <c r="E3" s="3059">
        <f ca="1">SUMIF(E7:E14,"&lt;&gt;#ref!",E7:E14)</f>
        <v>0</v>
      </c>
      <c r="F3" s="3057"/>
    </row>
    <row r="4" spans="1:6" ht="14.25">
      <c r="A4" s="3058" t="s">
        <v>2944</v>
      </c>
      <c r="B4" s="3059" t="e">
        <f ca="1">ROUND(B2*10000/E4,0)</f>
        <v>#DIV/0!</v>
      </c>
      <c r="C4" s="3058" t="s">
        <v>2077</v>
      </c>
      <c r="D4" s="3058" t="s">
        <v>2945</v>
      </c>
      <c r="E4" s="3059">
        <f ca="1">SUMIF(F7:F14,"&lt;&gt;#ref!",F7:F14)</f>
        <v>0</v>
      </c>
      <c r="F4" s="3057"/>
    </row>
    <row r="5" spans="1:6" ht="14.25">
      <c r="A5" s="3060"/>
      <c r="B5" s="1867"/>
      <c r="C5" s="1867"/>
      <c r="D5" s="1867"/>
      <c r="E5" s="1867"/>
      <c r="F5" s="3057"/>
    </row>
    <row r="6" spans="1:6" ht="28.5">
      <c r="A6" s="3061" t="s">
        <v>2941</v>
      </c>
      <c r="B6" s="3058" t="s">
        <v>2938</v>
      </c>
      <c r="C6" s="3059"/>
      <c r="D6" s="1867"/>
      <c r="E6" s="3058" t="s">
        <v>2939</v>
      </c>
      <c r="F6" s="3058" t="s">
        <v>2943</v>
      </c>
    </row>
    <row r="7" spans="1:6" ht="14.25">
      <c r="A7" s="260" t="s">
        <v>2942</v>
      </c>
      <c r="B7" s="3062" t="e">
        <f ca="1">SUMIF(INDIRECT("'"&amp;A7&amp;"'"&amp;"!A:A"),"总价",INDIRECT("'"&amp;A7&amp;"'"&amp;"!B:B"))</f>
        <v>#DIV/0!</v>
      </c>
      <c r="C7" s="3058" t="s">
        <v>2936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2936</v>
      </c>
      <c r="D9" s="1867"/>
      <c r="E9" s="3063" t="e">
        <f t="shared" ca="1" si="1"/>
        <v>#REF!</v>
      </c>
      <c r="F9" s="3063" t="e">
        <f t="shared" ca="1" si="2"/>
        <v>#REF!</v>
      </c>
    </row>
    <row r="10" spans="1:6" ht="14.25">
      <c r="A10" s="260"/>
      <c r="B10" s="3062" t="e">
        <f t="shared" ca="1" si="0"/>
        <v>#REF!</v>
      </c>
      <c r="C10" s="3058" t="s">
        <v>2936</v>
      </c>
      <c r="D10" s="1867"/>
      <c r="E10" s="3063" t="e">
        <f t="shared" ca="1" si="1"/>
        <v>#REF!</v>
      </c>
      <c r="F10" s="3063" t="e">
        <f t="shared" ca="1" si="2"/>
        <v>#REF!</v>
      </c>
    </row>
    <row r="11" spans="1:6" ht="14.25">
      <c r="A11" s="260"/>
      <c r="B11" s="3062" t="e">
        <f t="shared" ca="1" si="0"/>
        <v>#REF!</v>
      </c>
      <c r="C11" s="3058" t="s">
        <v>2936</v>
      </c>
      <c r="D11" s="1867"/>
      <c r="E11" s="3063" t="e">
        <f t="shared" ca="1" si="1"/>
        <v>#REF!</v>
      </c>
      <c r="F11" s="3063" t="e">
        <f t="shared" ca="1" si="2"/>
        <v>#REF!</v>
      </c>
    </row>
    <row r="12" spans="1:6" ht="14.25">
      <c r="A12" s="260"/>
      <c r="B12" s="3062" t="e">
        <f t="shared" ca="1" si="0"/>
        <v>#REF!</v>
      </c>
      <c r="C12" s="3058" t="s">
        <v>2936</v>
      </c>
      <c r="D12" s="1867"/>
      <c r="E12" s="3063" t="e">
        <f t="shared" ca="1" si="1"/>
        <v>#REF!</v>
      </c>
      <c r="F12" s="3063" t="e">
        <f t="shared" ca="1" si="2"/>
        <v>#REF!</v>
      </c>
    </row>
    <row r="13" spans="1:6" ht="14.25">
      <c r="A13" s="260"/>
      <c r="B13" s="3062" t="e">
        <f t="shared" ca="1" si="0"/>
        <v>#REF!</v>
      </c>
      <c r="C13" s="3058" t="s">
        <v>2936</v>
      </c>
      <c r="D13" s="1867"/>
      <c r="E13" s="3063" t="e">
        <f t="shared" ca="1" si="1"/>
        <v>#REF!</v>
      </c>
      <c r="F13" s="3063" t="e">
        <f t="shared" ca="1" si="2"/>
        <v>#REF!</v>
      </c>
    </row>
    <row r="14" spans="1:6" ht="14.25">
      <c r="A14" s="3056"/>
      <c r="B14" s="3062" t="e">
        <f t="shared" ca="1" si="0"/>
        <v>#REF!</v>
      </c>
      <c r="C14" s="3058" t="s">
        <v>2936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70" t="s">
        <v>2461</v>
      </c>
      <c r="C8" s="1811">
        <f ca="1">ROUND(F8*F10*F9*(1-F11)/10000,0)</f>
        <v>0</v>
      </c>
      <c r="D8" s="1808" t="s">
        <v>2532</v>
      </c>
      <c r="E8" s="61" t="s">
        <v>637</v>
      </c>
      <c r="F8" s="785">
        <f ca="1">INDIRECT("'数据-取费表'!u"&amp;$G$1)</f>
        <v>0</v>
      </c>
      <c r="G8" s="1579"/>
      <c r="H8" s="2469" t="s">
        <v>1824</v>
      </c>
      <c r="I8" s="3470" t="s">
        <v>2461</v>
      </c>
      <c r="J8" s="783">
        <f ca="1">ROUND(M8*M10*M9*(1-M11)/10000,0)</f>
        <v>0</v>
      </c>
      <c r="K8" s="341" t="s">
        <v>2532</v>
      </c>
      <c r="L8" s="784" t="s">
        <v>1738</v>
      </c>
      <c r="M8" s="785">
        <f ca="1">INDIRECT("'数据-取费表'!z"&amp;$G$1)</f>
        <v>0</v>
      </c>
    </row>
    <row r="9" spans="1:25" ht="18" customHeight="1">
      <c r="A9" s="2465"/>
      <c r="B9" s="3471"/>
      <c r="C9" s="1812"/>
      <c r="D9" s="1809"/>
      <c r="E9" s="61" t="s">
        <v>638</v>
      </c>
      <c r="F9" s="785">
        <f ca="1">IF(INDIRECT("'数据-取费表'!ah"&amp;$G$1)="",INDIRECT("'数据-取费表'!k"&amp;$G$1),INDIRECT("'数据-取费表'!ah"&amp;$G$1))</f>
        <v>0</v>
      </c>
      <c r="G9" s="1579"/>
      <c r="H9" s="2454"/>
      <c r="I9" s="3471"/>
      <c r="J9" s="788"/>
      <c r="K9" s="789"/>
      <c r="L9" s="784" t="s">
        <v>1739</v>
      </c>
      <c r="M9" s="785">
        <f ca="1">F9</f>
        <v>0</v>
      </c>
    </row>
    <row r="10" spans="1:25" ht="18" customHeight="1">
      <c r="A10" s="2458"/>
      <c r="B10" s="3472"/>
      <c r="C10" s="1812"/>
      <c r="D10" s="1809"/>
      <c r="E10" s="61" t="s">
        <v>639</v>
      </c>
      <c r="F10" s="785">
        <f ca="1">INDIRECT("'数据-取费表'!ai"&amp;$G$1)</f>
        <v>0</v>
      </c>
      <c r="G10" s="1579"/>
      <c r="H10" s="2454"/>
      <c r="I10" s="3472"/>
      <c r="J10" s="788"/>
      <c r="K10" s="789"/>
      <c r="L10" s="784" t="s">
        <v>1740</v>
      </c>
      <c r="M10" s="785">
        <f ca="1">INDIRECT("'数据-取费表'!ai"&amp;$G$1)</f>
        <v>0</v>
      </c>
    </row>
    <row r="11" spans="1:25" ht="18" customHeight="1">
      <c r="A11" s="786"/>
      <c r="B11" s="3473"/>
      <c r="C11" s="1812"/>
      <c r="D11" s="1809"/>
      <c r="E11" s="61" t="s">
        <v>640</v>
      </c>
      <c r="F11" s="794">
        <f ca="1">INDIRECT("'数据-取费表'!w"&amp;$G$1)</f>
        <v>0</v>
      </c>
      <c r="G11" s="1579"/>
      <c r="H11" s="2470"/>
      <c r="I11" s="3472"/>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2965</v>
      </c>
      <c r="E12" s="2463" t="s">
        <v>2462</v>
      </c>
      <c r="F12" s="2586"/>
      <c r="G12" s="1579"/>
      <c r="H12" s="2526" t="s">
        <v>1825</v>
      </c>
      <c r="I12" s="2531" t="s">
        <v>2457</v>
      </c>
      <c r="J12" s="783">
        <f ca="1">ROUND(IF(M12="押一",J8/12*M13,IF(M12="押二",J8/12*2*M13,IF(M12="押三",J8/12*3*M13,J13*M13))),0)</f>
        <v>0</v>
      </c>
      <c r="K12" s="2466" t="s">
        <v>2965</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2068</v>
      </c>
      <c r="I16" s="2217" t="s">
        <v>2823</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110</v>
      </c>
      <c r="G19" s="1580"/>
      <c r="H19" s="803" t="s">
        <v>2068</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1.4999999999999999E-2</v>
      </c>
      <c r="G22" s="1580"/>
      <c r="H22" s="1818" t="s">
        <v>1850</v>
      </c>
      <c r="I22" s="1808" t="s">
        <v>668</v>
      </c>
      <c r="J22" s="54">
        <f ca="1">ROUND(M22*M23/10000,0)</f>
        <v>0</v>
      </c>
      <c r="K22" s="814" t="s">
        <v>669</v>
      </c>
      <c r="L22" s="784" t="s">
        <v>670</v>
      </c>
      <c r="M22" s="640">
        <f>'数据-取费表'!B52</f>
        <v>6.4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1875</v>
      </c>
      <c r="B25" s="784" t="s">
        <v>2436</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2820</v>
      </c>
      <c r="J27" s="799">
        <f ca="1">J7-J18</f>
        <v>0</v>
      </c>
      <c r="K27" s="1965" t="s">
        <v>700</v>
      </c>
      <c r="L27" s="1967"/>
      <c r="M27" s="820"/>
    </row>
    <row r="28" spans="1:25" ht="18" customHeight="1">
      <c r="A28" s="803" t="s">
        <v>1875</v>
      </c>
      <c r="B28" s="784" t="s">
        <v>2437</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2821</v>
      </c>
      <c r="C31" s="2509">
        <f ca="1">ROUND((C21+C22+C25+C28)/(1-F23-C26-C29-C30),0)</f>
        <v>0</v>
      </c>
      <c r="D31" s="2510"/>
      <c r="E31" s="2511"/>
      <c r="F31" s="2512"/>
      <c r="G31" s="1580"/>
      <c r="H31" s="823" t="s">
        <v>1872</v>
      </c>
      <c r="I31" s="2965" t="s">
        <v>2822</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6.4</v>
      </c>
      <c r="G36" s="2048"/>
      <c r="H36" s="2051"/>
      <c r="I36" s="3469"/>
      <c r="J36" s="2065"/>
      <c r="K36" s="2066"/>
      <c r="L36" s="2065"/>
      <c r="M36" s="2065"/>
    </row>
    <row r="37" spans="1:18" ht="18" customHeight="1">
      <c r="A37" s="815"/>
      <c r="B37" s="793"/>
      <c r="C37" s="69"/>
      <c r="D37" s="816"/>
      <c r="E37" s="784" t="s">
        <v>674</v>
      </c>
      <c r="F37" s="785">
        <f ca="1">INDIRECT("'数据-取费表'!r"&amp;$G$1)</f>
        <v>0</v>
      </c>
      <c r="G37" s="2048"/>
      <c r="H37" s="2051"/>
      <c r="I37" s="346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2953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099" t="s">
        <v>2343</v>
      </c>
      <c r="J48" s="2346"/>
      <c r="K48" s="3106" t="s">
        <v>2348</v>
      </c>
      <c r="L48" s="3110">
        <f ca="1">INDIRECT("'数据-取费表'!d"&amp;$G$1)</f>
        <v>0</v>
      </c>
      <c r="M48" s="3073"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8"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8"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8" t="s">
        <v>2346</v>
      </c>
      <c r="J51" s="3103">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0" t="s">
        <v>2347</v>
      </c>
      <c r="J52" s="3104">
        <f>IF(J50="",J51,J50+J51-YEAR('数据-取费表'!B3))</f>
        <v>0</v>
      </c>
      <c r="K52" s="3078"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1" t="s">
        <v>2420</v>
      </c>
      <c r="J53" s="2350"/>
      <c r="K53" s="3101" t="s">
        <v>2419</v>
      </c>
      <c r="L53" s="2350"/>
      <c r="O53" s="2366" t="s">
        <v>2385</v>
      </c>
      <c r="P53" s="2364" t="s">
        <v>2386</v>
      </c>
      <c r="Q53" s="2367">
        <f>J53</f>
        <v>0</v>
      </c>
      <c r="R53" s="2368"/>
    </row>
    <row r="54" spans="1:18" s="2045" customFormat="1" ht="29.25" thickBot="1">
      <c r="A54" s="2082"/>
      <c r="I54" s="3102" t="s">
        <v>2969</v>
      </c>
      <c r="J54" s="3105">
        <f ca="1">IF(M48="住宅",MAX(J52,L49-'数据-取费表'!B20),MIN(J52,L49-'数据-取费表'!B20))</f>
        <v>-1</v>
      </c>
      <c r="K54" s="3474"/>
      <c r="L54" s="3475"/>
      <c r="O54" s="2366" t="s">
        <v>2387</v>
      </c>
      <c r="P54" s="2364" t="s">
        <v>2388</v>
      </c>
      <c r="Q54" s="2365">
        <f ca="1">J54</f>
        <v>-1</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3"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1678</v>
      </c>
      <c r="K57" s="3078"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8"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4" t="e">
        <f ca="1">IF(J56&lt;0.4,0.4,J56)</f>
        <v>#VALUE!</v>
      </c>
      <c r="K59" s="3078"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8"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2933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4" sqref="C3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1006</v>
      </c>
      <c r="C2" s="2090"/>
      <c r="D2" s="2090"/>
      <c r="E2" s="2090"/>
      <c r="F2" s="2090"/>
      <c r="G2" s="2090"/>
      <c r="H2" s="2090"/>
      <c r="I2" s="2090"/>
      <c r="J2" s="2090"/>
      <c r="K2" s="2090"/>
    </row>
    <row r="3" spans="1:31" s="2027" customFormat="1" ht="18" customHeight="1">
      <c r="A3" s="2092" t="s">
        <v>1684</v>
      </c>
      <c r="B3" s="2093">
        <f ca="1">ROUND(B2*10000/IF(B1="",'数据-汇总表'!E3,INDIRECT("'数据-取费表'!K"&amp;$K$1)),0)</f>
        <v>1757</v>
      </c>
      <c r="C3" s="2090"/>
      <c r="D3" s="2090"/>
      <c r="E3" s="2090"/>
      <c r="F3" s="2090"/>
      <c r="G3" s="2090"/>
      <c r="H3" s="2090"/>
      <c r="I3" s="2090"/>
      <c r="J3" s="2090"/>
      <c r="K3" s="2090"/>
    </row>
    <row r="4" spans="1:31" s="2027" customFormat="1" ht="18" customHeight="1">
      <c r="A4" s="426" t="s">
        <v>468</v>
      </c>
      <c r="B4" s="427">
        <f ca="1">ROUND(B2*10000/IF(B1="",'数据-汇总表'!D3,INDIRECT("'数据-取费表'!R"&amp;$K$1)),0)</f>
        <v>2636</v>
      </c>
      <c r="C4" s="428"/>
      <c r="D4" s="422"/>
      <c r="E4" s="422"/>
      <c r="F4" s="422"/>
      <c r="G4" s="422"/>
      <c r="H4" s="422"/>
      <c r="I4" s="422"/>
      <c r="J4" s="422"/>
      <c r="K4" s="422"/>
    </row>
    <row r="5" spans="1:31" s="2027" customFormat="1" ht="18" customHeight="1" thickBot="1">
      <c r="A5" s="429"/>
      <c r="B5" s="430">
        <f ca="1">ROUND(B2/(IF(B1="",'数据-汇总表'!D3,INDIRECT("'数据-取费表'!R"&amp;$K$1))/666.67),0)</f>
        <v>176</v>
      </c>
      <c r="C5" s="431" t="s">
        <v>469</v>
      </c>
      <c r="D5" s="422"/>
      <c r="E5" s="422"/>
      <c r="F5" s="422"/>
      <c r="G5" s="422"/>
      <c r="H5" s="422"/>
      <c r="I5" s="422"/>
      <c r="J5" s="422"/>
      <c r="K5" s="422"/>
    </row>
    <row r="6" spans="1:31" s="2097" customFormat="1" ht="16.5" customHeight="1">
      <c r="A6" s="2784" t="s">
        <v>1842</v>
      </c>
      <c r="B6" s="2785"/>
      <c r="C6" s="2786">
        <f ca="1">SUM(C10:K10)</f>
        <v>3143</v>
      </c>
      <c r="D6" s="2785"/>
      <c r="E6" s="2785"/>
      <c r="F6" s="2785"/>
      <c r="G6" s="2785"/>
      <c r="H6" s="2785"/>
      <c r="I6" s="2785"/>
      <c r="J6" s="2785"/>
      <c r="K6" s="2787"/>
    </row>
    <row r="7" spans="1:31" s="2099" customFormat="1" ht="15">
      <c r="A7" s="2788" t="s">
        <v>470</v>
      </c>
      <c r="B7" s="2789" t="s">
        <v>471</v>
      </c>
      <c r="C7" s="436" t="s">
        <v>3219</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5490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3143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1260</v>
      </c>
      <c r="D13" s="2800"/>
      <c r="E13" s="2801"/>
      <c r="F13" s="2802"/>
      <c r="G13" s="2768"/>
      <c r="H13" s="2769"/>
      <c r="I13" s="2769"/>
      <c r="J13" s="2769"/>
      <c r="K13" s="2770"/>
    </row>
    <row r="14" spans="1:31" s="2102" customFormat="1" ht="13.5" customHeight="1">
      <c r="A14" s="2798" t="s">
        <v>1849</v>
      </c>
      <c r="B14" s="2799" t="s">
        <v>480</v>
      </c>
      <c r="C14" s="53">
        <f ca="1">ROUND(C13*F14,0)</f>
        <v>38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63</v>
      </c>
      <c r="D16" s="2800">
        <f ca="1">IF(B1="",'数据-汇总表'!E3,INDIRECT("'数据-取费表'!K"&amp;$K$1)+INDIRECT("'数据-取费表'!S"&amp;$K$1))</f>
        <v>5725</v>
      </c>
      <c r="E16" s="53">
        <f>'数据-取费表'!B35</f>
        <v>110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1380</v>
      </c>
      <c r="D18" s="2809"/>
      <c r="E18" s="468"/>
      <c r="F18" s="468"/>
      <c r="G18" s="2772" t="s">
        <v>2429</v>
      </c>
      <c r="H18" s="2773"/>
      <c r="I18" s="2773"/>
      <c r="J18" s="2773"/>
      <c r="K18" s="2774"/>
    </row>
    <row r="19" spans="1:14" s="2102" customFormat="1" ht="13.5" customHeight="1">
      <c r="A19" s="2806" t="s">
        <v>1854</v>
      </c>
      <c r="B19" s="2807" t="s">
        <v>488</v>
      </c>
      <c r="C19" s="2764">
        <f ca="1">ROUND(D19*E19/10000,0)</f>
        <v>0</v>
      </c>
      <c r="D19" s="2810">
        <f ca="1">D16</f>
        <v>5725</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23</v>
      </c>
      <c r="D20" s="2810"/>
      <c r="E20" s="2764"/>
      <c r="F20" s="2811"/>
      <c r="G20" s="3040"/>
      <c r="H20" s="2766"/>
      <c r="I20" s="2767" t="s">
        <v>2649</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23</v>
      </c>
      <c r="D22" s="2800">
        <f ca="1">IF(B1="",'数据-汇总表'!E6,IF(INDIRECT("'数据-取费表'!c"&amp;$K$1)="住宅",INDIRECT("'数据-取费表'!s"&amp;$K$1),INDIRECT("'数据-取费表'!k"&amp;$K$1)+INDIRECT("'数据-取费表'!s"&amp;$K$1)))</f>
        <v>5725</v>
      </c>
      <c r="E22" s="53">
        <f>'数据-取费表'!B28</f>
        <v>40</v>
      </c>
      <c r="F22" s="2803"/>
      <c r="G22" s="26"/>
      <c r="H22" s="51"/>
      <c r="I22" s="51"/>
      <c r="J22" s="51"/>
      <c r="K22" s="2775"/>
    </row>
    <row r="23" spans="1:14" s="2102" customFormat="1" ht="13.5" customHeight="1">
      <c r="A23" s="2806" t="s">
        <v>1858</v>
      </c>
      <c r="B23" s="2988" t="s">
        <v>2832</v>
      </c>
      <c r="C23" s="2808">
        <f ca="1">ROUND((C18+C19+C20)*F23,0)</f>
        <v>21</v>
      </c>
      <c r="D23" s="468"/>
      <c r="E23" s="468"/>
      <c r="F23" s="2812">
        <f>'数据-取费表'!B37</f>
        <v>1.4999999999999999E-2</v>
      </c>
      <c r="G23" s="2768" t="s">
        <v>2430</v>
      </c>
      <c r="H23" s="2769"/>
      <c r="I23" s="2769"/>
      <c r="J23" s="2769"/>
      <c r="K23" s="2770"/>
      <c r="L23" s="2104"/>
      <c r="M23" s="2104"/>
      <c r="N23" s="2104"/>
    </row>
    <row r="24" spans="1:14" s="2102" customFormat="1" ht="13.5" customHeight="1">
      <c r="A24" s="2806" t="s">
        <v>1859</v>
      </c>
      <c r="B24" s="2988" t="s">
        <v>2835</v>
      </c>
      <c r="C24" s="2808">
        <f ca="1">ROUND(C6*F24,0)</f>
        <v>63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2833</v>
      </c>
      <c r="C25" s="467">
        <f>ROUND(F25/(1+'数据-取费表'!C42),4)</f>
        <v>2.9000000000000001E-2</v>
      </c>
      <c r="D25" s="462" t="s">
        <v>2827</v>
      </c>
      <c r="E25" s="469"/>
      <c r="F25" s="2812">
        <f>IF(项目基本情况!B8="出让",0,'数据-取费表'!B48+'数据-取费表'!B49)</f>
        <v>3.0499999999999999E-2</v>
      </c>
      <c r="G25" s="2776" t="s">
        <v>2288</v>
      </c>
      <c r="H25" s="2769"/>
      <c r="I25" s="2769"/>
      <c r="J25" s="2769"/>
      <c r="K25" s="2770"/>
    </row>
    <row r="26" spans="1:14" s="2104" customFormat="1" ht="13.5" customHeight="1">
      <c r="A26" s="2806" t="s">
        <v>1861</v>
      </c>
      <c r="B26" s="2989" t="s">
        <v>2834</v>
      </c>
      <c r="C26" s="2813">
        <f ca="1">C28</f>
        <v>32</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2836</v>
      </c>
      <c r="C28" s="2816">
        <f ca="1">ROUND(IF('数据-取费表'!B22&lt;=1,(C18+C19+C20+C23+C24)*F26*'数据-取费表'!B24/2,(C18+C19+C20+C23+C24)*(POWER((1+F26),'数据-取费表'!B24/2)-1)),0)</f>
        <v>32</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 ca="1">ROUND(C6*F29/(1+'数据-取费表'!C42),0)</f>
        <v>165</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1684</v>
      </c>
      <c r="D30" s="477">
        <f ca="1">C32</f>
        <v>7.3800000000000004E-2</v>
      </c>
      <c r="E30" s="469" t="s">
        <v>495</v>
      </c>
      <c r="F30" s="471"/>
      <c r="G30" s="2776" t="s">
        <v>2963</v>
      </c>
      <c r="H30" s="2769"/>
      <c r="I30" s="2769"/>
      <c r="J30" s="2769"/>
      <c r="K30" s="2770"/>
    </row>
    <row r="31" spans="1:14" s="2106" customFormat="1" ht="13.5" customHeight="1">
      <c r="A31" s="803" t="s">
        <v>1856</v>
      </c>
      <c r="B31" s="2814"/>
      <c r="C31" s="450">
        <f ca="1">C18+C19+C20+C23+C24+C26+C29</f>
        <v>1684</v>
      </c>
      <c r="D31" s="472"/>
      <c r="E31" s="473"/>
      <c r="F31" s="474"/>
      <c r="G31" s="261"/>
      <c r="H31" s="2771"/>
      <c r="I31" s="2771"/>
      <c r="J31" s="2771"/>
      <c r="K31" s="279"/>
    </row>
    <row r="32" spans="1:14" s="2106" customFormat="1" ht="13.5" customHeight="1">
      <c r="A32" s="803" t="s">
        <v>1857</v>
      </c>
      <c r="B32" s="2814"/>
      <c r="C32" s="53">
        <f ca="1">ROUND(C25+D26,4)</f>
        <v>7.3800000000000004E-2</v>
      </c>
      <c r="D32" s="472"/>
      <c r="E32" s="473"/>
      <c r="F32" s="474"/>
      <c r="G32" s="261"/>
      <c r="H32" s="2771"/>
      <c r="I32" s="2771"/>
      <c r="J32" s="2771"/>
      <c r="K32" s="279"/>
    </row>
    <row r="33" spans="1:11" s="2108" customFormat="1" ht="13.5" customHeight="1">
      <c r="A33" s="2987" t="s">
        <v>2831</v>
      </c>
      <c r="B33" s="2985" t="s">
        <v>2829</v>
      </c>
      <c r="C33" s="478">
        <f ca="1">C35</f>
        <v>223</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2289</v>
      </c>
      <c r="H34" s="2771"/>
      <c r="I34" s="2771"/>
      <c r="J34" s="2771"/>
      <c r="K34" s="279"/>
    </row>
    <row r="35" spans="1:11" s="2109" customFormat="1" ht="13.5" customHeight="1" thickBot="1">
      <c r="A35" s="1622" t="s">
        <v>1857</v>
      </c>
      <c r="B35" s="2986" t="s">
        <v>2837</v>
      </c>
      <c r="C35" s="1614">
        <f ca="1">ROUND((C18+C19+C20+C23+C24)*F33,0)</f>
        <v>223</v>
      </c>
      <c r="D35" s="1615"/>
      <c r="E35" s="2820"/>
      <c r="F35" s="1616"/>
      <c r="G35" s="2778"/>
      <c r="H35" s="2779"/>
      <c r="I35" s="2779"/>
      <c r="J35" s="2779"/>
      <c r="K35" s="2780"/>
    </row>
    <row r="36" spans="1:11" s="2071" customFormat="1" ht="13.5" customHeight="1" thickBot="1">
      <c r="A36" s="284" t="s">
        <v>1844</v>
      </c>
      <c r="B36" s="2782"/>
      <c r="C36" s="2821">
        <f ca="1">ROUND((C6-C30-C33)/(1+D30+D33),0)</f>
        <v>1006</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估价对象为使用的、位于出让国有建设用地使用权。根据，估价对象（分摊）出让国有建设用地使用权面积为3817平方米。根据，估价对象规划建筑面积为5725平方米。</v>
      </c>
    </row>
    <row r="7" spans="1:4" ht="56.25">
      <c r="A7" s="1781" t="s">
        <v>2745</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2932</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本次估价对象为出让国有建设用地使用权，依据、，土地终止日期为商业2053年11月18日。截至估价期日，出让国有建设用地使用权剩余土地使用年限为。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0" zoomScale="80" zoomScaleNormal="80" workbookViewId="0">
      <selection activeCell="F31" sqref="F3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3219</v>
      </c>
      <c r="D1" s="3077" t="s">
        <v>3267</v>
      </c>
      <c r="E1" s="2352" t="s">
        <v>2373</v>
      </c>
      <c r="F1" s="2353">
        <f ca="1">J53</f>
        <v>33.44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3143</v>
      </c>
      <c r="C2" s="2043"/>
      <c r="D2" s="2041"/>
      <c r="E2" s="2042"/>
      <c r="F2" s="2042"/>
      <c r="G2" s="1577"/>
      <c r="H2" s="2043"/>
      <c r="I2" s="2043"/>
      <c r="J2" s="2043"/>
      <c r="K2" s="2044"/>
      <c r="L2" s="2043"/>
      <c r="M2" s="2043"/>
    </row>
    <row r="3" spans="1:33" ht="18" customHeight="1" thickBot="1">
      <c r="A3" s="833" t="s">
        <v>1727</v>
      </c>
      <c r="B3" s="834">
        <f ca="1">IF(ISERROR(B2*10000/F43),0,ROUND(B2*10000/F43,0))</f>
        <v>5490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213</v>
      </c>
      <c r="D5" s="2461" t="s">
        <v>2459</v>
      </c>
      <c r="E5" s="2455"/>
      <c r="F5" s="2456"/>
      <c r="G5" s="1579"/>
      <c r="H5" s="781">
        <v>1</v>
      </c>
      <c r="I5" s="782" t="s">
        <v>2456</v>
      </c>
      <c r="J5" s="55">
        <f ca="1">J6+J10+J12</f>
        <v>0</v>
      </c>
      <c r="K5" s="2461" t="s">
        <v>2459</v>
      </c>
      <c r="L5" s="2455"/>
      <c r="M5" s="2456"/>
    </row>
    <row r="6" spans="1:33" ht="18" customHeight="1">
      <c r="A6" s="1816" t="s">
        <v>1824</v>
      </c>
      <c r="B6" s="3470" t="s">
        <v>2461</v>
      </c>
      <c r="C6" s="783">
        <f ca="1">ROUND(F6*F8*F7*(1-F9)/10000,0)</f>
        <v>213</v>
      </c>
      <c r="D6" s="2462" t="s">
        <v>2460</v>
      </c>
      <c r="E6" s="784" t="s">
        <v>1738</v>
      </c>
      <c r="F6" s="785">
        <f ca="1">INDIRECT("'数据-取费表'!u"&amp;$G$1)</f>
        <v>1.2</v>
      </c>
      <c r="G6" s="1579"/>
      <c r="H6" s="2469" t="s">
        <v>2466</v>
      </c>
      <c r="I6" s="3470" t="s">
        <v>2461</v>
      </c>
      <c r="J6" s="783">
        <f ca="1">ROUND(M6*M8*M7*(1-M9)/10000,0)</f>
        <v>0</v>
      </c>
      <c r="K6" s="341" t="s">
        <v>1737</v>
      </c>
      <c r="L6" s="784" t="s">
        <v>1738</v>
      </c>
      <c r="M6" s="785">
        <f ca="1">INDIRECT("'数据-取费表'!z"&amp;$G$1)</f>
        <v>0</v>
      </c>
    </row>
    <row r="7" spans="1:33" ht="18" customHeight="1">
      <c r="A7" s="2465"/>
      <c r="B7" s="3471"/>
      <c r="C7" s="788"/>
      <c r="D7" s="789"/>
      <c r="E7" s="784" t="s">
        <v>1739</v>
      </c>
      <c r="F7" s="785">
        <f ca="1">IF(INDIRECT("'数据-取费表'!ah"&amp;$G$1)="",INDIRECT("'数据-取费表'!k"&amp;$G$1),INDIRECT("'数据-取费表'!ah"&amp;$G$1))</f>
        <v>5725</v>
      </c>
      <c r="G7" s="1579"/>
      <c r="H7" s="2454"/>
      <c r="I7" s="3471"/>
      <c r="J7" s="788"/>
      <c r="K7" s="789"/>
      <c r="L7" s="784" t="s">
        <v>1739</v>
      </c>
      <c r="M7" s="785">
        <f ca="1">F7</f>
        <v>5725</v>
      </c>
    </row>
    <row r="8" spans="1:33" ht="18" customHeight="1">
      <c r="A8" s="2458"/>
      <c r="B8" s="3472"/>
      <c r="C8" s="788"/>
      <c r="D8" s="789"/>
      <c r="E8" s="784" t="s">
        <v>1740</v>
      </c>
      <c r="F8" s="785">
        <f ca="1">INDIRECT("'数据-取费表'!ai"&amp;$G$1)</f>
        <v>365</v>
      </c>
      <c r="G8" s="1579"/>
      <c r="H8" s="2454"/>
      <c r="I8" s="3472"/>
      <c r="J8" s="788"/>
      <c r="K8" s="789"/>
      <c r="L8" s="784" t="s">
        <v>1740</v>
      </c>
      <c r="M8" s="785">
        <f ca="1">INDIRECT("'数据-取费表'!ai"&amp;$G$1)</f>
        <v>365</v>
      </c>
    </row>
    <row r="9" spans="1:33" ht="18" customHeight="1">
      <c r="A9" s="786"/>
      <c r="B9" s="3473"/>
      <c r="C9" s="788"/>
      <c r="D9" s="789"/>
      <c r="E9" s="784" t="s">
        <v>1741</v>
      </c>
      <c r="F9" s="794">
        <f ca="1">INDIRECT("'数据-取费表'!w"&amp;$G$1)</f>
        <v>0.15</v>
      </c>
      <c r="G9" s="1579"/>
      <c r="H9" s="2470"/>
      <c r="I9" s="3472"/>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2965</v>
      </c>
      <c r="E10" s="2463" t="s">
        <v>2462</v>
      </c>
      <c r="F10" s="2586" t="s">
        <v>3224</v>
      </c>
      <c r="G10" s="1579"/>
      <c r="H10" s="2526" t="s">
        <v>2467</v>
      </c>
      <c r="I10" s="2531" t="s">
        <v>2457</v>
      </c>
      <c r="J10" s="783">
        <f ca="1">ROUND(IF(M10="押一",J6/12*M11,IF(M10="押二",J6/12*2*M11,IF(M10="押三",J6/12*3*M11,J11*M11))),0)</f>
        <v>0</v>
      </c>
      <c r="K10" s="2466" t="s">
        <v>2965</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1776</v>
      </c>
      <c r="D13" s="1820" t="s">
        <v>2296</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1260</v>
      </c>
      <c r="D14" s="1965" t="s">
        <v>1745</v>
      </c>
      <c r="E14" s="1966"/>
      <c r="F14" s="805"/>
      <c r="G14" s="1579"/>
      <c r="H14" s="1635" t="s">
        <v>1830</v>
      </c>
      <c r="I14" s="2217" t="s">
        <v>2824</v>
      </c>
      <c r="J14" s="53">
        <f ca="1">C29</f>
        <v>1776</v>
      </c>
      <c r="K14" s="26"/>
      <c r="L14" s="801"/>
      <c r="M14" s="802"/>
    </row>
    <row r="15" spans="1:33" s="2050" customFormat="1" ht="18" customHeight="1" thickBot="1">
      <c r="A15" s="1634" t="s">
        <v>1885</v>
      </c>
      <c r="B15" s="784" t="s">
        <v>647</v>
      </c>
      <c r="C15" s="53">
        <f ca="1">ROUND(C14*F15,0)</f>
        <v>38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178</v>
      </c>
      <c r="K16" s="1807" t="s">
        <v>1750</v>
      </c>
      <c r="L16" s="2451"/>
      <c r="M16" s="2456"/>
    </row>
    <row r="17" spans="1:33" s="2050" customFormat="1" ht="18" customHeight="1">
      <c r="A17" s="1634" t="s">
        <v>1887</v>
      </c>
      <c r="B17" s="784" t="s">
        <v>653</v>
      </c>
      <c r="C17" s="53">
        <f ca="1">ROUND(F17*(F43+INDIRECT("'数据-取费表'!S"&amp;$G$1))/10000,0)</f>
        <v>63</v>
      </c>
      <c r="D17" s="784" t="s">
        <v>1751</v>
      </c>
      <c r="E17" s="784" t="s">
        <v>1752</v>
      </c>
      <c r="F17" s="56">
        <f>'数据-取费表'!B35</f>
        <v>110</v>
      </c>
      <c r="G17" s="1580"/>
      <c r="H17" s="1635" t="s">
        <v>1830</v>
      </c>
      <c r="I17" s="784" t="s">
        <v>656</v>
      </c>
      <c r="J17" s="53">
        <f ca="1">ROUND(IF(项目基本情况!B11="自然人",J5*M17,J18+J19+J20),0)</f>
        <v>151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1380</v>
      </c>
      <c r="D19" s="261" t="s">
        <v>1757</v>
      </c>
      <c r="E19" s="1968"/>
      <c r="F19" s="56"/>
      <c r="G19" s="1579"/>
      <c r="H19" s="1634" t="s">
        <v>1885</v>
      </c>
      <c r="I19" s="784" t="s">
        <v>1758</v>
      </c>
      <c r="J19" s="53">
        <f ca="1">IF(K19="按租金收入计税",ROUND(J5*M19,1),ROUND(C29*F33*0.7,1))</f>
        <v>149.19999999999999</v>
      </c>
      <c r="K19" s="811" t="s">
        <v>665</v>
      </c>
      <c r="L19" s="784" t="s">
        <v>1747</v>
      </c>
      <c r="M19" s="809">
        <f>IF(K19="按租金收入计税",'数据-取费表'!B51,'数据-取费表'!B50)</f>
        <v>1.2E-2</v>
      </c>
    </row>
    <row r="20" spans="1:33" s="2050" customFormat="1" ht="18" customHeight="1">
      <c r="A20" s="1635" t="s">
        <v>1889</v>
      </c>
      <c r="B20" s="784" t="s">
        <v>666</v>
      </c>
      <c r="C20" s="53">
        <f ca="1">ROUND(C19*F20,0)</f>
        <v>21</v>
      </c>
      <c r="D20" s="812" t="s">
        <v>1759</v>
      </c>
      <c r="E20" s="784" t="s">
        <v>1747</v>
      </c>
      <c r="F20" s="809">
        <f>'数据-取费表'!B37</f>
        <v>1.4999999999999999E-2</v>
      </c>
      <c r="G20" s="1580"/>
      <c r="H20" s="1637" t="s">
        <v>1880</v>
      </c>
      <c r="I20" s="341" t="s">
        <v>1760</v>
      </c>
      <c r="J20" s="54">
        <f ca="1">ROUND(M20*M21/10000,0)</f>
        <v>2</v>
      </c>
      <c r="K20" s="814" t="s">
        <v>1761</v>
      </c>
      <c r="L20" s="784" t="s">
        <v>1762</v>
      </c>
      <c r="M20" s="640">
        <f>'数据-取费表'!B52</f>
        <v>6.4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2297</v>
      </c>
      <c r="E21" s="784" t="s">
        <v>1765</v>
      </c>
      <c r="F21" s="809">
        <f>'数据-取费表'!B38</f>
        <v>0.02</v>
      </c>
      <c r="G21" s="1580"/>
      <c r="H21" s="2471"/>
      <c r="I21" s="793"/>
      <c r="J21" s="69"/>
      <c r="K21" s="816"/>
      <c r="L21" s="784" t="s">
        <v>1766</v>
      </c>
      <c r="M21" s="785">
        <f ca="1">INDIRECT("'数据-取费表'!r"&amp;$G$1)</f>
        <v>3817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27</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30</v>
      </c>
      <c r="D23" s="2536"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3214">
        <f ca="1">ROUND(IF('数据-取费表'!B22&lt;=1,F21*F24*F23/2,F21*(POWER((1+F24),F23/2)-1)),4)</f>
        <v>4.0000000000000002E-4</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2820</v>
      </c>
      <c r="J25" s="792">
        <f ca="1">J5-J16</f>
        <v>-178</v>
      </c>
      <c r="K25" s="2513" t="s">
        <v>1777</v>
      </c>
      <c r="L25" s="2514"/>
      <c r="M25" s="2515"/>
    </row>
    <row r="26" spans="1:33" ht="18" customHeight="1">
      <c r="A26" s="1634" t="s">
        <v>1831</v>
      </c>
      <c r="B26" s="784" t="s">
        <v>2437</v>
      </c>
      <c r="C26" s="53">
        <f ca="1">ROUND((C19+C20)*F26,0)</f>
        <v>210</v>
      </c>
      <c r="D26" s="812" t="s">
        <v>1778</v>
      </c>
      <c r="E26" s="795" t="s">
        <v>1779</v>
      </c>
      <c r="F26" s="794">
        <f ca="1">INDIRECT("'数据-取费表'!q"&amp;$G$1)</f>
        <v>0.15</v>
      </c>
      <c r="G26" s="1579"/>
      <c r="H26" s="2467" t="s">
        <v>1780</v>
      </c>
      <c r="I26" s="2218" t="s">
        <v>2825</v>
      </c>
      <c r="J26" s="783">
        <f ca="1">IF(J5&lt;&gt;0,ROUND(J25*(1-((1+M28)/(1+M26))^M27)/(M26-M28),0),0)</f>
        <v>0</v>
      </c>
      <c r="K26" s="814" t="s">
        <v>1781</v>
      </c>
      <c r="L26" s="784" t="s">
        <v>2418</v>
      </c>
      <c r="M26" s="794">
        <f ca="1">INDIRECT("'数据-取费表'!I"&amp;$G$1)</f>
        <v>0.05</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2298</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2299</v>
      </c>
      <c r="C29" s="2509">
        <f ca="1">ROUND((C19+C20+C23+C26)/(1-F21-C24-C27-C28),0)</f>
        <v>1776</v>
      </c>
      <c r="D29" s="2510"/>
      <c r="E29" s="2511"/>
      <c r="F29" s="2512"/>
      <c r="G29" s="1580"/>
      <c r="H29" s="823" t="s">
        <v>1787</v>
      </c>
      <c r="I29" s="824" t="s">
        <v>1788</v>
      </c>
      <c r="J29" s="825">
        <f ca="1">ROUND(J26/(1+F40)^F41,0)</f>
        <v>0</v>
      </c>
      <c r="K29" s="826" t="s">
        <v>1789</v>
      </c>
      <c r="L29" s="827"/>
      <c r="M29" s="828">
        <f ca="1">INDIRECT("'数据-取费表'!k"&amp;$G$1)</f>
        <v>5725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71</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39.200000000000003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11.2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25.6</v>
      </c>
      <c r="D33" s="811" t="s">
        <v>3225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2.4</v>
      </c>
      <c r="D34" s="814" t="s">
        <v>1799</v>
      </c>
      <c r="E34" s="784" t="s">
        <v>1800</v>
      </c>
      <c r="F34" s="640">
        <f>'数据-取费表'!B52</f>
        <v>6.4</v>
      </c>
      <c r="G34" s="2048"/>
      <c r="H34" s="2051"/>
      <c r="I34" s="835" t="s">
        <v>1813</v>
      </c>
      <c r="J34" s="836"/>
      <c r="K34" s="2066"/>
      <c r="L34" s="2065"/>
      <c r="M34" s="2065"/>
    </row>
    <row r="35" spans="1:18" ht="18" customHeight="1">
      <c r="A35" s="815"/>
      <c r="B35" s="793"/>
      <c r="C35" s="69"/>
      <c r="D35" s="816"/>
      <c r="E35" s="784" t="s">
        <v>1801</v>
      </c>
      <c r="F35" s="785">
        <f ca="1">INDIRECT("'数据-取费表'!r"&amp;$G$1)</f>
        <v>3817</v>
      </c>
      <c r="G35" s="2048"/>
      <c r="H35" s="2051"/>
      <c r="I35" s="837" t="s">
        <v>1814</v>
      </c>
      <c r="J35" s="838">
        <f ca="1">ROUND(C13*J36,0)</f>
        <v>151</v>
      </c>
      <c r="K35" s="2064"/>
      <c r="L35" s="2063"/>
      <c r="M35" s="2063"/>
    </row>
    <row r="36" spans="1:18" ht="18" customHeight="1">
      <c r="A36" s="1635" t="s">
        <v>1889</v>
      </c>
      <c r="B36" s="784" t="s">
        <v>1802</v>
      </c>
      <c r="C36" s="53">
        <f ca="1">ROUND(C29*F36,1)</f>
        <v>26.6</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2.7</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2.1</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2820</v>
      </c>
      <c r="C39" s="792">
        <f ca="1">C5-C30</f>
        <v>142</v>
      </c>
      <c r="D39" s="2513" t="s">
        <v>1806</v>
      </c>
      <c r="E39" s="2514"/>
      <c r="F39" s="2515"/>
      <c r="G39" s="2048"/>
      <c r="H39" s="2063"/>
      <c r="I39" s="837" t="s">
        <v>1818</v>
      </c>
      <c r="J39" s="845">
        <f ca="1">ROUND(J35/C39,3)</f>
        <v>1.0629999999999999</v>
      </c>
      <c r="K39" s="2069"/>
      <c r="L39" s="2063"/>
      <c r="M39" s="2063"/>
    </row>
    <row r="40" spans="1:18" ht="18" customHeight="1">
      <c r="A40" s="781" t="s">
        <v>1895</v>
      </c>
      <c r="B40" s="2218" t="s">
        <v>2300</v>
      </c>
      <c r="C40" s="783">
        <f ca="1">ROUND(C39*(1-((1+F42)/(1+F40))^F41)/(F40-F42),0)</f>
        <v>3143</v>
      </c>
      <c r="D40" s="814" t="s">
        <v>1807</v>
      </c>
      <c r="E40" s="784" t="s">
        <v>2418</v>
      </c>
      <c r="F40" s="794">
        <f ca="1">INDIRECT("'数据-取费表'!I"&amp;$G$1)</f>
        <v>0.05</v>
      </c>
      <c r="G40" s="2048"/>
      <c r="H40" s="2048"/>
      <c r="I40" s="837" t="s">
        <v>1819</v>
      </c>
      <c r="J40" s="845">
        <f ca="1">1-J39</f>
        <v>-6.2999999999999945E-2</v>
      </c>
      <c r="K40" s="2069"/>
      <c r="L40" s="2048"/>
      <c r="M40" s="2048"/>
    </row>
    <row r="41" spans="1:18" ht="18" customHeight="1">
      <c r="A41" s="786"/>
      <c r="B41" s="787"/>
      <c r="C41" s="788"/>
      <c r="D41" s="821" t="s">
        <v>1808</v>
      </c>
      <c r="E41" s="784" t="s">
        <v>2955</v>
      </c>
      <c r="F41" s="822">
        <f ca="1">IF(INDIRECT("'数据-取费表'!af"&amp;$G$1)=0,INDIRECT("'数据-取费表'!ae"&amp;$G$1),INDIRECT("'数据-取费表'!af"&amp;$G$1))</f>
        <v>33.44</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0.56499999999999995</v>
      </c>
      <c r="K42" s="2068"/>
      <c r="L42" s="1974"/>
      <c r="M42" s="1974"/>
    </row>
    <row r="43" spans="1:18" ht="18" customHeight="1" thickBot="1">
      <c r="A43" s="823" t="s">
        <v>1787</v>
      </c>
      <c r="B43" s="824" t="s">
        <v>1810</v>
      </c>
      <c r="C43" s="825">
        <f ca="1">ROUND(C40*10000/F43,0)</f>
        <v>5490</v>
      </c>
      <c r="D43" s="826" t="s">
        <v>1811</v>
      </c>
      <c r="E43" s="827" t="s">
        <v>1812</v>
      </c>
      <c r="F43" s="828">
        <f ca="1">INDIRECT("'数据-取费表'!k"&amp;$G$1)</f>
        <v>5725</v>
      </c>
      <c r="G43" s="2048"/>
      <c r="H43" s="1974"/>
      <c r="I43" s="847" t="s">
        <v>1822</v>
      </c>
      <c r="J43" s="848">
        <f ca="1">1-J42</f>
        <v>0.43500000000000005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-3658</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3226</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34.44</v>
      </c>
      <c r="O48" s="2363" t="s">
        <v>2378</v>
      </c>
      <c r="P48" s="2364" t="s">
        <v>2404</v>
      </c>
      <c r="Q48" s="2365">
        <f ca="1">C40+J29</f>
        <v>3143</v>
      </c>
      <c r="R48" s="2364" t="s">
        <v>2379</v>
      </c>
    </row>
    <row r="49" spans="1:18" s="2045" customFormat="1" ht="18" customHeight="1" thickBot="1">
      <c r="A49" s="786"/>
      <c r="B49" s="787"/>
      <c r="C49" s="788"/>
      <c r="D49" s="789"/>
      <c r="E49" s="784" t="s">
        <v>1739</v>
      </c>
      <c r="F49" s="785">
        <f ca="1">F7</f>
        <v>5725</v>
      </c>
      <c r="G49" s="2076"/>
      <c r="H49" s="2079"/>
      <c r="I49" s="3078" t="s">
        <v>2345</v>
      </c>
      <c r="J49" s="2348"/>
      <c r="K49" s="3108" t="s">
        <v>2351</v>
      </c>
      <c r="L49" s="2349"/>
      <c r="O49" s="2363" t="s">
        <v>2380</v>
      </c>
      <c r="P49" s="2364" t="s">
        <v>2405</v>
      </c>
      <c r="Q49" s="2365" t="str">
        <f ca="1">J60</f>
        <v>0</v>
      </c>
      <c r="R49" s="2364" t="s">
        <v>2381</v>
      </c>
    </row>
    <row r="50" spans="1:18" s="2045" customFormat="1" ht="18" customHeight="1" thickBot="1">
      <c r="A50" s="786"/>
      <c r="B50" s="787"/>
      <c r="C50" s="788"/>
      <c r="D50" s="789"/>
      <c r="E50" s="784" t="s">
        <v>1740</v>
      </c>
      <c r="F50" s="785">
        <f ca="1">F8</f>
        <v>365</v>
      </c>
      <c r="G50" s="2081"/>
      <c r="H50" s="2079"/>
      <c r="I50" s="3078" t="s">
        <v>2346</v>
      </c>
      <c r="J50" s="3103">
        <f>SUMPRODUCT((I63:I65=J47)*(J62:L62=J48)*(J63:L65))</f>
        <v>60</v>
      </c>
      <c r="K50" s="3108" t="s">
        <v>2352</v>
      </c>
      <c r="L50" s="2349"/>
      <c r="O50" s="2366" t="s">
        <v>2382</v>
      </c>
      <c r="P50" s="2364" t="s">
        <v>2406</v>
      </c>
      <c r="Q50" s="2365">
        <f ca="1">C29</f>
        <v>1776</v>
      </c>
      <c r="R50" s="2364" t="s">
        <v>2379</v>
      </c>
    </row>
    <row r="51" spans="1:18" s="2045" customFormat="1" ht="18" customHeight="1" thickBot="1">
      <c r="A51" s="786"/>
      <c r="B51" s="787"/>
      <c r="C51" s="788"/>
      <c r="D51" s="789"/>
      <c r="E51" s="784" t="s">
        <v>640</v>
      </c>
      <c r="F51" s="2336"/>
      <c r="H51" s="2079"/>
      <c r="I51" s="3100" t="s">
        <v>2347</v>
      </c>
      <c r="J51" s="3104">
        <f>IF(J49="",J50,J49+J50-YEAR('数据-取费表'!B2))</f>
        <v>60</v>
      </c>
      <c r="K51" s="3078" t="s">
        <v>2353</v>
      </c>
      <c r="L51" s="3111">
        <f ca="1">ROUND(-PV(INDIRECT("'数据-取费表'!h"&amp;$G$1),L48,(C39-C13*J36),0),0)</f>
        <v>-155</v>
      </c>
      <c r="O51" s="2366" t="s">
        <v>2383</v>
      </c>
      <c r="P51" s="2364" t="s">
        <v>2384</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2966</v>
      </c>
      <c r="E52" s="2463" t="s">
        <v>2462</v>
      </c>
      <c r="F52" s="2586"/>
      <c r="I52" s="3101" t="s">
        <v>2420</v>
      </c>
      <c r="J52" s="2350"/>
      <c r="K52" s="3101" t="s">
        <v>2419</v>
      </c>
      <c r="L52" s="2350"/>
      <c r="O52" s="2366" t="s">
        <v>2385</v>
      </c>
      <c r="P52" s="2364" t="s">
        <v>2386</v>
      </c>
      <c r="Q52" s="2367">
        <f>J52</f>
        <v>0</v>
      </c>
      <c r="R52" s="2368"/>
    </row>
    <row r="53" spans="1:18" s="2045" customFormat="1" ht="39.75" customHeight="1" thickBot="1">
      <c r="A53" s="786"/>
      <c r="B53" s="2460" t="s">
        <v>2571</v>
      </c>
      <c r="C53" s="2464"/>
      <c r="D53" s="2466"/>
      <c r="E53" s="2463"/>
      <c r="F53" s="800"/>
      <c r="I53" s="3102" t="s">
        <v>2969</v>
      </c>
      <c r="J53" s="3105">
        <f ca="1">IF(M47="住宅",IF(D1="——",MAX(J51,L48),MAX(J51,L48-'数据-取费表'!B20)),IF(D1="——",MIN(J51,L48),MIN(J51,L48-'数据-取费表'!B20)))</f>
        <v>33.44</v>
      </c>
      <c r="K53" s="3476" t="s">
        <v>2957</v>
      </c>
      <c r="L53" s="3477"/>
      <c r="O53" s="2366" t="s">
        <v>2387</v>
      </c>
      <c r="P53" s="2364" t="s">
        <v>2388</v>
      </c>
      <c r="Q53" s="2365">
        <f ca="1">J53</f>
        <v>33.44</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3143</v>
      </c>
      <c r="R54" s="2368" t="s">
        <v>2391</v>
      </c>
    </row>
    <row r="55" spans="1:18" s="2045" customFormat="1" ht="18" customHeight="1" thickTop="1" thickBot="1">
      <c r="A55" s="797">
        <v>2</v>
      </c>
      <c r="B55" s="798" t="s">
        <v>644</v>
      </c>
      <c r="C55" s="799">
        <f ca="1">C13</f>
        <v>1776</v>
      </c>
      <c r="D55" s="795"/>
      <c r="E55" s="795"/>
      <c r="F55" s="800"/>
      <c r="I55" s="3114" t="s">
        <v>2354</v>
      </c>
      <c r="J55" s="3053" t="e">
        <f ca="1">ROUND(IF(J47="钢混",J57/J50,1-(1-2%)*(J50-J57)/J50),3)</f>
        <v>#VALUE!</v>
      </c>
      <c r="K55" s="3115" t="s">
        <v>2355</v>
      </c>
      <c r="L55" s="2351"/>
      <c r="O55" s="2369" t="s">
        <v>2410</v>
      </c>
      <c r="P55" s="1579"/>
      <c r="Q55" s="1590"/>
      <c r="R55" s="1579"/>
    </row>
    <row r="56" spans="1:18" s="2045" customFormat="1" ht="42.75" customHeight="1" thickBot="1">
      <c r="A56" s="1636"/>
      <c r="B56" s="2217" t="s">
        <v>2301</v>
      </c>
      <c r="C56" s="53">
        <f ca="1">C29</f>
        <v>1776</v>
      </c>
      <c r="D56" s="2604"/>
      <c r="E56" s="784"/>
      <c r="F56" s="809"/>
      <c r="I56" s="3116" t="s">
        <v>2356</v>
      </c>
      <c r="J56" s="3126" t="s">
        <v>1678</v>
      </c>
      <c r="K56" s="3078" t="s">
        <v>2361</v>
      </c>
      <c r="L56" s="1894" t="str">
        <f ca="1">IF(L48&lt;J51,"——",L48-J51)</f>
        <v>——</v>
      </c>
      <c r="O56" s="2360" t="s">
        <v>2374</v>
      </c>
      <c r="P56" s="2361" t="s">
        <v>2375</v>
      </c>
      <c r="Q56" s="2362" t="s">
        <v>2376</v>
      </c>
      <c r="R56" s="2361" t="s">
        <v>2377</v>
      </c>
    </row>
    <row r="57" spans="1:18" s="2045" customFormat="1" ht="28.5" customHeight="1" thickBot="1">
      <c r="A57" s="797" t="s">
        <v>1748</v>
      </c>
      <c r="B57" s="798" t="s">
        <v>651</v>
      </c>
      <c r="C57" s="799">
        <f ca="1">ROUND(C58+C63+C64+C65,0)</f>
        <v>32</v>
      </c>
      <c r="D57" s="26" t="s">
        <v>1750</v>
      </c>
      <c r="E57" s="2605"/>
      <c r="F57" s="56"/>
      <c r="I57" s="3117" t="s">
        <v>2357</v>
      </c>
      <c r="J57" s="3118" t="str">
        <f ca="1">IF(OR(M47="住宅",J51&lt;L48,J56="是"),"——",J51-L48)</f>
        <v>——</v>
      </c>
      <c r="K57" s="3078" t="s">
        <v>2362</v>
      </c>
      <c r="L57" s="1894" t="str">
        <f ca="1">IF(L48&lt;J51,"——",IF(L55="比较法",L49,IF(L55="基准地价",L50,L51)))</f>
        <v>——</v>
      </c>
      <c r="O57" s="2363" t="s">
        <v>2378</v>
      </c>
      <c r="P57" s="2364" t="s">
        <v>2408</v>
      </c>
      <c r="Q57" s="2365">
        <f ca="1">C40+J29</f>
        <v>3143</v>
      </c>
      <c r="R57" s="2364" t="s">
        <v>2379</v>
      </c>
    </row>
    <row r="58" spans="1:18" s="2045" customFormat="1" ht="28.5" customHeight="1" thickBot="1">
      <c r="A58" s="1635" t="s">
        <v>1824</v>
      </c>
      <c r="B58" s="784" t="s">
        <v>656</v>
      </c>
      <c r="C58" s="53">
        <f ca="1">ROUND(IF(项目基本情况!B11="自然人",C47*F58,C59+C60+C61),1)</f>
        <v>2.4</v>
      </c>
      <c r="D58" s="2603" t="s">
        <v>657</v>
      </c>
      <c r="E58" s="2604" t="s">
        <v>690</v>
      </c>
      <c r="F58" s="810" t="str">
        <f ca="1">IF(项目基本情况!B11="企业","",IF(INDIRECT("'数据-取费表'!c"&amp;$G$1)="住宅",5%,IF(F48*F49*F50/12/(1+'数据-取费表'!C42)&gt;20000,12%,7%)))</f>
        <v/>
      </c>
      <c r="I58" s="3117" t="s">
        <v>2358</v>
      </c>
      <c r="J58" s="3054" t="e">
        <f ca="1">IF(J55&lt;0.4,0.4,J55)</f>
        <v>#VALUE!</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2359</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2360</v>
      </c>
      <c r="J60" s="3120" t="str">
        <f ca="1">IF(OR(M47="住宅",J51&lt;L48,J56="是"),"0",ROUND(J59/(1+J52)^J53,0))</f>
        <v>0</v>
      </c>
      <c r="K60" s="3121" t="s">
        <v>2365</v>
      </c>
      <c r="L60" s="3120">
        <f ca="1">IF(OR(M47="住宅",L48&lt;J51),0,ROUND(L57*(L58/L59-1),0))</f>
        <v>0</v>
      </c>
      <c r="O60" s="2366" t="s">
        <v>2383</v>
      </c>
      <c r="P60" s="2364" t="s">
        <v>2392</v>
      </c>
      <c r="Q60" s="2367">
        <f>L52</f>
        <v>0</v>
      </c>
      <c r="R60" s="2368"/>
    </row>
    <row r="61" spans="1:18" s="2045" customFormat="1" ht="18" customHeight="1" thickBot="1">
      <c r="A61" s="1637" t="s">
        <v>1833</v>
      </c>
      <c r="B61" s="341" t="s">
        <v>668</v>
      </c>
      <c r="C61" s="54">
        <f ca="1">ROUND(F61*F62/10000,1)</f>
        <v>2.4</v>
      </c>
      <c r="D61" s="814" t="s">
        <v>669</v>
      </c>
      <c r="E61" s="784" t="s">
        <v>670</v>
      </c>
      <c r="F61" s="640">
        <f t="shared" si="0"/>
        <v>6.4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3817</v>
      </c>
      <c r="I62" s="3122" t="s">
        <v>2366</v>
      </c>
      <c r="J62" s="3123" t="s">
        <v>2367</v>
      </c>
      <c r="K62" s="3123" t="s">
        <v>2368</v>
      </c>
      <c r="L62" s="3123" t="s">
        <v>2349</v>
      </c>
      <c r="M62" s="3124" t="s">
        <v>2933</v>
      </c>
      <c r="O62" s="2366" t="s">
        <v>2387</v>
      </c>
      <c r="P62" s="2364" t="str">
        <f>K59</f>
        <v>建设期及建筑物耐用年限下的土地年期修正系数Kn</v>
      </c>
      <c r="Q62" s="2365" t="e">
        <f ca="1">L59</f>
        <v>#DIV/0!</v>
      </c>
      <c r="R62" s="2368" t="s">
        <v>2396</v>
      </c>
    </row>
    <row r="63" spans="1:18" s="2045" customFormat="1" ht="15.75" thickBot="1">
      <c r="A63" s="1635" t="s">
        <v>1889</v>
      </c>
      <c r="B63" s="784" t="s">
        <v>676</v>
      </c>
      <c r="C63" s="53">
        <f ca="1">ROUND(C56*F63,1)</f>
        <v>26.6</v>
      </c>
      <c r="D63" s="2604" t="s">
        <v>1803</v>
      </c>
      <c r="E63" s="784" t="s">
        <v>1747</v>
      </c>
      <c r="F63" s="817">
        <f t="shared" ca="1" si="0"/>
        <v>1.4999999999999999E-2</v>
      </c>
      <c r="I63" s="3122" t="s">
        <v>2369</v>
      </c>
      <c r="J63" s="3123">
        <v>70</v>
      </c>
      <c r="K63" s="3123">
        <v>50</v>
      </c>
      <c r="L63" s="3123">
        <v>80</v>
      </c>
      <c r="M63" s="3125">
        <v>0.02</v>
      </c>
      <c r="O63" s="2363" t="s">
        <v>2390</v>
      </c>
      <c r="P63" s="2364" t="s">
        <v>2407</v>
      </c>
      <c r="Q63" s="2365">
        <f ca="1">Q57+Q58</f>
        <v>3143</v>
      </c>
      <c r="R63" s="2368" t="s">
        <v>2391</v>
      </c>
    </row>
    <row r="64" spans="1:18" s="2045" customFormat="1" ht="16.5" thickBot="1">
      <c r="A64" s="1635" t="s">
        <v>1890</v>
      </c>
      <c r="B64" s="784" t="s">
        <v>679</v>
      </c>
      <c r="C64" s="53">
        <f ca="1">ROUND(C55*F64,1)</f>
        <v>2.7</v>
      </c>
      <c r="D64" s="2604" t="s">
        <v>680</v>
      </c>
      <c r="E64" s="784" t="s">
        <v>1747</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1776</v>
      </c>
      <c r="B66" s="2964" t="s">
        <v>2820</v>
      </c>
      <c r="C66" s="799">
        <f ca="1">C47-C57</f>
        <v>-32</v>
      </c>
      <c r="D66" s="2603" t="s">
        <v>700</v>
      </c>
      <c r="E66" s="2602"/>
      <c r="F66" s="820"/>
      <c r="K66" s="2072"/>
      <c r="O66" s="2363" t="s">
        <v>2378</v>
      </c>
      <c r="P66" s="2364" t="s">
        <v>2408</v>
      </c>
      <c r="Q66" s="2365">
        <f ca="1">C40+J29</f>
        <v>3143</v>
      </c>
      <c r="R66" s="2364" t="s">
        <v>2379</v>
      </c>
    </row>
    <row r="67" spans="1:18" s="2045" customFormat="1" ht="20.25" thickBot="1">
      <c r="A67" s="781" t="s">
        <v>1780</v>
      </c>
      <c r="B67" s="2218" t="s">
        <v>2300</v>
      </c>
      <c r="C67" s="783">
        <f ca="1">ROUND(C66*(1-((1+F69)/(1+F67))^F68)/(F67-F69),0)</f>
        <v>-515</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1808</v>
      </c>
      <c r="E68" s="784" t="s">
        <v>1784</v>
      </c>
      <c r="F68" s="822">
        <f ca="1">F41</f>
        <v>33.44</v>
      </c>
      <c r="O68" s="2366" t="s">
        <v>2382</v>
      </c>
      <c r="P68" s="2364" t="s">
        <v>2412</v>
      </c>
      <c r="Q68" s="2370">
        <f ca="1">L51</f>
        <v>-155</v>
      </c>
      <c r="R68" s="2371" t="s">
        <v>2415</v>
      </c>
    </row>
    <row r="69" spans="1:18" ht="20.25" thickBot="1">
      <c r="A69" s="790"/>
      <c r="B69" s="791"/>
      <c r="C69" s="792"/>
      <c r="D69" s="816"/>
      <c r="E69" s="784" t="s">
        <v>710</v>
      </c>
      <c r="F69" s="2336"/>
      <c r="O69" s="2366" t="s">
        <v>2383</v>
      </c>
      <c r="P69" s="2372" t="s">
        <v>2397</v>
      </c>
      <c r="Q69" s="2365">
        <f ca="1">ROUND(Q70-Q71*Q72,0)</f>
        <v>-9</v>
      </c>
      <c r="R69" s="2368"/>
    </row>
    <row r="70" spans="1:18" ht="15.75" thickBot="1">
      <c r="A70" s="823" t="s">
        <v>1787</v>
      </c>
      <c r="B70" s="824" t="s">
        <v>1810</v>
      </c>
      <c r="C70" s="825">
        <f ca="1">ROUND(C67*10000/F70,0)</f>
        <v>-900</v>
      </c>
      <c r="D70" s="826" t="s">
        <v>1811</v>
      </c>
      <c r="E70" s="827" t="s">
        <v>1812</v>
      </c>
      <c r="F70" s="828">
        <f ca="1">F43</f>
        <v>5725</v>
      </c>
      <c r="O70" s="2366" t="s">
        <v>2398</v>
      </c>
      <c r="P70" s="2372" t="s">
        <v>2399</v>
      </c>
      <c r="Q70" s="2365">
        <f ca="1">C39</f>
        <v>142</v>
      </c>
      <c r="R70" s="2364" t="s">
        <v>2379</v>
      </c>
    </row>
    <row r="71" spans="1:18" ht="15.75" thickBot="1">
      <c r="O71" s="2366" t="s">
        <v>2400</v>
      </c>
      <c r="P71" s="2372" t="s">
        <v>2401</v>
      </c>
      <c r="Q71" s="2365">
        <f ca="1">C13</f>
        <v>1776</v>
      </c>
      <c r="R71" s="2364" t="s">
        <v>2379</v>
      </c>
    </row>
    <row r="72" spans="1:18" ht="15.75" thickBot="1">
      <c r="O72" s="2366" t="s">
        <v>2402</v>
      </c>
      <c r="P72" s="2372" t="s">
        <v>2403</v>
      </c>
      <c r="Q72" s="2367">
        <f ca="1">J36</f>
        <v>8.5000000000000006E-2</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3143</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view="pageBreakPreview" topLeftCell="J7" zoomScaleNormal="115" zoomScaleSheetLayoutView="100" workbookViewId="0">
      <selection activeCell="N38" sqref="N38"/>
    </sheetView>
  </sheetViews>
  <sheetFormatPr defaultRowHeight="13.5"/>
  <cols>
    <col min="1" max="1" width="5.25" bestFit="1" customWidth="1"/>
    <col min="2" max="2" width="24.5" customWidth="1"/>
    <col min="3" max="3" width="27.875" customWidth="1"/>
    <col min="4" max="4" width="36.25" customWidth="1"/>
    <col min="5" max="5" width="5.25" bestFit="1" customWidth="1"/>
    <col min="6" max="6" width="7.5" bestFit="1" customWidth="1"/>
    <col min="7" max="7" width="15.625" bestFit="1" customWidth="1"/>
    <col min="9" max="9" width="15.125" customWidth="1"/>
    <col min="11" max="11" width="9.5" bestFit="1" customWidth="1"/>
    <col min="13" max="13" width="15.625" bestFit="1" customWidth="1"/>
    <col min="14" max="14" width="13.875" customWidth="1"/>
    <col min="15" max="15" width="10" customWidth="1"/>
    <col min="16" max="16" width="10.5" bestFit="1" customWidth="1"/>
    <col min="17" max="17" width="9.125" customWidth="1"/>
    <col min="18" max="18" width="9" customWidth="1"/>
  </cols>
  <sheetData>
    <row r="1" spans="1:19">
      <c r="A1" s="3478" t="s">
        <v>2991</v>
      </c>
      <c r="B1" s="3478"/>
      <c r="C1" s="3478"/>
      <c r="D1" s="3478"/>
      <c r="E1" s="3478"/>
      <c r="F1" s="3478"/>
      <c r="G1" s="3478"/>
      <c r="H1" s="3184"/>
      <c r="I1" s="3184"/>
      <c r="J1" s="3184"/>
      <c r="K1" s="3184"/>
      <c r="L1" s="3184"/>
      <c r="M1" s="3184"/>
      <c r="N1" s="3184"/>
    </row>
    <row r="2" spans="1:19">
      <c r="A2" s="3185" t="s">
        <v>2992</v>
      </c>
      <c r="B2" s="3185" t="s">
        <v>2993</v>
      </c>
      <c r="C2" s="3185" t="s">
        <v>3000</v>
      </c>
      <c r="D2" s="3185" t="s">
        <v>2994</v>
      </c>
      <c r="E2" s="3185" t="s">
        <v>2996</v>
      </c>
      <c r="F2" s="3185" t="s">
        <v>2998</v>
      </c>
      <c r="G2" s="3185" t="s">
        <v>2999</v>
      </c>
      <c r="H2" s="3186" t="s">
        <v>3014</v>
      </c>
      <c r="I2" s="3186" t="s">
        <v>3015</v>
      </c>
      <c r="J2" s="3186" t="s">
        <v>3016</v>
      </c>
      <c r="K2" s="3186" t="s">
        <v>3018</v>
      </c>
      <c r="L2" s="3186" t="s">
        <v>3019</v>
      </c>
      <c r="M2" s="3186" t="s">
        <v>3020</v>
      </c>
      <c r="N2" s="3186" t="s">
        <v>3021</v>
      </c>
      <c r="O2" s="3212" t="s">
        <v>3262</v>
      </c>
      <c r="P2" s="3212" t="s">
        <v>3263</v>
      </c>
      <c r="Q2" s="3208" t="s">
        <v>3259</v>
      </c>
      <c r="R2" s="3208" t="s">
        <v>3260</v>
      </c>
      <c r="S2" s="3208" t="s">
        <v>3261</v>
      </c>
    </row>
    <row r="3" spans="1:19">
      <c r="A3" s="3184">
        <v>1</v>
      </c>
      <c r="B3" s="3184" t="s">
        <v>3002</v>
      </c>
      <c r="C3" s="3184" t="s">
        <v>3001</v>
      </c>
      <c r="D3" s="3184" t="s">
        <v>2995</v>
      </c>
      <c r="E3" s="3184" t="s">
        <v>2997</v>
      </c>
      <c r="F3" s="3184">
        <v>203</v>
      </c>
      <c r="G3" s="3187">
        <v>56206</v>
      </c>
      <c r="H3" s="3184">
        <v>1.5</v>
      </c>
      <c r="I3" s="3184" t="s">
        <v>3033</v>
      </c>
      <c r="J3" s="3184" t="s">
        <v>3017</v>
      </c>
      <c r="K3" s="3184">
        <v>210000</v>
      </c>
      <c r="L3" s="3184">
        <v>1034.48</v>
      </c>
      <c r="M3" s="3479" t="s">
        <v>3022</v>
      </c>
      <c r="N3" s="3480">
        <v>41596</v>
      </c>
      <c r="O3" s="3207">
        <f>H3*F3</f>
        <v>304.5</v>
      </c>
      <c r="P3">
        <v>304</v>
      </c>
      <c r="Q3" s="3518">
        <f ca="1">ROUND(S3/F3*10000,0)</f>
        <v>1970</v>
      </c>
      <c r="R3" s="3518">
        <f ca="1">ROUND(S3/P3*10000,0)</f>
        <v>1316</v>
      </c>
      <c r="S3" s="3518">
        <f ca="1">ROUND(F3/系统读取表!$C$14*系统读取表!$D$14,0)</f>
        <v>40</v>
      </c>
    </row>
    <row r="4" spans="1:19">
      <c r="A4" s="3184">
        <v>2</v>
      </c>
      <c r="B4" s="3184" t="s">
        <v>3003</v>
      </c>
      <c r="C4" s="3184" t="s">
        <v>3001</v>
      </c>
      <c r="D4" s="3184" t="s">
        <v>2995</v>
      </c>
      <c r="E4" s="3184" t="s">
        <v>2997</v>
      </c>
      <c r="F4" s="3184">
        <v>438</v>
      </c>
      <c r="G4" s="3187">
        <v>56206</v>
      </c>
      <c r="H4" s="3184">
        <v>1.5</v>
      </c>
      <c r="I4" s="3184" t="s">
        <v>3023</v>
      </c>
      <c r="J4" s="3184" t="s">
        <v>3024</v>
      </c>
      <c r="K4" s="3184">
        <v>610000</v>
      </c>
      <c r="L4" s="3184">
        <v>1062.71</v>
      </c>
      <c r="M4" s="3479"/>
      <c r="N4" s="3480"/>
      <c r="O4" s="3207">
        <f t="shared" ref="O4:O7" si="0">H4*F4</f>
        <v>657</v>
      </c>
      <c r="P4" s="3211">
        <v>657</v>
      </c>
      <c r="Q4" s="3518">
        <f ca="1">ROUND(S4/F4*10000,0)</f>
        <v>1986</v>
      </c>
      <c r="R4" s="3518">
        <f ca="1">ROUND(S4/P4*10000,0)</f>
        <v>1324</v>
      </c>
      <c r="S4" s="3518">
        <f ca="1">ROUND(F4/系统读取表!$C$14*系统读取表!$D$14,0)</f>
        <v>87</v>
      </c>
    </row>
    <row r="5" spans="1:19">
      <c r="A5" s="3184">
        <v>3</v>
      </c>
      <c r="B5" s="3184" t="s">
        <v>3004</v>
      </c>
      <c r="C5" s="3184" t="s">
        <v>3001</v>
      </c>
      <c r="D5" s="3184" t="s">
        <v>2995</v>
      </c>
      <c r="E5" s="3184" t="s">
        <v>3005</v>
      </c>
      <c r="F5" s="3184">
        <v>945</v>
      </c>
      <c r="G5" s="3187">
        <v>56206</v>
      </c>
      <c r="H5" s="3184">
        <v>1.5</v>
      </c>
      <c r="I5" s="3188" t="s">
        <v>3025</v>
      </c>
      <c r="J5" s="3188" t="s">
        <v>3017</v>
      </c>
      <c r="K5" s="3184">
        <v>910000</v>
      </c>
      <c r="L5" s="3184">
        <v>962.96</v>
      </c>
      <c r="M5" s="3479"/>
      <c r="N5" s="3480"/>
      <c r="O5" s="3207">
        <f t="shared" si="0"/>
        <v>1417.5</v>
      </c>
      <c r="P5">
        <v>1418</v>
      </c>
      <c r="Q5" s="3518">
        <f t="shared" ref="Q5:Q6" ca="1" si="1">ROUND(S5/F5*10000,0)</f>
        <v>1979</v>
      </c>
      <c r="R5" s="3518">
        <f ca="1">ROUND(S5/P5*10000,0)</f>
        <v>1319</v>
      </c>
      <c r="S5" s="3518">
        <f ca="1">ROUND(F5/系统读取表!$C$14*系统读取表!$D$14,0)</f>
        <v>187</v>
      </c>
    </row>
    <row r="6" spans="1:19">
      <c r="A6" s="3184">
        <v>4</v>
      </c>
      <c r="B6" s="3184" t="s">
        <v>3006</v>
      </c>
      <c r="C6" s="3184" t="s">
        <v>3007</v>
      </c>
      <c r="D6" s="3184" t="s">
        <v>2995</v>
      </c>
      <c r="E6" s="3184" t="s">
        <v>3005</v>
      </c>
      <c r="F6" s="3184">
        <v>1093</v>
      </c>
      <c r="G6" s="3187">
        <v>56206</v>
      </c>
      <c r="H6" s="3184">
        <v>1.5</v>
      </c>
      <c r="I6" s="3188" t="s">
        <v>3026</v>
      </c>
      <c r="J6" s="3188" t="s">
        <v>3017</v>
      </c>
      <c r="K6" s="3188">
        <v>1010000</v>
      </c>
      <c r="L6" s="3188">
        <v>924.06</v>
      </c>
      <c r="M6" s="3479"/>
      <c r="N6" s="3480"/>
      <c r="O6" s="3207">
        <f t="shared" si="0"/>
        <v>1639.5</v>
      </c>
      <c r="P6">
        <v>1639</v>
      </c>
      <c r="Q6" s="3518">
        <f t="shared" ca="1" si="1"/>
        <v>1976</v>
      </c>
      <c r="R6" s="3518">
        <f t="shared" ref="R4:R6" ca="1" si="2">ROUND(S6/P6*10000,0)</f>
        <v>1318</v>
      </c>
      <c r="S6" s="3518">
        <f ca="1">ROUND(F6/系统读取表!$C$14*系统读取表!$D$14,0)</f>
        <v>216</v>
      </c>
    </row>
    <row r="7" spans="1:19">
      <c r="A7" s="3184">
        <v>5</v>
      </c>
      <c r="B7" s="3184" t="s">
        <v>3008</v>
      </c>
      <c r="C7" s="3184" t="s">
        <v>3001</v>
      </c>
      <c r="D7" s="3184" t="s">
        <v>2995</v>
      </c>
      <c r="E7" s="3184" t="s">
        <v>3005</v>
      </c>
      <c r="F7" s="3184">
        <v>1138</v>
      </c>
      <c r="G7" s="3187">
        <v>56206</v>
      </c>
      <c r="H7" s="3184">
        <v>1.5</v>
      </c>
      <c r="I7" s="3188" t="s">
        <v>3027</v>
      </c>
      <c r="J7" s="3184" t="s">
        <v>3031</v>
      </c>
      <c r="K7" s="3188">
        <v>1110000</v>
      </c>
      <c r="L7" s="3188">
        <v>975.39</v>
      </c>
      <c r="M7" s="3479"/>
      <c r="N7" s="3480"/>
      <c r="O7" s="3207">
        <f t="shared" si="0"/>
        <v>1707</v>
      </c>
      <c r="P7">
        <v>1707</v>
      </c>
      <c r="Q7" s="3518">
        <f ca="1">ROUND(S7/F7*10000,0)</f>
        <v>1968</v>
      </c>
      <c r="R7" s="3518">
        <f ca="1">ROUND(S7/P7*10000,0)</f>
        <v>1312</v>
      </c>
      <c r="S7" s="3518">
        <f ca="1">系统读取表!D14-SUM(土地证信息!S3:S6)</f>
        <v>224</v>
      </c>
    </row>
    <row r="8" spans="1:19" ht="24">
      <c r="A8" s="3184">
        <v>6</v>
      </c>
      <c r="B8" s="3184" t="s">
        <v>3255</v>
      </c>
      <c r="C8" s="3184" t="s">
        <v>3013</v>
      </c>
      <c r="D8" s="3184" t="s">
        <v>3010</v>
      </c>
      <c r="E8" s="3184" t="s">
        <v>2997</v>
      </c>
      <c r="F8" s="3184">
        <v>26694</v>
      </c>
      <c r="G8" s="3187">
        <v>55485</v>
      </c>
      <c r="H8" s="3184">
        <v>1.2</v>
      </c>
      <c r="I8" s="3184" t="s">
        <v>3028</v>
      </c>
      <c r="J8" s="3184" t="s">
        <v>3017</v>
      </c>
      <c r="K8" s="3188">
        <v>33470000</v>
      </c>
      <c r="L8" s="3188">
        <v>1253.83</v>
      </c>
      <c r="M8" s="3190" t="s">
        <v>3264</v>
      </c>
      <c r="N8" s="3189">
        <v>40876</v>
      </c>
      <c r="O8" s="3207">
        <f>H8*F8</f>
        <v>32032.799999999999</v>
      </c>
      <c r="P8" s="3207">
        <f>O8</f>
        <v>32032.799999999999</v>
      </c>
      <c r="Q8" s="3518">
        <f ca="1">ROUND(S8/F8*10000,0)</f>
        <v>1958</v>
      </c>
      <c r="R8" s="3518">
        <f ca="1">ROUND(S8/O8*10000,0)</f>
        <v>1631</v>
      </c>
      <c r="S8" s="3518">
        <f ca="1">ROUND(土地证信息!F8/系统读取表!$C$15*系统读取表!$D$15,0)</f>
        <v>5226</v>
      </c>
    </row>
    <row r="9" spans="1:19" ht="24">
      <c r="A9" s="3184">
        <v>7</v>
      </c>
      <c r="B9" s="3184" t="s">
        <v>3009</v>
      </c>
      <c r="C9" s="3184" t="s">
        <v>3012</v>
      </c>
      <c r="D9" s="3184" t="s">
        <v>3011</v>
      </c>
      <c r="E9" s="3184" t="s">
        <v>2997</v>
      </c>
      <c r="F9" s="3184">
        <v>134247</v>
      </c>
      <c r="G9" s="3187">
        <v>55313</v>
      </c>
      <c r="H9" s="3184">
        <v>1.2</v>
      </c>
      <c r="I9" s="3184" t="s">
        <v>3029</v>
      </c>
      <c r="J9" s="3184" t="s">
        <v>3030</v>
      </c>
      <c r="K9" s="3188">
        <v>28191870</v>
      </c>
      <c r="L9" s="3188">
        <v>210</v>
      </c>
      <c r="M9" s="3190" t="s">
        <v>3032</v>
      </c>
      <c r="N9" s="3189">
        <v>40697</v>
      </c>
      <c r="O9" s="3207">
        <f>H9*F9</f>
        <v>161096.4</v>
      </c>
      <c r="P9" s="3207">
        <f>O9</f>
        <v>161096.4</v>
      </c>
      <c r="Q9" s="3518">
        <f ca="1">ROUND(S9/F9*10000,0)</f>
        <v>1958</v>
      </c>
      <c r="R9" s="3518">
        <f ca="1">ROUND(S9/O9*10000,0)</f>
        <v>1632</v>
      </c>
      <c r="S9" s="3518">
        <f ca="1">系统读取表!D15-土地证信息!S8</f>
        <v>26284</v>
      </c>
    </row>
    <row r="10" spans="1:19">
      <c r="A10" s="3481" t="s">
        <v>3036</v>
      </c>
      <c r="B10" s="3481"/>
      <c r="C10" s="3481"/>
      <c r="D10" s="3481"/>
      <c r="E10" s="3481"/>
      <c r="F10" s="3184">
        <f>SUM(F3:F9)</f>
        <v>164758</v>
      </c>
      <c r="G10" s="3187" t="s">
        <v>3034</v>
      </c>
      <c r="H10" s="3184" t="s">
        <v>3034</v>
      </c>
      <c r="I10" s="3184" t="s">
        <v>3034</v>
      </c>
      <c r="J10" s="3184" t="s">
        <v>3034</v>
      </c>
      <c r="K10" s="3184">
        <f>SUM(K3:K9)</f>
        <v>65511870</v>
      </c>
      <c r="L10" s="3188" t="s">
        <v>3034</v>
      </c>
      <c r="M10" s="3184" t="s">
        <v>3035</v>
      </c>
      <c r="N10" s="3189" t="s">
        <v>3034</v>
      </c>
      <c r="O10">
        <f>SUM(O3:O9)</f>
        <v>198854.7</v>
      </c>
      <c r="P10">
        <f>40000/O10*10000</f>
        <v>2011.5189633435871</v>
      </c>
      <c r="Q10" s="3518"/>
      <c r="R10" s="3518"/>
      <c r="S10" s="3518">
        <f ca="1">SUM(S3:S9)</f>
        <v>32264</v>
      </c>
    </row>
    <row r="11" spans="1:19">
      <c r="S11">
        <f ca="1">系统读取表!B8</f>
        <v>19245</v>
      </c>
    </row>
    <row r="13" spans="1:19">
      <c r="O13">
        <f>ROUND(SUM(K3:K7)/10000,0)</f>
        <v>385</v>
      </c>
    </row>
    <row r="27" spans="7:13">
      <c r="G27">
        <f>1950*F10/10000</f>
        <v>32127.81</v>
      </c>
    </row>
    <row r="29" spans="7:13">
      <c r="M29" s="3517">
        <f ca="1">S3*10000</f>
        <v>400000</v>
      </c>
    </row>
    <row r="30" spans="7:13">
      <c r="M30" s="3517">
        <f ca="1">S4*10000</f>
        <v>870000</v>
      </c>
    </row>
    <row r="31" spans="7:13">
      <c r="M31" s="3517">
        <f ca="1">S5*10000</f>
        <v>1870000</v>
      </c>
    </row>
    <row r="32" spans="7:13">
      <c r="M32" s="3517">
        <f ca="1">S6*10000</f>
        <v>2160000</v>
      </c>
    </row>
    <row r="33" spans="13:13">
      <c r="M33" s="3517">
        <f ca="1">S7*10000</f>
        <v>2240000</v>
      </c>
    </row>
    <row r="34" spans="13:13">
      <c r="M34" s="3517">
        <f ca="1">S8*10000</f>
        <v>52260000</v>
      </c>
    </row>
    <row r="35" spans="13:13">
      <c r="M35" s="3517">
        <f ca="1">S9*10000</f>
        <v>262840000</v>
      </c>
    </row>
    <row r="36" spans="13:13">
      <c r="M36" s="3517">
        <f ca="1">S10*10000</f>
        <v>322640000</v>
      </c>
    </row>
    <row r="37" spans="13:13">
      <c r="M37" s="3517">
        <f ca="1">S11*10000</f>
        <v>192450000</v>
      </c>
    </row>
  </sheetData>
  <mergeCells count="4">
    <mergeCell ref="A1:G1"/>
    <mergeCell ref="M3:M7"/>
    <mergeCell ref="N3:N7"/>
    <mergeCell ref="A10:E10"/>
  </mergeCells>
  <phoneticPr fontId="228" type="noConversion"/>
  <printOptions horizontalCentered="1" verticalCentered="1"/>
  <pageMargins left="0" right="0" top="0" bottom="0" header="0" footer="0"/>
  <pageSetup paperSize="9" scale="58"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topLeftCell="A19" workbookViewId="0">
      <selection activeCell="C6" sqref="C6"/>
    </sheetView>
  </sheetViews>
  <sheetFormatPr defaultRowHeight="13.5"/>
  <cols>
    <col min="1" max="1" width="40" customWidth="1"/>
    <col min="2" max="2" width="11" bestFit="1" customWidth="1"/>
    <col min="3" max="3" width="14.125" bestFit="1" customWidth="1"/>
    <col min="4" max="5" width="17.375" bestFit="1" customWidth="1"/>
    <col min="6" max="6" width="10.25" bestFit="1" customWidth="1"/>
    <col min="8" max="8" width="11.625" bestFit="1" customWidth="1"/>
    <col min="9" max="10" width="13.125" bestFit="1" customWidth="1"/>
    <col min="11" max="11" width="18.5" bestFit="1" customWidth="1"/>
    <col min="12" max="12" width="9.25" customWidth="1"/>
    <col min="13" max="13" width="16" customWidth="1"/>
  </cols>
  <sheetData>
    <row r="1" spans="1:16" s="3197" customFormat="1" ht="42.75">
      <c r="A1" s="3196" t="s">
        <v>3037</v>
      </c>
      <c r="B1" s="3196" t="s">
        <v>3038</v>
      </c>
      <c r="C1" s="3196" t="s">
        <v>3039</v>
      </c>
      <c r="D1" s="3196" t="s">
        <v>3040</v>
      </c>
      <c r="E1" s="3196" t="s">
        <v>3041</v>
      </c>
      <c r="F1" s="3196" t="s">
        <v>2031</v>
      </c>
      <c r="G1" s="3196" t="s">
        <v>3217</v>
      </c>
      <c r="H1" s="3196" t="s">
        <v>3042</v>
      </c>
      <c r="I1" s="3196" t="s">
        <v>3043</v>
      </c>
      <c r="J1" s="3196" t="s">
        <v>3044</v>
      </c>
      <c r="K1" s="3196" t="s">
        <v>3045</v>
      </c>
      <c r="L1" s="3196" t="s">
        <v>3046</v>
      </c>
      <c r="M1" s="3196"/>
      <c r="N1" s="3196" t="s">
        <v>3047</v>
      </c>
      <c r="O1" s="3196" t="s">
        <v>3048</v>
      </c>
      <c r="P1" s="3196" t="s">
        <v>3049</v>
      </c>
    </row>
    <row r="2" spans="1:16" s="3195" customFormat="1" ht="27">
      <c r="A2" s="3213" t="s">
        <v>3266</v>
      </c>
      <c r="B2" s="3194" t="s">
        <v>3050</v>
      </c>
      <c r="C2" s="3194" t="s">
        <v>3051</v>
      </c>
      <c r="D2" s="3194">
        <v>58731</v>
      </c>
      <c r="E2" s="3194">
        <v>158573.70000000001</v>
      </c>
      <c r="F2" s="3194" t="s">
        <v>3052</v>
      </c>
      <c r="G2" s="3194">
        <v>2.7</v>
      </c>
      <c r="H2" s="3194" t="s">
        <v>3053</v>
      </c>
      <c r="I2" s="3194" t="s">
        <v>3054</v>
      </c>
      <c r="J2" s="3194">
        <v>8326</v>
      </c>
      <c r="K2" s="3194">
        <v>8326</v>
      </c>
      <c r="L2" s="3194">
        <v>525</v>
      </c>
      <c r="M2" s="3206">
        <f>ROUND(K2/D2*10000,0)</f>
        <v>1418</v>
      </c>
      <c r="N2" s="3194">
        <v>0</v>
      </c>
      <c r="O2" s="3194" t="s">
        <v>3055</v>
      </c>
      <c r="P2" s="3194" t="s">
        <v>3056</v>
      </c>
    </row>
    <row r="3" spans="1:16" s="3191" customFormat="1" ht="36">
      <c r="A3" s="3190" t="s">
        <v>3061</v>
      </c>
      <c r="B3" s="3190" t="s">
        <v>3050</v>
      </c>
      <c r="C3" s="3190" t="s">
        <v>3051</v>
      </c>
      <c r="D3" s="3190">
        <v>24754.799999999999</v>
      </c>
      <c r="E3" s="3190">
        <v>86641.8</v>
      </c>
      <c r="F3" s="3190" t="s">
        <v>3062</v>
      </c>
      <c r="G3" s="3190">
        <f>ROUND(E3/D3,2)</f>
        <v>3.5</v>
      </c>
      <c r="H3" s="3190" t="s">
        <v>3053</v>
      </c>
      <c r="I3" s="3190" t="s">
        <v>3063</v>
      </c>
      <c r="J3" s="3190">
        <v>1696</v>
      </c>
      <c r="K3" s="3190">
        <v>1706</v>
      </c>
      <c r="L3" s="3190">
        <v>196.9</v>
      </c>
      <c r="M3" s="3190">
        <f>ROUND(K3/D3*10000,0)</f>
        <v>689</v>
      </c>
      <c r="N3" s="3190">
        <v>0.59</v>
      </c>
      <c r="O3" s="3190" t="s">
        <v>3064</v>
      </c>
      <c r="P3" s="3190" t="s">
        <v>3056</v>
      </c>
    </row>
    <row r="4" spans="1:16" s="3191" customFormat="1" ht="36">
      <c r="A4" s="3190" t="s">
        <v>3065</v>
      </c>
      <c r="B4" s="3190" t="s">
        <v>3050</v>
      </c>
      <c r="C4" s="3190" t="s">
        <v>3051</v>
      </c>
      <c r="D4" s="3190">
        <v>51499.9</v>
      </c>
      <c r="E4" s="3190">
        <v>180249.65</v>
      </c>
      <c r="F4" s="3190" t="s">
        <v>3062</v>
      </c>
      <c r="G4" s="3190">
        <f t="shared" ref="G4:G67" si="0">ROUND(E4/D4,2)</f>
        <v>3.5</v>
      </c>
      <c r="H4" s="3190" t="s">
        <v>3053</v>
      </c>
      <c r="I4" s="3190" t="s">
        <v>3066</v>
      </c>
      <c r="J4" s="3190">
        <v>3528</v>
      </c>
      <c r="K4" s="3190">
        <v>3548</v>
      </c>
      <c r="L4" s="3190">
        <v>196.84</v>
      </c>
      <c r="M4" s="3190">
        <f t="shared" ref="M4:M67" si="1">ROUND(K4/D4*10000,0)</f>
        <v>689</v>
      </c>
      <c r="N4" s="3190">
        <v>0.56999999999999995</v>
      </c>
      <c r="O4" s="3190" t="s">
        <v>3064</v>
      </c>
      <c r="P4" s="3190" t="s">
        <v>3056</v>
      </c>
    </row>
    <row r="5" spans="1:16" s="3191" customFormat="1" ht="48">
      <c r="A5" s="3190" t="s">
        <v>3067</v>
      </c>
      <c r="B5" s="3190" t="s">
        <v>3050</v>
      </c>
      <c r="C5" s="3190" t="s">
        <v>3051</v>
      </c>
      <c r="D5" s="3190">
        <v>3872.9</v>
      </c>
      <c r="E5" s="3190">
        <v>11618.7</v>
      </c>
      <c r="F5" s="3190" t="s">
        <v>3068</v>
      </c>
      <c r="G5" s="3190">
        <f t="shared" si="0"/>
        <v>3</v>
      </c>
      <c r="H5" s="3190" t="s">
        <v>3053</v>
      </c>
      <c r="I5" s="3190" t="s">
        <v>3069</v>
      </c>
      <c r="J5" s="3190">
        <v>169</v>
      </c>
      <c r="K5" s="3190">
        <v>172</v>
      </c>
      <c r="L5" s="3190">
        <v>148.03</v>
      </c>
      <c r="M5" s="3190">
        <f t="shared" si="1"/>
        <v>444</v>
      </c>
      <c r="N5" s="3190">
        <v>1.78</v>
      </c>
      <c r="O5" s="3190" t="s">
        <v>3070</v>
      </c>
      <c r="P5" s="3190" t="s">
        <v>3056</v>
      </c>
    </row>
    <row r="6" spans="1:16" s="3191" customFormat="1" ht="36">
      <c r="A6" s="3190" t="s">
        <v>3071</v>
      </c>
      <c r="B6" s="3190" t="s">
        <v>3050</v>
      </c>
      <c r="C6" s="3190" t="s">
        <v>3051</v>
      </c>
      <c r="D6" s="3190">
        <v>62386.1</v>
      </c>
      <c r="E6" s="3190">
        <v>106056.37</v>
      </c>
      <c r="F6" s="3190" t="s">
        <v>3072</v>
      </c>
      <c r="G6" s="3190">
        <f t="shared" si="0"/>
        <v>1.7</v>
      </c>
      <c r="H6" s="3190" t="s">
        <v>3053</v>
      </c>
      <c r="I6" s="3190" t="s">
        <v>3073</v>
      </c>
      <c r="J6" s="3190">
        <v>4342</v>
      </c>
      <c r="K6" s="3190">
        <v>4364</v>
      </c>
      <c r="L6" s="3190">
        <v>411.48</v>
      </c>
      <c r="M6" s="3190">
        <f>ROUND(K6/D6*10000,0)</f>
        <v>700</v>
      </c>
      <c r="N6" s="3190">
        <v>0.51</v>
      </c>
      <c r="O6" s="3190" t="s">
        <v>3074</v>
      </c>
      <c r="P6" s="3190" t="s">
        <v>3056</v>
      </c>
    </row>
    <row r="7" spans="1:16" s="3191" customFormat="1" ht="36">
      <c r="A7" s="3190" t="s">
        <v>3075</v>
      </c>
      <c r="B7" s="3190" t="s">
        <v>3050</v>
      </c>
      <c r="C7" s="3190" t="s">
        <v>3051</v>
      </c>
      <c r="D7" s="3190">
        <v>63667.3</v>
      </c>
      <c r="E7" s="3190">
        <v>108234.41</v>
      </c>
      <c r="F7" s="3190" t="s">
        <v>3072</v>
      </c>
      <c r="G7" s="3190">
        <f t="shared" si="0"/>
        <v>1.7</v>
      </c>
      <c r="H7" s="3190" t="s">
        <v>3053</v>
      </c>
      <c r="I7" s="3190" t="s">
        <v>3076</v>
      </c>
      <c r="J7" s="3190">
        <v>4426</v>
      </c>
      <c r="K7" s="3190">
        <v>4449</v>
      </c>
      <c r="L7" s="3190">
        <v>411.05</v>
      </c>
      <c r="M7" s="3190">
        <f t="shared" si="1"/>
        <v>699</v>
      </c>
      <c r="N7" s="3190">
        <v>0.52</v>
      </c>
      <c r="O7" s="3190" t="s">
        <v>3074</v>
      </c>
      <c r="P7" s="3190" t="s">
        <v>3056</v>
      </c>
    </row>
    <row r="8" spans="1:16" s="3191" customFormat="1" ht="36">
      <c r="A8" s="3190" t="s">
        <v>3077</v>
      </c>
      <c r="B8" s="3190" t="s">
        <v>3050</v>
      </c>
      <c r="C8" s="3190" t="s">
        <v>3051</v>
      </c>
      <c r="D8" s="3190">
        <v>9926.7000000000007</v>
      </c>
      <c r="E8" s="3190">
        <v>19853.400000000001</v>
      </c>
      <c r="F8" s="3190" t="s">
        <v>3078</v>
      </c>
      <c r="G8" s="3190">
        <f t="shared" si="0"/>
        <v>2</v>
      </c>
      <c r="H8" s="3190" t="s">
        <v>3053</v>
      </c>
      <c r="I8" s="3190" t="s">
        <v>3076</v>
      </c>
      <c r="J8" s="3190">
        <v>351</v>
      </c>
      <c r="K8" s="3190">
        <v>355</v>
      </c>
      <c r="L8" s="3190">
        <v>178.81</v>
      </c>
      <c r="M8" s="3190">
        <f t="shared" si="1"/>
        <v>358</v>
      </c>
      <c r="N8" s="3190">
        <v>1.1399999999999999</v>
      </c>
      <c r="O8" s="3190" t="s">
        <v>3074</v>
      </c>
      <c r="P8" s="3190" t="s">
        <v>3056</v>
      </c>
    </row>
    <row r="9" spans="1:16" s="3191" customFormat="1" ht="36">
      <c r="A9" s="3190" t="s">
        <v>3079</v>
      </c>
      <c r="B9" s="3190" t="s">
        <v>3050</v>
      </c>
      <c r="C9" s="3190" t="s">
        <v>3051</v>
      </c>
      <c r="D9" s="3190">
        <v>4733.6000000000004</v>
      </c>
      <c r="E9" s="3190">
        <v>9467.2000000000007</v>
      </c>
      <c r="F9" s="3190" t="s">
        <v>3078</v>
      </c>
      <c r="G9" s="3190">
        <f t="shared" si="0"/>
        <v>2</v>
      </c>
      <c r="H9" s="3190" t="s">
        <v>3053</v>
      </c>
      <c r="I9" s="3190" t="s">
        <v>3076</v>
      </c>
      <c r="J9" s="3190">
        <v>168</v>
      </c>
      <c r="K9" s="3190">
        <v>170</v>
      </c>
      <c r="L9" s="3190">
        <v>179.56</v>
      </c>
      <c r="M9" s="3190">
        <f t="shared" si="1"/>
        <v>359</v>
      </c>
      <c r="N9" s="3190">
        <v>1.19</v>
      </c>
      <c r="O9" s="3190" t="s">
        <v>3074</v>
      </c>
      <c r="P9" s="3190" t="s">
        <v>3056</v>
      </c>
    </row>
    <row r="10" spans="1:16" s="3191" customFormat="1" ht="36">
      <c r="A10" s="3190" t="s">
        <v>3080</v>
      </c>
      <c r="B10" s="3190" t="s">
        <v>3050</v>
      </c>
      <c r="C10" s="3190" t="s">
        <v>3051</v>
      </c>
      <c r="D10" s="3190">
        <v>11492.4</v>
      </c>
      <c r="E10" s="3190">
        <v>22984.799999999999</v>
      </c>
      <c r="F10" s="3190" t="s">
        <v>3078</v>
      </c>
      <c r="G10" s="3190">
        <f t="shared" si="0"/>
        <v>2</v>
      </c>
      <c r="H10" s="3190" t="s">
        <v>3053</v>
      </c>
      <c r="I10" s="3190" t="s">
        <v>3081</v>
      </c>
      <c r="J10" s="3190">
        <v>406</v>
      </c>
      <c r="K10" s="3190">
        <v>411</v>
      </c>
      <c r="L10" s="3190">
        <v>178.81</v>
      </c>
      <c r="M10" s="3190">
        <f t="shared" si="1"/>
        <v>358</v>
      </c>
      <c r="N10" s="3190">
        <v>1.23</v>
      </c>
      <c r="O10" s="3190" t="s">
        <v>3074</v>
      </c>
      <c r="P10" s="3190" t="s">
        <v>3056</v>
      </c>
    </row>
    <row r="11" spans="1:16" s="3191" customFormat="1" ht="36">
      <c r="A11" s="3190" t="s">
        <v>3082</v>
      </c>
      <c r="B11" s="3190" t="s">
        <v>3050</v>
      </c>
      <c r="C11" s="3190" t="s">
        <v>3051</v>
      </c>
      <c r="D11" s="3190">
        <v>46906.2</v>
      </c>
      <c r="E11" s="3190">
        <v>79740.539999999994</v>
      </c>
      <c r="F11" s="3190" t="s">
        <v>3072</v>
      </c>
      <c r="G11" s="3190">
        <f t="shared" si="0"/>
        <v>1.7</v>
      </c>
      <c r="H11" s="3190" t="s">
        <v>3053</v>
      </c>
      <c r="I11" s="3190" t="s">
        <v>3081</v>
      </c>
      <c r="J11" s="3190">
        <v>3267</v>
      </c>
      <c r="K11" s="3190">
        <v>3286</v>
      </c>
      <c r="L11" s="3190">
        <v>412.08</v>
      </c>
      <c r="M11" s="3190">
        <f t="shared" si="1"/>
        <v>701</v>
      </c>
      <c r="N11" s="3190">
        <v>0.57999999999999996</v>
      </c>
      <c r="O11" s="3190" t="s">
        <v>3074</v>
      </c>
      <c r="P11" s="3190" t="s">
        <v>3056</v>
      </c>
    </row>
    <row r="12" spans="1:16" s="3191" customFormat="1" ht="36">
      <c r="A12" s="3190" t="s">
        <v>3083</v>
      </c>
      <c r="B12" s="3190" t="s">
        <v>3050</v>
      </c>
      <c r="C12" s="3190" t="s">
        <v>3051</v>
      </c>
      <c r="D12" s="3190">
        <v>8599.9</v>
      </c>
      <c r="E12" s="3190">
        <v>17199.8</v>
      </c>
      <c r="F12" s="3190" t="s">
        <v>3078</v>
      </c>
      <c r="G12" s="3190">
        <f t="shared" si="0"/>
        <v>2</v>
      </c>
      <c r="H12" s="3190" t="s">
        <v>3053</v>
      </c>
      <c r="I12" s="3190" t="s">
        <v>3081</v>
      </c>
      <c r="J12" s="3190">
        <v>304</v>
      </c>
      <c r="K12" s="3190">
        <v>308</v>
      </c>
      <c r="L12" s="3190">
        <v>179.06</v>
      </c>
      <c r="M12" s="3190">
        <f t="shared" si="1"/>
        <v>358</v>
      </c>
      <c r="N12" s="3190">
        <v>1.32</v>
      </c>
      <c r="O12" s="3190" t="s">
        <v>3074</v>
      </c>
      <c r="P12" s="3190" t="s">
        <v>3056</v>
      </c>
    </row>
    <row r="13" spans="1:16" s="3191" customFormat="1" ht="36">
      <c r="A13" s="3190" t="s">
        <v>3084</v>
      </c>
      <c r="B13" s="3190" t="s">
        <v>3050</v>
      </c>
      <c r="C13" s="3190" t="s">
        <v>3051</v>
      </c>
      <c r="D13" s="3190">
        <v>4741.7</v>
      </c>
      <c r="E13" s="3190">
        <v>9483.4</v>
      </c>
      <c r="F13" s="3190" t="s">
        <v>3078</v>
      </c>
      <c r="G13" s="3190">
        <f t="shared" si="0"/>
        <v>2</v>
      </c>
      <c r="H13" s="3190" t="s">
        <v>3053</v>
      </c>
      <c r="I13" s="3190" t="s">
        <v>3085</v>
      </c>
      <c r="J13" s="3190">
        <v>168</v>
      </c>
      <c r="K13" s="3190">
        <v>170</v>
      </c>
      <c r="L13" s="3190">
        <v>179.25</v>
      </c>
      <c r="M13" s="3190">
        <f t="shared" si="1"/>
        <v>359</v>
      </c>
      <c r="N13" s="3190">
        <v>1.19</v>
      </c>
      <c r="O13" s="3190" t="s">
        <v>3074</v>
      </c>
      <c r="P13" s="3190" t="s">
        <v>3056</v>
      </c>
    </row>
    <row r="14" spans="1:16" s="3191" customFormat="1" ht="36">
      <c r="A14" s="3190" t="s">
        <v>3086</v>
      </c>
      <c r="B14" s="3190" t="s">
        <v>3050</v>
      </c>
      <c r="C14" s="3190" t="s">
        <v>3051</v>
      </c>
      <c r="D14" s="3190">
        <v>5936</v>
      </c>
      <c r="E14" s="3190">
        <v>11872</v>
      </c>
      <c r="F14" s="3190" t="s">
        <v>3078</v>
      </c>
      <c r="G14" s="3190">
        <f t="shared" si="0"/>
        <v>2</v>
      </c>
      <c r="H14" s="3190" t="s">
        <v>3053</v>
      </c>
      <c r="I14" s="3190" t="s">
        <v>3085</v>
      </c>
      <c r="J14" s="3190">
        <v>210</v>
      </c>
      <c r="K14" s="3190">
        <v>213</v>
      </c>
      <c r="L14" s="3190">
        <v>179.4</v>
      </c>
      <c r="M14" s="3190">
        <f t="shared" si="1"/>
        <v>359</v>
      </c>
      <c r="N14" s="3190">
        <v>1.43</v>
      </c>
      <c r="O14" s="3190" t="s">
        <v>3074</v>
      </c>
      <c r="P14" s="3190" t="s">
        <v>3056</v>
      </c>
    </row>
    <row r="15" spans="1:16" s="3191" customFormat="1" ht="36">
      <c r="A15" s="3190" t="s">
        <v>3087</v>
      </c>
      <c r="B15" s="3190" t="s">
        <v>3050</v>
      </c>
      <c r="C15" s="3190" t="s">
        <v>3051</v>
      </c>
      <c r="D15" s="3190">
        <v>45455.9</v>
      </c>
      <c r="E15" s="3190">
        <v>77275.03</v>
      </c>
      <c r="F15" s="3190" t="s">
        <v>3072</v>
      </c>
      <c r="G15" s="3190">
        <f t="shared" si="0"/>
        <v>1.7</v>
      </c>
      <c r="H15" s="3190" t="s">
        <v>3053</v>
      </c>
      <c r="I15" s="3190" t="s">
        <v>3085</v>
      </c>
      <c r="J15" s="3190">
        <v>3162</v>
      </c>
      <c r="K15" s="3190">
        <v>3181</v>
      </c>
      <c r="L15" s="3190">
        <v>411.64</v>
      </c>
      <c r="M15" s="3190">
        <f t="shared" si="1"/>
        <v>700</v>
      </c>
      <c r="N15" s="3190">
        <v>0.6</v>
      </c>
      <c r="O15" s="3190" t="s">
        <v>3074</v>
      </c>
      <c r="P15" s="3190" t="s">
        <v>3056</v>
      </c>
    </row>
    <row r="16" spans="1:16" s="3191" customFormat="1" ht="36">
      <c r="A16" s="3190" t="s">
        <v>3088</v>
      </c>
      <c r="B16" s="3190" t="s">
        <v>3050</v>
      </c>
      <c r="C16" s="3190" t="s">
        <v>3051</v>
      </c>
      <c r="D16" s="3190">
        <v>5517.3</v>
      </c>
      <c r="E16" s="3190">
        <v>11034.6</v>
      </c>
      <c r="F16" s="3190" t="s">
        <v>3078</v>
      </c>
      <c r="G16" s="3190">
        <f t="shared" si="0"/>
        <v>2</v>
      </c>
      <c r="H16" s="3190" t="s">
        <v>3053</v>
      </c>
      <c r="I16" s="3190" t="s">
        <v>3089</v>
      </c>
      <c r="J16" s="3190">
        <v>195</v>
      </c>
      <c r="K16" s="3190">
        <v>197</v>
      </c>
      <c r="L16" s="3190">
        <v>178.53</v>
      </c>
      <c r="M16" s="3190">
        <f t="shared" si="1"/>
        <v>357</v>
      </c>
      <c r="N16" s="3190">
        <v>1.03</v>
      </c>
      <c r="O16" s="3190" t="s">
        <v>3074</v>
      </c>
      <c r="P16" s="3190" t="s">
        <v>3056</v>
      </c>
    </row>
    <row r="17" spans="1:16" s="3191" customFormat="1" ht="36">
      <c r="A17" s="3190" t="s">
        <v>3090</v>
      </c>
      <c r="B17" s="3190" t="s">
        <v>3050</v>
      </c>
      <c r="C17" s="3190" t="s">
        <v>3051</v>
      </c>
      <c r="D17" s="3190">
        <v>12171.8</v>
      </c>
      <c r="E17" s="3190">
        <v>24343.599999999999</v>
      </c>
      <c r="F17" s="3190" t="s">
        <v>3078</v>
      </c>
      <c r="G17" s="3190">
        <f t="shared" si="0"/>
        <v>2</v>
      </c>
      <c r="H17" s="3190" t="s">
        <v>3053</v>
      </c>
      <c r="I17" s="3190" t="s">
        <v>3089</v>
      </c>
      <c r="J17" s="3190">
        <v>430</v>
      </c>
      <c r="K17" s="3190">
        <v>433</v>
      </c>
      <c r="L17" s="3190">
        <v>177.87</v>
      </c>
      <c r="M17" s="3190">
        <f t="shared" si="1"/>
        <v>356</v>
      </c>
      <c r="N17" s="3190">
        <v>0.7</v>
      </c>
      <c r="O17" s="3190" t="s">
        <v>3074</v>
      </c>
      <c r="P17" s="3190" t="s">
        <v>3056</v>
      </c>
    </row>
    <row r="18" spans="1:16" s="3191" customFormat="1" ht="36">
      <c r="A18" s="3190" t="s">
        <v>3091</v>
      </c>
      <c r="B18" s="3190" t="s">
        <v>3050</v>
      </c>
      <c r="C18" s="3190" t="s">
        <v>3051</v>
      </c>
      <c r="D18" s="3190">
        <v>18263.8</v>
      </c>
      <c r="E18" s="3190">
        <v>31048.46</v>
      </c>
      <c r="F18" s="3190" t="s">
        <v>3072</v>
      </c>
      <c r="G18" s="3190">
        <f t="shared" si="0"/>
        <v>1.7</v>
      </c>
      <c r="H18" s="3190" t="s">
        <v>3053</v>
      </c>
      <c r="I18" s="3190" t="s">
        <v>3089</v>
      </c>
      <c r="J18" s="3190">
        <v>1270</v>
      </c>
      <c r="K18" s="3190">
        <v>1278</v>
      </c>
      <c r="L18" s="3190">
        <v>411.61</v>
      </c>
      <c r="M18" s="3190">
        <f t="shared" si="1"/>
        <v>700</v>
      </c>
      <c r="N18" s="3190">
        <v>0.63</v>
      </c>
      <c r="O18" s="3190" t="s">
        <v>3074</v>
      </c>
      <c r="P18" s="3190" t="s">
        <v>3056</v>
      </c>
    </row>
    <row r="19" spans="1:16" s="3191" customFormat="1" ht="48">
      <c r="A19" s="3190" t="s">
        <v>3092</v>
      </c>
      <c r="B19" s="3190" t="s">
        <v>3050</v>
      </c>
      <c r="C19" s="3190" t="s">
        <v>3051</v>
      </c>
      <c r="D19" s="3190">
        <v>8024.8</v>
      </c>
      <c r="E19" s="3190">
        <v>20062</v>
      </c>
      <c r="F19" s="3190" t="s">
        <v>3093</v>
      </c>
      <c r="G19" s="3190">
        <f t="shared" si="0"/>
        <v>2.5</v>
      </c>
      <c r="H19" s="3190" t="s">
        <v>3053</v>
      </c>
      <c r="I19" s="3190" t="s">
        <v>3094</v>
      </c>
      <c r="J19" s="3190">
        <v>568</v>
      </c>
      <c r="K19" s="3190">
        <v>571</v>
      </c>
      <c r="L19" s="3190">
        <v>284.62</v>
      </c>
      <c r="M19" s="3190">
        <f t="shared" si="1"/>
        <v>712</v>
      </c>
      <c r="N19" s="3190">
        <v>0.53</v>
      </c>
      <c r="O19" s="3190" t="s">
        <v>3095</v>
      </c>
      <c r="P19" s="3190" t="s">
        <v>3056</v>
      </c>
    </row>
    <row r="20" spans="1:16" s="3191" customFormat="1" ht="36">
      <c r="A20" s="3190" t="s">
        <v>3096</v>
      </c>
      <c r="B20" s="3190" t="s">
        <v>3050</v>
      </c>
      <c r="C20" s="3190" t="s">
        <v>3051</v>
      </c>
      <c r="D20" s="3190">
        <v>5359.5</v>
      </c>
      <c r="E20" s="3190">
        <v>10719</v>
      </c>
      <c r="F20" s="3190" t="s">
        <v>3078</v>
      </c>
      <c r="G20" s="3190">
        <f t="shared" si="0"/>
        <v>2</v>
      </c>
      <c r="H20" s="3190" t="s">
        <v>3053</v>
      </c>
      <c r="I20" s="3190" t="s">
        <v>3094</v>
      </c>
      <c r="J20" s="3190">
        <v>190</v>
      </c>
      <c r="K20" s="3190">
        <v>192</v>
      </c>
      <c r="L20" s="3190">
        <v>179.12</v>
      </c>
      <c r="M20" s="3190">
        <f t="shared" si="1"/>
        <v>358</v>
      </c>
      <c r="N20" s="3190">
        <v>1.05</v>
      </c>
      <c r="O20" s="3190" t="s">
        <v>3074</v>
      </c>
      <c r="P20" s="3190" t="s">
        <v>3056</v>
      </c>
    </row>
    <row r="21" spans="1:16" s="3191" customFormat="1" ht="36">
      <c r="A21" s="3190" t="s">
        <v>3097</v>
      </c>
      <c r="B21" s="3190" t="s">
        <v>3050</v>
      </c>
      <c r="C21" s="3190" t="s">
        <v>3051</v>
      </c>
      <c r="D21" s="3190">
        <v>28319.5</v>
      </c>
      <c r="E21" s="3190">
        <v>48143.15</v>
      </c>
      <c r="F21" s="3190" t="s">
        <v>3072</v>
      </c>
      <c r="G21" s="3190">
        <f t="shared" si="0"/>
        <v>1.7</v>
      </c>
      <c r="H21" s="3190" t="s">
        <v>3053</v>
      </c>
      <c r="I21" s="3190" t="s">
        <v>3094</v>
      </c>
      <c r="J21" s="3190">
        <v>1969</v>
      </c>
      <c r="K21" s="3190">
        <v>1980</v>
      </c>
      <c r="L21" s="3190">
        <v>411.26</v>
      </c>
      <c r="M21" s="3190">
        <f>ROUND(K21/D21*10000,0)</f>
        <v>699</v>
      </c>
      <c r="N21" s="3190">
        <v>0.56000000000000005</v>
      </c>
      <c r="O21" s="3190" t="s">
        <v>3074</v>
      </c>
      <c r="P21" s="3190" t="s">
        <v>3056</v>
      </c>
    </row>
    <row r="22" spans="1:16" s="3191" customFormat="1" ht="36">
      <c r="A22" s="3190" t="s">
        <v>3098</v>
      </c>
      <c r="B22" s="3190" t="s">
        <v>3050</v>
      </c>
      <c r="C22" s="3190" t="s">
        <v>3051</v>
      </c>
      <c r="D22" s="3190">
        <v>5239</v>
      </c>
      <c r="E22" s="3190">
        <v>10478</v>
      </c>
      <c r="F22" s="3190" t="s">
        <v>3078</v>
      </c>
      <c r="G22" s="3190">
        <f t="shared" si="0"/>
        <v>2</v>
      </c>
      <c r="H22" s="3190" t="s">
        <v>3053</v>
      </c>
      <c r="I22" s="3190" t="s">
        <v>3094</v>
      </c>
      <c r="J22" s="3190">
        <v>185</v>
      </c>
      <c r="K22" s="3190">
        <v>186</v>
      </c>
      <c r="L22" s="3190">
        <v>177.5</v>
      </c>
      <c r="M22" s="3190">
        <f t="shared" si="1"/>
        <v>355</v>
      </c>
      <c r="N22" s="3190">
        <v>0.54</v>
      </c>
      <c r="O22" s="3190" t="s">
        <v>3074</v>
      </c>
      <c r="P22" s="3190" t="s">
        <v>3056</v>
      </c>
    </row>
    <row r="23" spans="1:16" s="3191" customFormat="1" ht="36">
      <c r="A23" s="3190" t="s">
        <v>3099</v>
      </c>
      <c r="B23" s="3190" t="s">
        <v>3050</v>
      </c>
      <c r="C23" s="3190" t="s">
        <v>3051</v>
      </c>
      <c r="D23" s="3190">
        <v>44884</v>
      </c>
      <c r="E23" s="3190">
        <v>112210</v>
      </c>
      <c r="F23" s="3190" t="s">
        <v>3093</v>
      </c>
      <c r="G23" s="3190">
        <f t="shared" si="0"/>
        <v>2.5</v>
      </c>
      <c r="H23" s="3190" t="s">
        <v>3053</v>
      </c>
      <c r="I23" s="3190" t="s">
        <v>3100</v>
      </c>
      <c r="J23" s="3190">
        <v>2334</v>
      </c>
      <c r="K23" s="3190">
        <v>2341</v>
      </c>
      <c r="L23" s="3190">
        <v>208.62</v>
      </c>
      <c r="M23" s="3190">
        <f t="shared" si="1"/>
        <v>522</v>
      </c>
      <c r="N23" s="3190">
        <v>0.3</v>
      </c>
      <c r="O23" s="3190" t="s">
        <v>3101</v>
      </c>
      <c r="P23" s="3190" t="s">
        <v>3056</v>
      </c>
    </row>
    <row r="24" spans="1:16" s="3191" customFormat="1" ht="36">
      <c r="A24" s="3190" t="s">
        <v>3102</v>
      </c>
      <c r="B24" s="3190" t="s">
        <v>3050</v>
      </c>
      <c r="C24" s="3190" t="s">
        <v>3051</v>
      </c>
      <c r="D24" s="3190">
        <v>14780</v>
      </c>
      <c r="E24" s="3190">
        <v>36950</v>
      </c>
      <c r="F24" s="3190" t="s">
        <v>3093</v>
      </c>
      <c r="G24" s="3190">
        <f t="shared" si="0"/>
        <v>2.5</v>
      </c>
      <c r="H24" s="3190" t="s">
        <v>3053</v>
      </c>
      <c r="I24" s="3190" t="s">
        <v>3100</v>
      </c>
      <c r="J24" s="3190">
        <v>769</v>
      </c>
      <c r="K24" s="3190">
        <v>772</v>
      </c>
      <c r="L24" s="3190">
        <v>208.93</v>
      </c>
      <c r="M24" s="3190">
        <f t="shared" si="1"/>
        <v>522</v>
      </c>
      <c r="N24" s="3190">
        <v>0.39</v>
      </c>
      <c r="O24" s="3190" t="s">
        <v>3101</v>
      </c>
      <c r="P24" s="3190" t="s">
        <v>3056</v>
      </c>
    </row>
    <row r="25" spans="1:16" s="3191" customFormat="1" ht="60">
      <c r="A25" s="3190" t="s">
        <v>3103</v>
      </c>
      <c r="B25" s="3190" t="s">
        <v>3050</v>
      </c>
      <c r="C25" s="3190" t="s">
        <v>3051</v>
      </c>
      <c r="D25" s="3190">
        <v>3319.2</v>
      </c>
      <c r="E25" s="3190">
        <v>8298</v>
      </c>
      <c r="F25" s="3190" t="s">
        <v>3093</v>
      </c>
      <c r="G25" s="3190">
        <f t="shared" si="0"/>
        <v>2.5</v>
      </c>
      <c r="H25" s="3190" t="s">
        <v>3053</v>
      </c>
      <c r="I25" s="3190" t="s">
        <v>3104</v>
      </c>
      <c r="J25" s="3190">
        <v>225</v>
      </c>
      <c r="K25" s="3190">
        <v>229</v>
      </c>
      <c r="L25" s="3190">
        <v>275.97000000000003</v>
      </c>
      <c r="M25" s="3190">
        <f t="shared" si="1"/>
        <v>690</v>
      </c>
      <c r="N25" s="3190">
        <v>1.78</v>
      </c>
      <c r="O25" s="3190" t="s">
        <v>3060</v>
      </c>
      <c r="P25" s="3190" t="s">
        <v>3056</v>
      </c>
    </row>
    <row r="26" spans="1:16" s="3191" customFormat="1" ht="48">
      <c r="A26" s="3190" t="s">
        <v>3105</v>
      </c>
      <c r="B26" s="3190" t="s">
        <v>3050</v>
      </c>
      <c r="C26" s="3190" t="s">
        <v>3051</v>
      </c>
      <c r="D26" s="3190">
        <v>20855.900000000001</v>
      </c>
      <c r="E26" s="3190">
        <v>41711.800000000003</v>
      </c>
      <c r="F26" s="3190" t="s">
        <v>3078</v>
      </c>
      <c r="G26" s="3190">
        <f t="shared" si="0"/>
        <v>2</v>
      </c>
      <c r="H26" s="3190" t="s">
        <v>3053</v>
      </c>
      <c r="I26" s="3190" t="s">
        <v>3106</v>
      </c>
      <c r="J26" s="3190">
        <v>722</v>
      </c>
      <c r="K26" s="3190">
        <v>724</v>
      </c>
      <c r="L26" s="3190">
        <v>173.56</v>
      </c>
      <c r="M26" s="3190">
        <f t="shared" si="1"/>
        <v>347</v>
      </c>
      <c r="N26" s="3190">
        <v>0.28000000000000003</v>
      </c>
      <c r="O26" s="3190" t="s">
        <v>3107</v>
      </c>
      <c r="P26" s="3190" t="s">
        <v>3056</v>
      </c>
    </row>
    <row r="27" spans="1:16" s="3191" customFormat="1" ht="36">
      <c r="A27" s="3190" t="s">
        <v>3108</v>
      </c>
      <c r="B27" s="3190" t="s">
        <v>3050</v>
      </c>
      <c r="C27" s="3190" t="s">
        <v>3051</v>
      </c>
      <c r="D27" s="3190">
        <v>9003</v>
      </c>
      <c r="E27" s="3190">
        <v>22507.5</v>
      </c>
      <c r="F27" s="3190" t="s">
        <v>3093</v>
      </c>
      <c r="G27" s="3190">
        <f t="shared" si="0"/>
        <v>2.5</v>
      </c>
      <c r="H27" s="3190" t="s">
        <v>3053</v>
      </c>
      <c r="I27" s="3190" t="s">
        <v>3109</v>
      </c>
      <c r="J27" s="3190">
        <v>392</v>
      </c>
      <c r="K27" s="3190">
        <v>395</v>
      </c>
      <c r="L27" s="3190">
        <v>175.5</v>
      </c>
      <c r="M27" s="3190">
        <f t="shared" si="1"/>
        <v>439</v>
      </c>
      <c r="N27" s="3190">
        <v>0.77</v>
      </c>
      <c r="O27" s="3190" t="s">
        <v>3110</v>
      </c>
      <c r="P27" s="3190" t="s">
        <v>3056</v>
      </c>
    </row>
    <row r="28" spans="1:16" s="3191" customFormat="1" ht="36">
      <c r="A28" s="3190" t="s">
        <v>3111</v>
      </c>
      <c r="B28" s="3190" t="s">
        <v>3050</v>
      </c>
      <c r="C28" s="3190" t="s">
        <v>3051</v>
      </c>
      <c r="D28" s="3190">
        <v>6704</v>
      </c>
      <c r="E28" s="3190">
        <v>16760</v>
      </c>
      <c r="F28" s="3190" t="s">
        <v>3093</v>
      </c>
      <c r="G28" s="3190">
        <f t="shared" si="0"/>
        <v>2.5</v>
      </c>
      <c r="H28" s="3190" t="s">
        <v>3053</v>
      </c>
      <c r="I28" s="3190" t="s">
        <v>3112</v>
      </c>
      <c r="J28" s="3190">
        <v>304</v>
      </c>
      <c r="K28" s="3190">
        <v>308</v>
      </c>
      <c r="L28" s="3190">
        <v>183.77</v>
      </c>
      <c r="M28" s="3190">
        <f t="shared" si="1"/>
        <v>459</v>
      </c>
      <c r="N28" s="3190">
        <v>1.32</v>
      </c>
      <c r="O28" s="3190" t="s">
        <v>3113</v>
      </c>
      <c r="P28" s="3190" t="s">
        <v>3056</v>
      </c>
    </row>
    <row r="29" spans="1:16" s="3191" customFormat="1" ht="24">
      <c r="A29" s="3190" t="s">
        <v>3114</v>
      </c>
      <c r="B29" s="3190" t="s">
        <v>3050</v>
      </c>
      <c r="C29" s="3190" t="s">
        <v>3051</v>
      </c>
      <c r="D29" s="3190">
        <v>3969.5</v>
      </c>
      <c r="E29" s="3190">
        <v>7939</v>
      </c>
      <c r="F29" s="3190" t="s">
        <v>3078</v>
      </c>
      <c r="G29" s="3190">
        <f t="shared" si="0"/>
        <v>2</v>
      </c>
      <c r="H29" s="3190" t="s">
        <v>3053</v>
      </c>
      <c r="I29" s="3190" t="s">
        <v>3115</v>
      </c>
      <c r="J29" s="3190">
        <v>183</v>
      </c>
      <c r="K29" s="3190">
        <v>184</v>
      </c>
      <c r="L29" s="3190">
        <v>231.77</v>
      </c>
      <c r="M29" s="3190">
        <f t="shared" si="1"/>
        <v>464</v>
      </c>
      <c r="N29" s="3190">
        <v>0.55000000000000004</v>
      </c>
      <c r="O29" s="3190" t="s">
        <v>3116</v>
      </c>
      <c r="P29" s="3190" t="s">
        <v>3056</v>
      </c>
    </row>
    <row r="30" spans="1:16" s="3191" customFormat="1" ht="48">
      <c r="A30" s="3190" t="s">
        <v>3117</v>
      </c>
      <c r="B30" s="3190" t="s">
        <v>3050</v>
      </c>
      <c r="C30" s="3190" t="s">
        <v>3051</v>
      </c>
      <c r="D30" s="3190">
        <v>8207.9</v>
      </c>
      <c r="E30" s="3190">
        <v>20519.75</v>
      </c>
      <c r="F30" s="3190" t="s">
        <v>3093</v>
      </c>
      <c r="G30" s="3190">
        <f t="shared" si="0"/>
        <v>2.5</v>
      </c>
      <c r="H30" s="3190" t="s">
        <v>3053</v>
      </c>
      <c r="I30" s="3190" t="s">
        <v>3118</v>
      </c>
      <c r="J30" s="3190">
        <v>354</v>
      </c>
      <c r="K30" s="3190">
        <v>357</v>
      </c>
      <c r="L30" s="3190">
        <v>173.97</v>
      </c>
      <c r="M30" s="3190">
        <f t="shared" si="1"/>
        <v>435</v>
      </c>
      <c r="N30" s="3190">
        <v>0.85</v>
      </c>
      <c r="O30" s="3190" t="s">
        <v>3119</v>
      </c>
      <c r="P30" s="3190" t="s">
        <v>3056</v>
      </c>
    </row>
    <row r="31" spans="1:16" s="3191" customFormat="1" ht="36">
      <c r="A31" s="3190" t="s">
        <v>3120</v>
      </c>
      <c r="B31" s="3190" t="s">
        <v>3050</v>
      </c>
      <c r="C31" s="3190" t="s">
        <v>3051</v>
      </c>
      <c r="D31" s="3190">
        <v>5939.1</v>
      </c>
      <c r="E31" s="3190">
        <v>14847.75</v>
      </c>
      <c r="F31" s="3190" t="s">
        <v>3121</v>
      </c>
      <c r="G31" s="3190">
        <f t="shared" si="0"/>
        <v>2.5</v>
      </c>
      <c r="H31" s="3190" t="s">
        <v>3053</v>
      </c>
      <c r="I31" s="3190" t="s">
        <v>3122</v>
      </c>
      <c r="J31" s="3190">
        <v>118</v>
      </c>
      <c r="K31" s="3190">
        <v>119</v>
      </c>
      <c r="L31" s="3190">
        <v>80.150000000000006</v>
      </c>
      <c r="M31" s="3190">
        <f t="shared" si="1"/>
        <v>200</v>
      </c>
      <c r="N31" s="3190">
        <v>0.85</v>
      </c>
      <c r="O31" s="3190" t="s">
        <v>3123</v>
      </c>
      <c r="P31" s="3190" t="s">
        <v>3056</v>
      </c>
    </row>
    <row r="32" spans="1:16" s="3191" customFormat="1" ht="36">
      <c r="A32" s="3190" t="s">
        <v>3124</v>
      </c>
      <c r="B32" s="3190" t="s">
        <v>3050</v>
      </c>
      <c r="C32" s="3190" t="s">
        <v>3051</v>
      </c>
      <c r="D32" s="3190">
        <v>21315.8</v>
      </c>
      <c r="E32" s="3190">
        <v>53289.5</v>
      </c>
      <c r="F32" s="3190" t="s">
        <v>3121</v>
      </c>
      <c r="G32" s="3190">
        <f t="shared" si="0"/>
        <v>2.5</v>
      </c>
      <c r="H32" s="3190" t="s">
        <v>3053</v>
      </c>
      <c r="I32" s="3190" t="s">
        <v>3122</v>
      </c>
      <c r="J32" s="3190">
        <v>420</v>
      </c>
      <c r="K32" s="3190">
        <v>421</v>
      </c>
      <c r="L32" s="3190">
        <v>79</v>
      </c>
      <c r="M32" s="3190">
        <f t="shared" si="1"/>
        <v>198</v>
      </c>
      <c r="N32" s="3190">
        <v>0.24</v>
      </c>
      <c r="O32" s="3190" t="s">
        <v>3123</v>
      </c>
      <c r="P32" s="3190" t="s">
        <v>3056</v>
      </c>
    </row>
    <row r="33" spans="1:16" s="3191" customFormat="1" ht="48">
      <c r="A33" s="3190" t="s">
        <v>3125</v>
      </c>
      <c r="B33" s="3190" t="s">
        <v>3050</v>
      </c>
      <c r="C33" s="3190" t="s">
        <v>3051</v>
      </c>
      <c r="D33" s="3190">
        <v>5735.3</v>
      </c>
      <c r="E33" s="3190">
        <v>11470.6</v>
      </c>
      <c r="F33" s="3190" t="s">
        <v>3078</v>
      </c>
      <c r="G33" s="3190">
        <f t="shared" si="0"/>
        <v>2</v>
      </c>
      <c r="H33" s="3190" t="s">
        <v>3053</v>
      </c>
      <c r="I33" s="3190" t="s">
        <v>3126</v>
      </c>
      <c r="J33" s="3190">
        <v>188</v>
      </c>
      <c r="K33" s="3190">
        <v>189</v>
      </c>
      <c r="L33" s="3190">
        <v>164.77</v>
      </c>
      <c r="M33" s="3190">
        <f t="shared" si="1"/>
        <v>330</v>
      </c>
      <c r="N33" s="3190">
        <v>0.53</v>
      </c>
      <c r="O33" s="3190" t="s">
        <v>3127</v>
      </c>
      <c r="P33" s="3190" t="s">
        <v>3056</v>
      </c>
    </row>
    <row r="34" spans="1:16" s="3191" customFormat="1" ht="48">
      <c r="A34" s="3190" t="s">
        <v>3128</v>
      </c>
      <c r="B34" s="3190" t="s">
        <v>3050</v>
      </c>
      <c r="C34" s="3190" t="s">
        <v>3051</v>
      </c>
      <c r="D34" s="3190">
        <v>24858</v>
      </c>
      <c r="E34" s="3190">
        <v>87003</v>
      </c>
      <c r="F34" s="3190" t="s">
        <v>3062</v>
      </c>
      <c r="G34" s="3190">
        <f t="shared" si="0"/>
        <v>3.5</v>
      </c>
      <c r="H34" s="3190" t="s">
        <v>3053</v>
      </c>
      <c r="I34" s="3190" t="s">
        <v>3129</v>
      </c>
      <c r="J34" s="3190">
        <v>393</v>
      </c>
      <c r="K34" s="3190">
        <v>395</v>
      </c>
      <c r="L34" s="3190">
        <v>45.39</v>
      </c>
      <c r="M34" s="3190">
        <f t="shared" si="1"/>
        <v>159</v>
      </c>
      <c r="N34" s="3190">
        <v>0.51</v>
      </c>
      <c r="O34" s="3190" t="s">
        <v>3130</v>
      </c>
      <c r="P34" s="3190" t="s">
        <v>3056</v>
      </c>
    </row>
    <row r="35" spans="1:16" s="3191" customFormat="1" ht="48">
      <c r="A35" s="3190" t="s">
        <v>3128</v>
      </c>
      <c r="B35" s="3190" t="s">
        <v>3050</v>
      </c>
      <c r="C35" s="3190" t="s">
        <v>3051</v>
      </c>
      <c r="D35" s="3190">
        <v>23772</v>
      </c>
      <c r="E35" s="3190">
        <v>83202</v>
      </c>
      <c r="F35" s="3190" t="s">
        <v>3062</v>
      </c>
      <c r="G35" s="3190">
        <f t="shared" si="0"/>
        <v>3.5</v>
      </c>
      <c r="H35" s="3190" t="s">
        <v>3053</v>
      </c>
      <c r="I35" s="3190" t="s">
        <v>3129</v>
      </c>
      <c r="J35" s="3190">
        <v>376</v>
      </c>
      <c r="K35" s="3190">
        <v>378</v>
      </c>
      <c r="L35" s="3190">
        <v>45.42</v>
      </c>
      <c r="M35" s="3190">
        <f t="shared" si="1"/>
        <v>159</v>
      </c>
      <c r="N35" s="3190">
        <v>0.53</v>
      </c>
      <c r="O35" s="3190" t="s">
        <v>3130</v>
      </c>
      <c r="P35" s="3190" t="s">
        <v>3056</v>
      </c>
    </row>
    <row r="36" spans="1:16" s="3191" customFormat="1" ht="36">
      <c r="A36" s="3190" t="s">
        <v>3131</v>
      </c>
      <c r="B36" s="3190" t="s">
        <v>3050</v>
      </c>
      <c r="C36" s="3190" t="s">
        <v>3051</v>
      </c>
      <c r="D36" s="3190">
        <v>9216.5</v>
      </c>
      <c r="E36" s="3190">
        <v>23041.25</v>
      </c>
      <c r="F36" s="3190" t="s">
        <v>3121</v>
      </c>
      <c r="G36" s="3190">
        <f t="shared" si="0"/>
        <v>2.5</v>
      </c>
      <c r="H36" s="3190" t="s">
        <v>3053</v>
      </c>
      <c r="I36" s="3190" t="s">
        <v>3132</v>
      </c>
      <c r="J36" s="3190">
        <v>98</v>
      </c>
      <c r="K36" s="3190">
        <v>99</v>
      </c>
      <c r="L36" s="3190">
        <v>42.96</v>
      </c>
      <c r="M36" s="3190">
        <f t="shared" si="1"/>
        <v>107</v>
      </c>
      <c r="N36" s="3190">
        <v>1.02</v>
      </c>
      <c r="O36" s="3190" t="s">
        <v>3133</v>
      </c>
      <c r="P36" s="3190" t="s">
        <v>3056</v>
      </c>
    </row>
    <row r="37" spans="1:16" s="3191" customFormat="1" ht="48">
      <c r="A37" s="3190" t="s">
        <v>3134</v>
      </c>
      <c r="B37" s="3190" t="s">
        <v>3050</v>
      </c>
      <c r="C37" s="3190" t="s">
        <v>3051</v>
      </c>
      <c r="D37" s="3190">
        <v>14990.1</v>
      </c>
      <c r="E37" s="3190">
        <v>29980.2</v>
      </c>
      <c r="F37" s="3190" t="s">
        <v>3078</v>
      </c>
      <c r="G37" s="3190">
        <f t="shared" si="0"/>
        <v>2</v>
      </c>
      <c r="H37" s="3190" t="s">
        <v>3053</v>
      </c>
      <c r="I37" s="3190" t="s">
        <v>3135</v>
      </c>
      <c r="J37" s="3190">
        <v>633</v>
      </c>
      <c r="K37" s="3190">
        <v>636</v>
      </c>
      <c r="L37" s="3190">
        <v>212.13</v>
      </c>
      <c r="M37" s="3190">
        <f t="shared" si="1"/>
        <v>424</v>
      </c>
      <c r="N37" s="3190">
        <v>0.47</v>
      </c>
      <c r="O37" s="3190" t="s">
        <v>3136</v>
      </c>
      <c r="P37" s="3190" t="s">
        <v>3056</v>
      </c>
    </row>
    <row r="38" spans="1:16" s="3191" customFormat="1" ht="24">
      <c r="A38" s="3190" t="s">
        <v>3137</v>
      </c>
      <c r="B38" s="3190" t="s">
        <v>3050</v>
      </c>
      <c r="C38" s="3190" t="s">
        <v>3051</v>
      </c>
      <c r="D38" s="3190">
        <v>4517.3999999999996</v>
      </c>
      <c r="E38" s="3190">
        <v>12648.72</v>
      </c>
      <c r="F38" s="3190" t="s">
        <v>3138</v>
      </c>
      <c r="G38" s="3190">
        <f t="shared" si="0"/>
        <v>2.8</v>
      </c>
      <c r="H38" s="3190" t="s">
        <v>3053</v>
      </c>
      <c r="I38" s="3190" t="s">
        <v>3139</v>
      </c>
      <c r="J38" s="3190">
        <v>71</v>
      </c>
      <c r="K38" s="3190">
        <v>72</v>
      </c>
      <c r="L38" s="3190">
        <v>56.92</v>
      </c>
      <c r="M38" s="3190">
        <f t="shared" si="1"/>
        <v>159</v>
      </c>
      <c r="N38" s="3190">
        <v>1.41</v>
      </c>
      <c r="O38" s="3190" t="s">
        <v>3140</v>
      </c>
      <c r="P38" s="3190" t="s">
        <v>3056</v>
      </c>
    </row>
    <row r="39" spans="1:16" s="3191" customFormat="1" ht="36">
      <c r="A39" s="3190" t="s">
        <v>3141</v>
      </c>
      <c r="B39" s="3190" t="s">
        <v>3050</v>
      </c>
      <c r="C39" s="3190" t="s">
        <v>3051</v>
      </c>
      <c r="D39" s="3190">
        <v>4781.3999999999996</v>
      </c>
      <c r="E39" s="3190">
        <v>14344.2</v>
      </c>
      <c r="F39" s="3190" t="s">
        <v>3068</v>
      </c>
      <c r="G39" s="3190">
        <f t="shared" si="0"/>
        <v>3</v>
      </c>
      <c r="H39" s="3190" t="s">
        <v>3053</v>
      </c>
      <c r="I39" s="3190" t="s">
        <v>3139</v>
      </c>
      <c r="J39" s="3190">
        <v>51</v>
      </c>
      <c r="K39" s="3190">
        <v>52</v>
      </c>
      <c r="L39" s="3190">
        <v>36.25</v>
      </c>
      <c r="M39" s="3190">
        <f t="shared" si="1"/>
        <v>109</v>
      </c>
      <c r="N39" s="3190">
        <v>1.96</v>
      </c>
      <c r="O39" s="3190" t="s">
        <v>3142</v>
      </c>
      <c r="P39" s="3190" t="s">
        <v>3056</v>
      </c>
    </row>
    <row r="40" spans="1:16" s="3191" customFormat="1" ht="36">
      <c r="A40" s="3190" t="s">
        <v>3143</v>
      </c>
      <c r="B40" s="3190" t="s">
        <v>3050</v>
      </c>
      <c r="C40" s="3190" t="s">
        <v>3051</v>
      </c>
      <c r="D40" s="3190">
        <v>8362</v>
      </c>
      <c r="E40" s="3190">
        <v>25086</v>
      </c>
      <c r="F40" s="3190" t="s">
        <v>3068</v>
      </c>
      <c r="G40" s="3190">
        <f t="shared" si="0"/>
        <v>3</v>
      </c>
      <c r="H40" s="3190" t="s">
        <v>3053</v>
      </c>
      <c r="I40" s="3190" t="s">
        <v>3144</v>
      </c>
      <c r="J40" s="3190">
        <v>571</v>
      </c>
      <c r="K40" s="3190">
        <v>572</v>
      </c>
      <c r="L40" s="3190">
        <v>228.02</v>
      </c>
      <c r="M40" s="3190">
        <f t="shared" si="1"/>
        <v>684</v>
      </c>
      <c r="N40" s="3190">
        <v>0.18</v>
      </c>
      <c r="O40" s="3190" t="s">
        <v>3074</v>
      </c>
      <c r="P40" s="3190" t="s">
        <v>3056</v>
      </c>
    </row>
    <row r="41" spans="1:16" s="3191" customFormat="1" ht="36">
      <c r="A41" s="3190" t="s">
        <v>3145</v>
      </c>
      <c r="B41" s="3190" t="s">
        <v>3050</v>
      </c>
      <c r="C41" s="3190" t="s">
        <v>3051</v>
      </c>
      <c r="D41" s="3190">
        <v>8707</v>
      </c>
      <c r="E41" s="3190">
        <v>26121</v>
      </c>
      <c r="F41" s="3190" t="s">
        <v>3068</v>
      </c>
      <c r="G41" s="3190">
        <f t="shared" si="0"/>
        <v>3</v>
      </c>
      <c r="H41" s="3190" t="s">
        <v>3053</v>
      </c>
      <c r="I41" s="3190" t="s">
        <v>3144</v>
      </c>
      <c r="J41" s="3190">
        <v>594</v>
      </c>
      <c r="K41" s="3190">
        <v>595</v>
      </c>
      <c r="L41" s="3190">
        <v>227.78</v>
      </c>
      <c r="M41" s="3190">
        <f t="shared" si="1"/>
        <v>683</v>
      </c>
      <c r="N41" s="3190">
        <v>0.17</v>
      </c>
      <c r="O41" s="3190" t="s">
        <v>3074</v>
      </c>
      <c r="P41" s="3190" t="s">
        <v>3056</v>
      </c>
    </row>
    <row r="42" spans="1:16" s="3191" customFormat="1" ht="48">
      <c r="A42" s="3190" t="s">
        <v>3146</v>
      </c>
      <c r="B42" s="3190" t="s">
        <v>3050</v>
      </c>
      <c r="C42" s="3190" t="s">
        <v>3051</v>
      </c>
      <c r="D42" s="3190">
        <v>2656.2</v>
      </c>
      <c r="E42" s="3190">
        <v>7968.6</v>
      </c>
      <c r="F42" s="3190" t="s">
        <v>3068</v>
      </c>
      <c r="G42" s="3190">
        <f t="shared" si="0"/>
        <v>3</v>
      </c>
      <c r="H42" s="3190" t="s">
        <v>3053</v>
      </c>
      <c r="I42" s="3190" t="s">
        <v>3147</v>
      </c>
      <c r="J42" s="3190">
        <v>32</v>
      </c>
      <c r="K42" s="3190">
        <v>33</v>
      </c>
      <c r="L42" s="3190">
        <v>41.4</v>
      </c>
      <c r="M42" s="3190">
        <f t="shared" si="1"/>
        <v>124</v>
      </c>
      <c r="N42" s="3190">
        <v>3.13</v>
      </c>
      <c r="O42" s="3190" t="s">
        <v>3148</v>
      </c>
      <c r="P42" s="3190" t="s">
        <v>3056</v>
      </c>
    </row>
    <row r="43" spans="1:16" s="3191" customFormat="1" ht="48">
      <c r="A43" s="3190" t="s">
        <v>3146</v>
      </c>
      <c r="B43" s="3190" t="s">
        <v>3050</v>
      </c>
      <c r="C43" s="3190" t="s">
        <v>3051</v>
      </c>
      <c r="D43" s="3190">
        <v>1176.9000000000001</v>
      </c>
      <c r="E43" s="3190">
        <v>3530.7</v>
      </c>
      <c r="F43" s="3190" t="s">
        <v>3068</v>
      </c>
      <c r="G43" s="3190">
        <f t="shared" si="0"/>
        <v>3</v>
      </c>
      <c r="H43" s="3190" t="s">
        <v>3053</v>
      </c>
      <c r="I43" s="3190" t="s">
        <v>3147</v>
      </c>
      <c r="J43" s="3190">
        <v>14</v>
      </c>
      <c r="K43" s="3190">
        <v>15</v>
      </c>
      <c r="L43" s="3190">
        <v>42.47</v>
      </c>
      <c r="M43" s="3190">
        <f t="shared" si="1"/>
        <v>127</v>
      </c>
      <c r="N43" s="3190">
        <v>7.14</v>
      </c>
      <c r="O43" s="3190" t="s">
        <v>3148</v>
      </c>
      <c r="P43" s="3190" t="s">
        <v>3056</v>
      </c>
    </row>
    <row r="44" spans="1:16" s="3191" customFormat="1" ht="48">
      <c r="A44" s="3190" t="s">
        <v>3149</v>
      </c>
      <c r="B44" s="3190" t="s">
        <v>3050</v>
      </c>
      <c r="C44" s="3190" t="s">
        <v>3051</v>
      </c>
      <c r="D44" s="3190">
        <v>46950.1</v>
      </c>
      <c r="E44" s="3190">
        <v>93900.2</v>
      </c>
      <c r="F44" s="3190" t="s">
        <v>3078</v>
      </c>
      <c r="G44" s="3190">
        <f t="shared" si="0"/>
        <v>2</v>
      </c>
      <c r="H44" s="3190" t="s">
        <v>3053</v>
      </c>
      <c r="I44" s="3190" t="s">
        <v>3150</v>
      </c>
      <c r="J44" s="3190">
        <v>1775</v>
      </c>
      <c r="K44" s="3190">
        <v>1778</v>
      </c>
      <c r="L44" s="3190">
        <v>189.34</v>
      </c>
      <c r="M44" s="3190">
        <f t="shared" si="1"/>
        <v>379</v>
      </c>
      <c r="N44" s="3190">
        <v>0.17</v>
      </c>
      <c r="O44" s="3190" t="s">
        <v>3151</v>
      </c>
      <c r="P44" s="3190" t="s">
        <v>3056</v>
      </c>
    </row>
    <row r="45" spans="1:16" s="3191" customFormat="1" ht="48">
      <c r="A45" s="3190" t="s">
        <v>3152</v>
      </c>
      <c r="B45" s="3190" t="s">
        <v>3050</v>
      </c>
      <c r="C45" s="3190" t="s">
        <v>3051</v>
      </c>
      <c r="D45" s="3190">
        <v>59172.5</v>
      </c>
      <c r="E45" s="3190">
        <v>118345</v>
      </c>
      <c r="F45" s="3190" t="s">
        <v>3078</v>
      </c>
      <c r="G45" s="3190">
        <f t="shared" si="0"/>
        <v>2</v>
      </c>
      <c r="H45" s="3190" t="s">
        <v>3053</v>
      </c>
      <c r="I45" s="3190" t="s">
        <v>3150</v>
      </c>
      <c r="J45" s="3190">
        <v>2237</v>
      </c>
      <c r="K45" s="3190">
        <v>2240</v>
      </c>
      <c r="L45" s="3190">
        <v>189.28</v>
      </c>
      <c r="M45" s="3190">
        <f t="shared" si="1"/>
        <v>379</v>
      </c>
      <c r="N45" s="3190">
        <v>0.13</v>
      </c>
      <c r="O45" s="3190" t="s">
        <v>3151</v>
      </c>
      <c r="P45" s="3190" t="s">
        <v>3056</v>
      </c>
    </row>
    <row r="46" spans="1:16" s="3191" customFormat="1" ht="48">
      <c r="A46" s="3190" t="s">
        <v>3153</v>
      </c>
      <c r="B46" s="3190" t="s">
        <v>3050</v>
      </c>
      <c r="C46" s="3190" t="s">
        <v>3051</v>
      </c>
      <c r="D46" s="3190">
        <v>45820.2</v>
      </c>
      <c r="E46" s="3190">
        <v>91640.4</v>
      </c>
      <c r="F46" s="3190" t="s">
        <v>3078</v>
      </c>
      <c r="G46" s="3190">
        <f t="shared" si="0"/>
        <v>2</v>
      </c>
      <c r="H46" s="3190" t="s">
        <v>3053</v>
      </c>
      <c r="I46" s="3190" t="s">
        <v>3150</v>
      </c>
      <c r="J46" s="3190">
        <v>1733</v>
      </c>
      <c r="K46" s="3190">
        <v>1735</v>
      </c>
      <c r="L46" s="3190">
        <v>189.33</v>
      </c>
      <c r="M46" s="3190">
        <f t="shared" si="1"/>
        <v>379</v>
      </c>
      <c r="N46" s="3190">
        <v>0.12</v>
      </c>
      <c r="O46" s="3190" t="s">
        <v>3151</v>
      </c>
      <c r="P46" s="3190" t="s">
        <v>3056</v>
      </c>
    </row>
    <row r="47" spans="1:16" s="3191" customFormat="1" ht="60">
      <c r="A47" s="3190" t="s">
        <v>3057</v>
      </c>
      <c r="B47" s="3190" t="s">
        <v>3050</v>
      </c>
      <c r="C47" s="3190" t="s">
        <v>3051</v>
      </c>
      <c r="D47" s="3190">
        <v>2707</v>
      </c>
      <c r="E47" s="3190">
        <v>2707</v>
      </c>
      <c r="F47" s="3190" t="s">
        <v>3058</v>
      </c>
      <c r="G47" s="3190">
        <f t="shared" si="0"/>
        <v>1</v>
      </c>
      <c r="H47" s="3190" t="s">
        <v>3053</v>
      </c>
      <c r="I47" s="3190" t="s">
        <v>3059</v>
      </c>
      <c r="J47" s="3190">
        <v>1510</v>
      </c>
      <c r="K47" s="3190">
        <v>1530</v>
      </c>
      <c r="L47" s="3190">
        <v>5652.01</v>
      </c>
      <c r="M47" s="3190">
        <f t="shared" si="1"/>
        <v>5652</v>
      </c>
      <c r="N47" s="3190">
        <v>1.32</v>
      </c>
      <c r="O47" s="3190" t="s">
        <v>3060</v>
      </c>
      <c r="P47" s="3190" t="s">
        <v>3056</v>
      </c>
    </row>
    <row r="48" spans="1:16" s="3191" customFormat="1" ht="36">
      <c r="A48" s="3190" t="s">
        <v>3154</v>
      </c>
      <c r="B48" s="3190" t="s">
        <v>3050</v>
      </c>
      <c r="C48" s="3190" t="s">
        <v>3051</v>
      </c>
      <c r="D48" s="3190">
        <v>68567</v>
      </c>
      <c r="E48" s="3190">
        <v>239984.5</v>
      </c>
      <c r="F48" s="3190" t="s">
        <v>3062</v>
      </c>
      <c r="G48" s="3190">
        <f t="shared" si="0"/>
        <v>3.5</v>
      </c>
      <c r="H48" s="3190" t="s">
        <v>3053</v>
      </c>
      <c r="I48" s="3190" t="s">
        <v>3155</v>
      </c>
      <c r="J48" s="3190">
        <v>4649</v>
      </c>
      <c r="K48" s="3190">
        <v>4656</v>
      </c>
      <c r="L48" s="3190">
        <v>194</v>
      </c>
      <c r="M48" s="3190">
        <f t="shared" si="1"/>
        <v>679</v>
      </c>
      <c r="N48" s="3190">
        <v>0.15</v>
      </c>
      <c r="O48" s="3190" t="s">
        <v>3064</v>
      </c>
      <c r="P48" s="3190" t="s">
        <v>3056</v>
      </c>
    </row>
    <row r="49" spans="1:16" s="3191" customFormat="1" ht="36">
      <c r="A49" s="3190" t="s">
        <v>3156</v>
      </c>
      <c r="B49" s="3190" t="s">
        <v>3050</v>
      </c>
      <c r="C49" s="3190" t="s">
        <v>3051</v>
      </c>
      <c r="D49" s="3190">
        <v>43814.400000000001</v>
      </c>
      <c r="E49" s="3190">
        <v>153350.39999999999</v>
      </c>
      <c r="F49" s="3190" t="s">
        <v>3062</v>
      </c>
      <c r="G49" s="3190">
        <f t="shared" si="0"/>
        <v>3.5</v>
      </c>
      <c r="H49" s="3190" t="s">
        <v>3053</v>
      </c>
      <c r="I49" s="3190" t="s">
        <v>3155</v>
      </c>
      <c r="J49" s="3190">
        <v>2971</v>
      </c>
      <c r="K49" s="3190">
        <v>2980</v>
      </c>
      <c r="L49" s="3190">
        <v>194.33</v>
      </c>
      <c r="M49" s="3190">
        <f t="shared" si="1"/>
        <v>680</v>
      </c>
      <c r="N49" s="3190">
        <v>0.3</v>
      </c>
      <c r="O49" s="3190" t="s">
        <v>3064</v>
      </c>
      <c r="P49" s="3190" t="s">
        <v>3056</v>
      </c>
    </row>
    <row r="50" spans="1:16" s="3191" customFormat="1" ht="36">
      <c r="A50" s="3190" t="s">
        <v>3157</v>
      </c>
      <c r="B50" s="3190" t="s">
        <v>3050</v>
      </c>
      <c r="C50" s="3190" t="s">
        <v>3051</v>
      </c>
      <c r="D50" s="3190">
        <v>48464.800000000003</v>
      </c>
      <c r="E50" s="3190">
        <v>169626.8</v>
      </c>
      <c r="F50" s="3190" t="s">
        <v>3062</v>
      </c>
      <c r="G50" s="3190">
        <f t="shared" si="0"/>
        <v>3.5</v>
      </c>
      <c r="H50" s="3190" t="s">
        <v>3053</v>
      </c>
      <c r="I50" s="3190" t="s">
        <v>3158</v>
      </c>
      <c r="J50" s="3190">
        <v>3286</v>
      </c>
      <c r="K50" s="3190">
        <v>3294</v>
      </c>
      <c r="L50" s="3190">
        <v>194.18</v>
      </c>
      <c r="M50" s="3190">
        <f t="shared" si="1"/>
        <v>680</v>
      </c>
      <c r="N50" s="3190">
        <v>0.24</v>
      </c>
      <c r="O50" s="3190" t="s">
        <v>3064</v>
      </c>
      <c r="P50" s="3190" t="s">
        <v>3056</v>
      </c>
    </row>
    <row r="51" spans="1:16" s="3191" customFormat="1" ht="36">
      <c r="A51" s="3190" t="s">
        <v>3159</v>
      </c>
      <c r="B51" s="3190" t="s">
        <v>3050</v>
      </c>
      <c r="C51" s="3190" t="s">
        <v>3051</v>
      </c>
      <c r="D51" s="3190">
        <v>45152.3</v>
      </c>
      <c r="E51" s="3190">
        <v>158033.04999999999</v>
      </c>
      <c r="F51" s="3190" t="s">
        <v>3062</v>
      </c>
      <c r="G51" s="3190">
        <f t="shared" si="0"/>
        <v>3.5</v>
      </c>
      <c r="H51" s="3190" t="s">
        <v>3053</v>
      </c>
      <c r="I51" s="3190" t="s">
        <v>3158</v>
      </c>
      <c r="J51" s="3190">
        <v>3062</v>
      </c>
      <c r="K51" s="3190">
        <v>3070</v>
      </c>
      <c r="L51" s="3190">
        <v>194.25</v>
      </c>
      <c r="M51" s="3190">
        <f t="shared" si="1"/>
        <v>680</v>
      </c>
      <c r="N51" s="3190">
        <v>0.26</v>
      </c>
      <c r="O51" s="3190" t="s">
        <v>3064</v>
      </c>
      <c r="P51" s="3190" t="s">
        <v>3056</v>
      </c>
    </row>
    <row r="52" spans="1:16" s="3191" customFormat="1" ht="36">
      <c r="A52" s="3190" t="s">
        <v>3160</v>
      </c>
      <c r="B52" s="3190" t="s">
        <v>3050</v>
      </c>
      <c r="C52" s="3190" t="s">
        <v>3051</v>
      </c>
      <c r="D52" s="3190">
        <v>46142.7</v>
      </c>
      <c r="E52" s="3190">
        <v>161499.45000000001</v>
      </c>
      <c r="F52" s="3190" t="s">
        <v>3062</v>
      </c>
      <c r="G52" s="3190">
        <f t="shared" si="0"/>
        <v>3.5</v>
      </c>
      <c r="H52" s="3190" t="s">
        <v>3053</v>
      </c>
      <c r="I52" s="3190" t="s">
        <v>3161</v>
      </c>
      <c r="J52" s="3190">
        <v>3129</v>
      </c>
      <c r="K52" s="3190">
        <v>3135</v>
      </c>
      <c r="L52" s="3190">
        <v>194.12</v>
      </c>
      <c r="M52" s="3190">
        <f t="shared" si="1"/>
        <v>679</v>
      </c>
      <c r="N52" s="3190">
        <v>0.19</v>
      </c>
      <c r="O52" s="3190" t="s">
        <v>3064</v>
      </c>
      <c r="P52" s="3190" t="s">
        <v>3056</v>
      </c>
    </row>
    <row r="53" spans="1:16" s="3191" customFormat="1" ht="36">
      <c r="A53" s="3190" t="s">
        <v>3162</v>
      </c>
      <c r="B53" s="3190" t="s">
        <v>3050</v>
      </c>
      <c r="C53" s="3190" t="s">
        <v>3051</v>
      </c>
      <c r="D53" s="3190">
        <v>47730</v>
      </c>
      <c r="E53" s="3190">
        <v>167055</v>
      </c>
      <c r="F53" s="3190" t="s">
        <v>3062</v>
      </c>
      <c r="G53" s="3190">
        <f t="shared" si="0"/>
        <v>3.5</v>
      </c>
      <c r="H53" s="3190" t="s">
        <v>3053</v>
      </c>
      <c r="I53" s="3190" t="s">
        <v>3161</v>
      </c>
      <c r="J53" s="3190">
        <v>3237</v>
      </c>
      <c r="K53" s="3190">
        <v>3245</v>
      </c>
      <c r="L53" s="3190">
        <v>194.25</v>
      </c>
      <c r="M53" s="3190">
        <f t="shared" si="1"/>
        <v>680</v>
      </c>
      <c r="N53" s="3190">
        <v>0.25</v>
      </c>
      <c r="O53" s="3190" t="s">
        <v>3064</v>
      </c>
      <c r="P53" s="3190" t="s">
        <v>3056</v>
      </c>
    </row>
    <row r="54" spans="1:16" s="3191" customFormat="1" ht="36">
      <c r="A54" s="3190" t="s">
        <v>3163</v>
      </c>
      <c r="B54" s="3190" t="s">
        <v>3050</v>
      </c>
      <c r="C54" s="3190" t="s">
        <v>3051</v>
      </c>
      <c r="D54" s="3190">
        <v>22651.3</v>
      </c>
      <c r="E54" s="3190">
        <v>79279.55</v>
      </c>
      <c r="F54" s="3190" t="s">
        <v>3062</v>
      </c>
      <c r="G54" s="3190">
        <f t="shared" si="0"/>
        <v>3.5</v>
      </c>
      <c r="H54" s="3190" t="s">
        <v>3053</v>
      </c>
      <c r="I54" s="3190" t="s">
        <v>3164</v>
      </c>
      <c r="J54" s="3190">
        <v>789</v>
      </c>
      <c r="K54" s="3190">
        <v>790</v>
      </c>
      <c r="L54" s="3190">
        <v>99.65</v>
      </c>
      <c r="M54" s="3190">
        <f t="shared" si="1"/>
        <v>349</v>
      </c>
      <c r="N54" s="3190">
        <v>0.13</v>
      </c>
      <c r="O54" s="3190" t="s">
        <v>3165</v>
      </c>
      <c r="P54" s="3190" t="s">
        <v>3056</v>
      </c>
    </row>
    <row r="55" spans="1:16" s="3191" customFormat="1" ht="36">
      <c r="A55" s="3190" t="s">
        <v>3166</v>
      </c>
      <c r="B55" s="3190" t="s">
        <v>3050</v>
      </c>
      <c r="C55" s="3190" t="s">
        <v>3051</v>
      </c>
      <c r="D55" s="3190">
        <v>22244.2</v>
      </c>
      <c r="E55" s="3190">
        <v>77854.7</v>
      </c>
      <c r="F55" s="3190" t="s">
        <v>3062</v>
      </c>
      <c r="G55" s="3190">
        <f t="shared" si="0"/>
        <v>3.5</v>
      </c>
      <c r="H55" s="3190" t="s">
        <v>3053</v>
      </c>
      <c r="I55" s="3190" t="s">
        <v>3164</v>
      </c>
      <c r="J55" s="3190">
        <v>775</v>
      </c>
      <c r="K55" s="3190">
        <v>776</v>
      </c>
      <c r="L55" s="3190">
        <v>99.67</v>
      </c>
      <c r="M55" s="3190">
        <f t="shared" si="1"/>
        <v>349</v>
      </c>
      <c r="N55" s="3190">
        <v>0.13</v>
      </c>
      <c r="O55" s="3190" t="s">
        <v>3165</v>
      </c>
      <c r="P55" s="3190" t="s">
        <v>3056</v>
      </c>
    </row>
    <row r="56" spans="1:16" s="3191" customFormat="1" ht="36">
      <c r="A56" s="3190" t="s">
        <v>3167</v>
      </c>
      <c r="B56" s="3190" t="s">
        <v>3050</v>
      </c>
      <c r="C56" s="3190" t="s">
        <v>3051</v>
      </c>
      <c r="D56" s="3190">
        <v>62042.9</v>
      </c>
      <c r="E56" s="3190">
        <v>217150.15</v>
      </c>
      <c r="F56" s="3190" t="s">
        <v>3062</v>
      </c>
      <c r="G56" s="3190">
        <f t="shared" si="0"/>
        <v>3.5</v>
      </c>
      <c r="H56" s="3190" t="s">
        <v>3053</v>
      </c>
      <c r="I56" s="3190" t="s">
        <v>3168</v>
      </c>
      <c r="J56" s="3190">
        <v>1775</v>
      </c>
      <c r="K56" s="3190">
        <v>1778</v>
      </c>
      <c r="L56" s="3190">
        <v>81.87</v>
      </c>
      <c r="M56" s="3190">
        <f t="shared" si="1"/>
        <v>287</v>
      </c>
      <c r="N56" s="3190">
        <v>0.17</v>
      </c>
      <c r="O56" s="3190" t="s">
        <v>3169</v>
      </c>
      <c r="P56" s="3190" t="s">
        <v>3056</v>
      </c>
    </row>
    <row r="57" spans="1:16" s="3191" customFormat="1" ht="36">
      <c r="A57" s="3190" t="s">
        <v>3170</v>
      </c>
      <c r="B57" s="3190" t="s">
        <v>3050</v>
      </c>
      <c r="C57" s="3190" t="s">
        <v>3051</v>
      </c>
      <c r="D57" s="3190">
        <v>41307.800000000003</v>
      </c>
      <c r="E57" s="3190">
        <v>144577.29999999999</v>
      </c>
      <c r="F57" s="3190" t="s">
        <v>3062</v>
      </c>
      <c r="G57" s="3190">
        <f t="shared" si="0"/>
        <v>3.5</v>
      </c>
      <c r="H57" s="3190" t="s">
        <v>3053</v>
      </c>
      <c r="I57" s="3190" t="s">
        <v>3168</v>
      </c>
      <c r="J57" s="3190">
        <v>1182</v>
      </c>
      <c r="K57" s="3190">
        <v>1185</v>
      </c>
      <c r="L57" s="3190">
        <v>81.95</v>
      </c>
      <c r="M57" s="3190">
        <f t="shared" si="1"/>
        <v>287</v>
      </c>
      <c r="N57" s="3190">
        <v>0.25</v>
      </c>
      <c r="O57" s="3190" t="s">
        <v>3169</v>
      </c>
      <c r="P57" s="3190" t="s">
        <v>3056</v>
      </c>
    </row>
    <row r="58" spans="1:16" s="3193" customFormat="1" ht="60">
      <c r="A58" s="3192" t="s">
        <v>3265</v>
      </c>
      <c r="B58" s="3192" t="s">
        <v>3050</v>
      </c>
      <c r="C58" s="3192" t="s">
        <v>3051</v>
      </c>
      <c r="D58" s="3192">
        <v>6667</v>
      </c>
      <c r="E58" s="3192">
        <v>10000.5</v>
      </c>
      <c r="F58" s="3192" t="s">
        <v>3171</v>
      </c>
      <c r="G58" s="3192">
        <f t="shared" si="0"/>
        <v>1.5</v>
      </c>
      <c r="H58" s="3192" t="s">
        <v>3053</v>
      </c>
      <c r="I58" s="3192" t="s">
        <v>3172</v>
      </c>
      <c r="J58" s="3192">
        <v>684</v>
      </c>
      <c r="K58" s="3192">
        <v>686</v>
      </c>
      <c r="L58" s="3192">
        <v>686</v>
      </c>
      <c r="M58" s="3192">
        <f t="shared" si="1"/>
        <v>1029</v>
      </c>
      <c r="N58" s="3192">
        <v>0.28999999999999998</v>
      </c>
      <c r="O58" s="3192" t="s">
        <v>3173</v>
      </c>
      <c r="P58" s="3192" t="s">
        <v>3056</v>
      </c>
    </row>
    <row r="59" spans="1:16" s="3191" customFormat="1" ht="48">
      <c r="A59" s="3190" t="s">
        <v>3174</v>
      </c>
      <c r="B59" s="3190" t="s">
        <v>3050</v>
      </c>
      <c r="C59" s="3190" t="s">
        <v>3051</v>
      </c>
      <c r="D59" s="3190">
        <v>45816.2</v>
      </c>
      <c r="E59" s="3190">
        <v>160356.70000000001</v>
      </c>
      <c r="F59" s="3190" t="s">
        <v>3062</v>
      </c>
      <c r="G59" s="3190">
        <f t="shared" si="0"/>
        <v>3.5</v>
      </c>
      <c r="H59" s="3190" t="s">
        <v>3053</v>
      </c>
      <c r="I59" s="3190" t="s">
        <v>3175</v>
      </c>
      <c r="J59" s="3190">
        <v>2420</v>
      </c>
      <c r="K59" s="3190">
        <v>2422</v>
      </c>
      <c r="L59" s="3190">
        <v>151.03</v>
      </c>
      <c r="M59" s="3190">
        <f t="shared" si="1"/>
        <v>529</v>
      </c>
      <c r="N59" s="3190">
        <v>0.08</v>
      </c>
      <c r="O59" s="3190" t="s">
        <v>3176</v>
      </c>
      <c r="P59" s="3190" t="s">
        <v>3056</v>
      </c>
    </row>
    <row r="60" spans="1:16" s="3191" customFormat="1" ht="48">
      <c r="A60" s="3190" t="s">
        <v>3174</v>
      </c>
      <c r="B60" s="3190" t="s">
        <v>3050</v>
      </c>
      <c r="C60" s="3190" t="s">
        <v>3051</v>
      </c>
      <c r="D60" s="3190">
        <v>61015.199999999997</v>
      </c>
      <c r="E60" s="3190">
        <v>213553.2</v>
      </c>
      <c r="F60" s="3190" t="s">
        <v>3062</v>
      </c>
      <c r="G60" s="3190">
        <f t="shared" si="0"/>
        <v>3.5</v>
      </c>
      <c r="H60" s="3190" t="s">
        <v>3053</v>
      </c>
      <c r="I60" s="3190" t="s">
        <v>3175</v>
      </c>
      <c r="J60" s="3190">
        <v>3222</v>
      </c>
      <c r="K60" s="3190">
        <v>3225</v>
      </c>
      <c r="L60" s="3190">
        <v>151.02000000000001</v>
      </c>
      <c r="M60" s="3190">
        <f t="shared" si="1"/>
        <v>529</v>
      </c>
      <c r="N60" s="3190">
        <v>0.09</v>
      </c>
      <c r="O60" s="3190" t="s">
        <v>3176</v>
      </c>
      <c r="P60" s="3190" t="s">
        <v>3056</v>
      </c>
    </row>
    <row r="61" spans="1:16" s="3191" customFormat="1" ht="48">
      <c r="A61" s="3190" t="s">
        <v>3177</v>
      </c>
      <c r="B61" s="3190" t="s">
        <v>3050</v>
      </c>
      <c r="C61" s="3190" t="s">
        <v>3051</v>
      </c>
      <c r="D61" s="3190">
        <v>6981.7</v>
      </c>
      <c r="E61" s="3190">
        <v>19548.759999999998</v>
      </c>
      <c r="F61" s="3190" t="s">
        <v>3138</v>
      </c>
      <c r="G61" s="3190">
        <f t="shared" si="0"/>
        <v>2.8</v>
      </c>
      <c r="H61" s="3190" t="s">
        <v>3053</v>
      </c>
      <c r="I61" s="3190" t="s">
        <v>3178</v>
      </c>
      <c r="J61" s="3190">
        <v>106</v>
      </c>
      <c r="K61" s="3190">
        <v>108</v>
      </c>
      <c r="L61" s="3190">
        <v>55.25</v>
      </c>
      <c r="M61" s="3190">
        <f t="shared" si="1"/>
        <v>155</v>
      </c>
      <c r="N61" s="3190">
        <v>1.89</v>
      </c>
      <c r="O61" s="3190" t="s">
        <v>3130</v>
      </c>
      <c r="P61" s="3190" t="s">
        <v>3056</v>
      </c>
    </row>
    <row r="62" spans="1:16" s="3191" customFormat="1" ht="48">
      <c r="A62" s="3190" t="s">
        <v>3177</v>
      </c>
      <c r="B62" s="3190" t="s">
        <v>3050</v>
      </c>
      <c r="C62" s="3190" t="s">
        <v>3051</v>
      </c>
      <c r="D62" s="3190">
        <v>7761.2</v>
      </c>
      <c r="E62" s="3190">
        <v>21731.360000000001</v>
      </c>
      <c r="F62" s="3190" t="s">
        <v>3138</v>
      </c>
      <c r="G62" s="3190">
        <f t="shared" si="0"/>
        <v>2.8</v>
      </c>
      <c r="H62" s="3190" t="s">
        <v>3053</v>
      </c>
      <c r="I62" s="3190" t="s">
        <v>3178</v>
      </c>
      <c r="J62" s="3190">
        <v>118</v>
      </c>
      <c r="K62" s="3190">
        <v>120</v>
      </c>
      <c r="L62" s="3190">
        <v>55.21</v>
      </c>
      <c r="M62" s="3190">
        <f t="shared" si="1"/>
        <v>155</v>
      </c>
      <c r="N62" s="3190">
        <v>1.69</v>
      </c>
      <c r="O62" s="3190" t="s">
        <v>3130</v>
      </c>
      <c r="P62" s="3190" t="s">
        <v>3056</v>
      </c>
    </row>
    <row r="63" spans="1:16" s="3193" customFormat="1" ht="60">
      <c r="A63" s="3192" t="s">
        <v>3179</v>
      </c>
      <c r="B63" s="3192" t="s">
        <v>3050</v>
      </c>
      <c r="C63" s="3192" t="s">
        <v>3051</v>
      </c>
      <c r="D63" s="3192">
        <v>2086</v>
      </c>
      <c r="E63" s="3192">
        <v>4172</v>
      </c>
      <c r="F63" s="3192" t="s">
        <v>3078</v>
      </c>
      <c r="G63" s="3192">
        <f t="shared" si="0"/>
        <v>2</v>
      </c>
      <c r="H63" s="3192" t="s">
        <v>3053</v>
      </c>
      <c r="I63" s="3192" t="s">
        <v>3178</v>
      </c>
      <c r="J63" s="3192">
        <v>211</v>
      </c>
      <c r="K63" s="3192">
        <v>213</v>
      </c>
      <c r="L63" s="3192">
        <v>511</v>
      </c>
      <c r="M63" s="3192">
        <f t="shared" si="1"/>
        <v>1021</v>
      </c>
      <c r="N63" s="3192">
        <v>0.95</v>
      </c>
      <c r="O63" s="3192" t="s">
        <v>3180</v>
      </c>
      <c r="P63" s="3192" t="s">
        <v>3056</v>
      </c>
    </row>
    <row r="64" spans="1:16" s="3191" customFormat="1" ht="48" hidden="1">
      <c r="A64" s="3190" t="s">
        <v>3177</v>
      </c>
      <c r="B64" s="3190" t="s">
        <v>3050</v>
      </c>
      <c r="C64" s="3190" t="s">
        <v>3051</v>
      </c>
      <c r="D64" s="3190">
        <v>7165.3</v>
      </c>
      <c r="E64" s="3190">
        <v>20062.84</v>
      </c>
      <c r="F64" s="3190" t="s">
        <v>3138</v>
      </c>
      <c r="G64" s="3190">
        <f t="shared" si="0"/>
        <v>2.8</v>
      </c>
      <c r="H64" s="3190" t="s">
        <v>3053</v>
      </c>
      <c r="I64" s="3190" t="s">
        <v>3178</v>
      </c>
      <c r="J64" s="3190">
        <v>109</v>
      </c>
      <c r="K64" s="3190">
        <v>110</v>
      </c>
      <c r="L64" s="3190">
        <v>54.82</v>
      </c>
      <c r="M64" s="3190">
        <f t="shared" si="1"/>
        <v>154</v>
      </c>
      <c r="N64" s="3190">
        <v>0.92</v>
      </c>
      <c r="O64" s="3190" t="s">
        <v>3130</v>
      </c>
      <c r="P64" s="3190" t="s">
        <v>3056</v>
      </c>
    </row>
    <row r="65" spans="1:16" s="3191" customFormat="1" ht="48" hidden="1">
      <c r="A65" s="3190" t="s">
        <v>3181</v>
      </c>
      <c r="B65" s="3190" t="s">
        <v>3050</v>
      </c>
      <c r="C65" s="3190" t="s">
        <v>3051</v>
      </c>
      <c r="D65" s="3190">
        <v>1089</v>
      </c>
      <c r="E65" s="3190">
        <v>3811.5</v>
      </c>
      <c r="F65" s="3190" t="s">
        <v>3062</v>
      </c>
      <c r="G65" s="3190">
        <f t="shared" si="0"/>
        <v>3.5</v>
      </c>
      <c r="H65" s="3190" t="s">
        <v>3053</v>
      </c>
      <c r="I65" s="3190" t="s">
        <v>3178</v>
      </c>
      <c r="J65" s="3190">
        <v>47</v>
      </c>
      <c r="K65" s="3190">
        <v>48</v>
      </c>
      <c r="L65" s="3190">
        <v>125.93</v>
      </c>
      <c r="M65" s="3190">
        <f t="shared" si="1"/>
        <v>441</v>
      </c>
      <c r="N65" s="3190">
        <v>2.13</v>
      </c>
      <c r="O65" s="3190" t="s">
        <v>3182</v>
      </c>
      <c r="P65" s="3190" t="s">
        <v>3056</v>
      </c>
    </row>
    <row r="66" spans="1:16" s="3191" customFormat="1" ht="36" hidden="1">
      <c r="A66" s="3190" t="s">
        <v>3183</v>
      </c>
      <c r="B66" s="3190" t="s">
        <v>3050</v>
      </c>
      <c r="C66" s="3190" t="s">
        <v>3051</v>
      </c>
      <c r="D66" s="3190">
        <v>5529</v>
      </c>
      <c r="E66" s="3190">
        <v>3317.4</v>
      </c>
      <c r="F66" s="3190" t="s">
        <v>3184</v>
      </c>
      <c r="G66" s="3190">
        <f t="shared" si="0"/>
        <v>0.6</v>
      </c>
      <c r="H66" s="3190" t="s">
        <v>3053</v>
      </c>
      <c r="I66" s="3190" t="s">
        <v>3185</v>
      </c>
      <c r="J66" s="3190">
        <v>556</v>
      </c>
      <c r="K66" s="3190">
        <v>558</v>
      </c>
      <c r="L66" s="3190">
        <v>1682.03</v>
      </c>
      <c r="M66" s="3190">
        <f t="shared" si="1"/>
        <v>1009</v>
      </c>
      <c r="N66" s="3190">
        <v>0.36</v>
      </c>
      <c r="O66" s="3190" t="s">
        <v>3186</v>
      </c>
      <c r="P66" s="3190" t="s">
        <v>3056</v>
      </c>
    </row>
    <row r="67" spans="1:16" s="3191" customFormat="1" ht="48" hidden="1">
      <c r="A67" s="3190" t="s">
        <v>3187</v>
      </c>
      <c r="B67" s="3190" t="s">
        <v>3050</v>
      </c>
      <c r="C67" s="3190" t="s">
        <v>3051</v>
      </c>
      <c r="D67" s="3190">
        <v>3276.1</v>
      </c>
      <c r="E67" s="3190">
        <v>4914.1499999999996</v>
      </c>
      <c r="F67" s="3190" t="s">
        <v>3171</v>
      </c>
      <c r="G67" s="3190">
        <f t="shared" si="0"/>
        <v>1.5</v>
      </c>
      <c r="H67" s="3190" t="s">
        <v>3053</v>
      </c>
      <c r="I67" s="3190" t="s">
        <v>3188</v>
      </c>
      <c r="J67" s="3190">
        <v>135</v>
      </c>
      <c r="K67" s="3190">
        <v>137</v>
      </c>
      <c r="L67" s="3190">
        <v>278.79000000000002</v>
      </c>
      <c r="M67" s="3190">
        <f t="shared" si="1"/>
        <v>418</v>
      </c>
      <c r="N67" s="3190">
        <v>1.48</v>
      </c>
      <c r="O67" s="3190" t="s">
        <v>3189</v>
      </c>
      <c r="P67" s="3190" t="s">
        <v>3056</v>
      </c>
    </row>
    <row r="68" spans="1:16" s="3191" customFormat="1" ht="48" hidden="1">
      <c r="A68" s="3190" t="s">
        <v>3190</v>
      </c>
      <c r="B68" s="3190" t="s">
        <v>3050</v>
      </c>
      <c r="C68" s="3190" t="s">
        <v>3051</v>
      </c>
      <c r="D68" s="3190">
        <v>9081</v>
      </c>
      <c r="E68" s="3190">
        <v>31783.5</v>
      </c>
      <c r="F68" s="3190" t="s">
        <v>3062</v>
      </c>
      <c r="G68" s="3190">
        <f t="shared" ref="G68:G78" si="2">ROUND(E68/D68,2)</f>
        <v>3.5</v>
      </c>
      <c r="H68" s="3190" t="s">
        <v>3053</v>
      </c>
      <c r="I68" s="3190" t="s">
        <v>3191</v>
      </c>
      <c r="J68" s="3190">
        <v>386</v>
      </c>
      <c r="K68" s="3190">
        <v>390</v>
      </c>
      <c r="L68" s="3190">
        <v>122.7</v>
      </c>
      <c r="M68" s="3190">
        <f t="shared" ref="M68:M78" si="3">ROUND(K68/D68*10000,0)</f>
        <v>429</v>
      </c>
      <c r="N68" s="3190">
        <v>1.04</v>
      </c>
      <c r="O68" s="3190" t="s">
        <v>3182</v>
      </c>
      <c r="P68" s="3190" t="s">
        <v>3056</v>
      </c>
    </row>
    <row r="69" spans="1:16" s="3191" customFormat="1" ht="36" hidden="1">
      <c r="A69" s="3190" t="s">
        <v>3192</v>
      </c>
      <c r="B69" s="3190" t="s">
        <v>3050</v>
      </c>
      <c r="C69" s="3190" t="s">
        <v>3051</v>
      </c>
      <c r="D69" s="3190">
        <v>2770.9</v>
      </c>
      <c r="E69" s="3190">
        <v>9698.15</v>
      </c>
      <c r="F69" s="3190" t="s">
        <v>3062</v>
      </c>
      <c r="G69" s="3190">
        <f t="shared" si="2"/>
        <v>3.5</v>
      </c>
      <c r="H69" s="3190" t="s">
        <v>3053</v>
      </c>
      <c r="I69" s="3190" t="s">
        <v>3193</v>
      </c>
      <c r="J69" s="3190">
        <v>279</v>
      </c>
      <c r="K69" s="3190">
        <v>282</v>
      </c>
      <c r="L69" s="3190">
        <v>290.77</v>
      </c>
      <c r="M69" s="3190">
        <f t="shared" si="3"/>
        <v>1018</v>
      </c>
      <c r="N69" s="3190">
        <v>1.08</v>
      </c>
      <c r="O69" s="3190" t="s">
        <v>3194</v>
      </c>
      <c r="P69" s="3190" t="s">
        <v>3056</v>
      </c>
    </row>
    <row r="70" spans="1:16" s="3191" customFormat="1" ht="36" hidden="1">
      <c r="A70" s="3190" t="s">
        <v>3192</v>
      </c>
      <c r="B70" s="3190" t="s">
        <v>3050</v>
      </c>
      <c r="C70" s="3190" t="s">
        <v>3051</v>
      </c>
      <c r="D70" s="3190">
        <v>11986.4</v>
      </c>
      <c r="E70" s="3190">
        <v>41952.4</v>
      </c>
      <c r="F70" s="3190" t="s">
        <v>3062</v>
      </c>
      <c r="G70" s="3190">
        <f t="shared" si="2"/>
        <v>3.5</v>
      </c>
      <c r="H70" s="3190" t="s">
        <v>3053</v>
      </c>
      <c r="I70" s="3190" t="s">
        <v>3193</v>
      </c>
      <c r="J70" s="3190">
        <v>1204</v>
      </c>
      <c r="K70" s="3190">
        <v>1214</v>
      </c>
      <c r="L70" s="3190">
        <v>289.37</v>
      </c>
      <c r="M70" s="3190">
        <f t="shared" si="3"/>
        <v>1013</v>
      </c>
      <c r="N70" s="3190">
        <v>0.83</v>
      </c>
      <c r="O70" s="3190" t="s">
        <v>3194</v>
      </c>
      <c r="P70" s="3190" t="s">
        <v>3056</v>
      </c>
    </row>
    <row r="71" spans="1:16" s="3193" customFormat="1" ht="24">
      <c r="A71" s="3192" t="s">
        <v>3195</v>
      </c>
      <c r="B71" s="3192" t="s">
        <v>3050</v>
      </c>
      <c r="C71" s="3192" t="s">
        <v>3051</v>
      </c>
      <c r="D71" s="3192">
        <v>19053</v>
      </c>
      <c r="E71" s="3192">
        <v>28579.5</v>
      </c>
      <c r="F71" s="3192" t="s">
        <v>3171</v>
      </c>
      <c r="G71" s="3192">
        <f t="shared" si="2"/>
        <v>1.5</v>
      </c>
      <c r="H71" s="3192" t="s">
        <v>3053</v>
      </c>
      <c r="I71" s="3192" t="s">
        <v>3193</v>
      </c>
      <c r="J71" s="3192">
        <v>1912</v>
      </c>
      <c r="K71" s="3192">
        <v>1914</v>
      </c>
      <c r="L71" s="3192">
        <v>670</v>
      </c>
      <c r="M71" s="3192">
        <f t="shared" si="3"/>
        <v>1005</v>
      </c>
      <c r="N71" s="3192">
        <v>0.1</v>
      </c>
      <c r="O71" s="3192" t="s">
        <v>3196</v>
      </c>
      <c r="P71" s="3192" t="s">
        <v>3056</v>
      </c>
    </row>
    <row r="72" spans="1:16" s="3191" customFormat="1" ht="48">
      <c r="A72" s="3190" t="s">
        <v>3197</v>
      </c>
      <c r="B72" s="3190" t="s">
        <v>3050</v>
      </c>
      <c r="C72" s="3190" t="s">
        <v>3051</v>
      </c>
      <c r="D72" s="3190">
        <v>7380</v>
      </c>
      <c r="E72" s="3190">
        <v>20664</v>
      </c>
      <c r="F72" s="3190" t="s">
        <v>3138</v>
      </c>
      <c r="G72" s="3190">
        <f t="shared" si="2"/>
        <v>2.8</v>
      </c>
      <c r="H72" s="3190" t="s">
        <v>3053</v>
      </c>
      <c r="I72" s="3190" t="s">
        <v>3198</v>
      </c>
      <c r="J72" s="3190">
        <v>81</v>
      </c>
      <c r="K72" s="3190">
        <v>82</v>
      </c>
      <c r="L72" s="3190">
        <v>39.67</v>
      </c>
      <c r="M72" s="3190">
        <f t="shared" si="3"/>
        <v>111</v>
      </c>
      <c r="N72" s="3190">
        <v>1.23</v>
      </c>
      <c r="O72" s="3190" t="s">
        <v>3130</v>
      </c>
      <c r="P72" s="3190" t="s">
        <v>3056</v>
      </c>
    </row>
    <row r="73" spans="1:16" s="3191" customFormat="1" ht="48">
      <c r="A73" s="3190" t="s">
        <v>3199</v>
      </c>
      <c r="B73" s="3190" t="s">
        <v>3050</v>
      </c>
      <c r="C73" s="3190" t="s">
        <v>3051</v>
      </c>
      <c r="D73" s="3190">
        <v>4310.3</v>
      </c>
      <c r="E73" s="3190">
        <v>8620.6</v>
      </c>
      <c r="F73" s="3190" t="s">
        <v>3078</v>
      </c>
      <c r="G73" s="3190">
        <f t="shared" si="2"/>
        <v>2</v>
      </c>
      <c r="H73" s="3190" t="s">
        <v>3053</v>
      </c>
      <c r="I73" s="3190" t="s">
        <v>3200</v>
      </c>
      <c r="J73" s="3190">
        <v>181</v>
      </c>
      <c r="K73" s="3190">
        <v>182</v>
      </c>
      <c r="L73" s="3190">
        <v>211.12</v>
      </c>
      <c r="M73" s="3190">
        <f t="shared" si="3"/>
        <v>422</v>
      </c>
      <c r="N73" s="3190">
        <v>0.55000000000000004</v>
      </c>
      <c r="O73" s="3190" t="s">
        <v>3201</v>
      </c>
      <c r="P73" s="3190" t="s">
        <v>3056</v>
      </c>
    </row>
    <row r="74" spans="1:16" s="3191" customFormat="1" ht="36">
      <c r="A74" s="3190" t="s">
        <v>3202</v>
      </c>
      <c r="B74" s="3190" t="s">
        <v>3050</v>
      </c>
      <c r="C74" s="3190" t="s">
        <v>3051</v>
      </c>
      <c r="D74" s="3190">
        <v>14448.7</v>
      </c>
      <c r="E74" s="3190">
        <v>28897.4</v>
      </c>
      <c r="F74" s="3190" t="s">
        <v>3078</v>
      </c>
      <c r="G74" s="3190">
        <f t="shared" si="2"/>
        <v>2</v>
      </c>
      <c r="H74" s="3190" t="s">
        <v>3053</v>
      </c>
      <c r="I74" s="3190" t="s">
        <v>3203</v>
      </c>
      <c r="J74" s="3190">
        <v>587</v>
      </c>
      <c r="K74" s="3190">
        <v>590</v>
      </c>
      <c r="L74" s="3190">
        <v>204.16</v>
      </c>
      <c r="M74" s="3190">
        <f t="shared" si="3"/>
        <v>408</v>
      </c>
      <c r="N74" s="3190">
        <v>0.51</v>
      </c>
      <c r="O74" s="3190" t="s">
        <v>3204</v>
      </c>
      <c r="P74" s="3190" t="s">
        <v>3056</v>
      </c>
    </row>
    <row r="75" spans="1:16" s="3191" customFormat="1" ht="48">
      <c r="A75" s="3190" t="s">
        <v>3205</v>
      </c>
      <c r="B75" s="3190" t="s">
        <v>3050</v>
      </c>
      <c r="C75" s="3190" t="s">
        <v>3051</v>
      </c>
      <c r="D75" s="3190">
        <v>19630</v>
      </c>
      <c r="E75" s="3190">
        <v>58890</v>
      </c>
      <c r="F75" s="3190" t="s">
        <v>3068</v>
      </c>
      <c r="G75" s="3190">
        <f t="shared" si="2"/>
        <v>3</v>
      </c>
      <c r="H75" s="3190" t="s">
        <v>3053</v>
      </c>
      <c r="I75" s="3190" t="s">
        <v>3206</v>
      </c>
      <c r="J75" s="3190">
        <v>1970</v>
      </c>
      <c r="K75" s="3190">
        <v>1974</v>
      </c>
      <c r="L75" s="3190">
        <v>335.19</v>
      </c>
      <c r="M75" s="3190">
        <f t="shared" si="3"/>
        <v>1006</v>
      </c>
      <c r="N75" s="3190">
        <v>0.2</v>
      </c>
      <c r="O75" s="3190" t="s">
        <v>3207</v>
      </c>
      <c r="P75" s="3190" t="s">
        <v>3056</v>
      </c>
    </row>
    <row r="76" spans="1:16" s="3191" customFormat="1" ht="48">
      <c r="A76" s="3190" t="s">
        <v>3205</v>
      </c>
      <c r="B76" s="3190" t="s">
        <v>3050</v>
      </c>
      <c r="C76" s="3190" t="s">
        <v>3051</v>
      </c>
      <c r="D76" s="3190">
        <v>18548</v>
      </c>
      <c r="E76" s="3190">
        <v>55644</v>
      </c>
      <c r="F76" s="3190" t="s">
        <v>3068</v>
      </c>
      <c r="G76" s="3190">
        <f t="shared" si="2"/>
        <v>3</v>
      </c>
      <c r="H76" s="3190" t="s">
        <v>3053</v>
      </c>
      <c r="I76" s="3190" t="s">
        <v>3206</v>
      </c>
      <c r="J76" s="3190">
        <v>1862</v>
      </c>
      <c r="K76" s="3190">
        <v>1866</v>
      </c>
      <c r="L76" s="3190">
        <v>335.35</v>
      </c>
      <c r="M76" s="3190">
        <f t="shared" si="3"/>
        <v>1006</v>
      </c>
      <c r="N76" s="3190">
        <v>0.21</v>
      </c>
      <c r="O76" s="3190" t="s">
        <v>3208</v>
      </c>
      <c r="P76" s="3190" t="s">
        <v>3056</v>
      </c>
    </row>
    <row r="77" spans="1:16" s="3191" customFormat="1" ht="48">
      <c r="A77" s="3190" t="s">
        <v>3209</v>
      </c>
      <c r="B77" s="3190" t="s">
        <v>3050</v>
      </c>
      <c r="C77" s="3190" t="s">
        <v>3051</v>
      </c>
      <c r="D77" s="3190">
        <v>7062.9</v>
      </c>
      <c r="E77" s="3190">
        <v>21894.99</v>
      </c>
      <c r="F77" s="3190" t="s">
        <v>3210</v>
      </c>
      <c r="G77" s="3190">
        <f t="shared" si="2"/>
        <v>3.1</v>
      </c>
      <c r="H77" s="3190" t="s">
        <v>3053</v>
      </c>
      <c r="I77" s="3190" t="s">
        <v>3211</v>
      </c>
      <c r="J77" s="3190">
        <v>181</v>
      </c>
      <c r="K77" s="3190">
        <v>182</v>
      </c>
      <c r="L77" s="3190">
        <v>83.12</v>
      </c>
      <c r="M77" s="3190">
        <f t="shared" si="3"/>
        <v>258</v>
      </c>
      <c r="N77" s="3190">
        <v>0.55000000000000004</v>
      </c>
      <c r="O77" s="3190" t="s">
        <v>3212</v>
      </c>
      <c r="P77" s="3190" t="s">
        <v>3056</v>
      </c>
    </row>
    <row r="78" spans="1:16" s="3191" customFormat="1" ht="48">
      <c r="A78" s="3190" t="s">
        <v>3213</v>
      </c>
      <c r="B78" s="3190" t="s">
        <v>3050</v>
      </c>
      <c r="C78" s="3190" t="s">
        <v>3051</v>
      </c>
      <c r="D78" s="3190">
        <v>21208</v>
      </c>
      <c r="E78" s="3190">
        <v>80590.399999999994</v>
      </c>
      <c r="F78" s="3190" t="s">
        <v>3214</v>
      </c>
      <c r="G78" s="3190">
        <f t="shared" si="2"/>
        <v>3.8</v>
      </c>
      <c r="H78" s="3190" t="s">
        <v>3053</v>
      </c>
      <c r="I78" s="3190" t="s">
        <v>3215</v>
      </c>
      <c r="J78" s="3190">
        <v>5262</v>
      </c>
      <c r="K78" s="3190">
        <v>5265</v>
      </c>
      <c r="L78" s="3190">
        <v>653.29</v>
      </c>
      <c r="M78" s="3190">
        <f t="shared" si="3"/>
        <v>2483</v>
      </c>
      <c r="N78" s="3190">
        <v>0.06</v>
      </c>
      <c r="O78" s="3190" t="s">
        <v>3216</v>
      </c>
      <c r="P78" s="3190" t="s">
        <v>3056</v>
      </c>
    </row>
  </sheetData>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2469</v>
      </c>
      <c r="B1" s="3483"/>
      <c r="C1" s="3484"/>
      <c r="D1" s="3485">
        <f>SUM(I10,I15,I20,I21,I23)</f>
        <v>0</v>
      </c>
      <c r="E1" s="3485"/>
      <c r="F1" s="3485"/>
      <c r="G1" s="3485"/>
      <c r="H1" s="3485"/>
      <c r="I1" s="3486"/>
    </row>
    <row r="2" spans="1:9">
      <c r="A2" s="3487" t="s">
        <v>2470</v>
      </c>
      <c r="B2" s="3488" t="s">
        <v>2471</v>
      </c>
      <c r="C2" s="3488"/>
      <c r="D2" s="2472" t="s">
        <v>2472</v>
      </c>
      <c r="E2" s="2472" t="s">
        <v>2473</v>
      </c>
      <c r="F2" s="2472" t="s">
        <v>2474</v>
      </c>
      <c r="G2" s="2472" t="s">
        <v>2475</v>
      </c>
      <c r="H2" s="2472" t="s">
        <v>2476</v>
      </c>
      <c r="I2" s="2473" t="s">
        <v>2477</v>
      </c>
    </row>
    <row r="3" spans="1:9">
      <c r="A3" s="3487"/>
      <c r="B3" s="3488" t="s">
        <v>2478</v>
      </c>
      <c r="C3" s="3488"/>
      <c r="D3" s="2474"/>
      <c r="E3" s="2472"/>
      <c r="F3" s="2475"/>
      <c r="G3" s="2475"/>
      <c r="H3" s="2476"/>
      <c r="I3" s="2477">
        <f>ROUND(D3*E3*F3*G3*H3/10000,0)</f>
        <v>0</v>
      </c>
    </row>
    <row r="4" spans="1:9">
      <c r="A4" s="3487"/>
      <c r="B4" s="3488" t="s">
        <v>2479</v>
      </c>
      <c r="C4" s="3488"/>
      <c r="D4" s="2474"/>
      <c r="E4" s="2472"/>
      <c r="F4" s="2475"/>
      <c r="G4" s="2475"/>
      <c r="H4" s="2476"/>
      <c r="I4" s="2477">
        <f t="shared" ref="I4:I9" si="0">ROUND(D4*E4*F4*G4*H4/10000,0)</f>
        <v>0</v>
      </c>
    </row>
    <row r="5" spans="1:9">
      <c r="A5" s="3487"/>
      <c r="B5" s="3488" t="s">
        <v>2480</v>
      </c>
      <c r="C5" s="3488"/>
      <c r="D5" s="2474"/>
      <c r="E5" s="2472"/>
      <c r="F5" s="2475"/>
      <c r="G5" s="2475"/>
      <c r="H5" s="2476"/>
      <c r="I5" s="2477">
        <f t="shared" si="0"/>
        <v>0</v>
      </c>
    </row>
    <row r="6" spans="1:9">
      <c r="A6" s="3487"/>
      <c r="B6" s="3488" t="s">
        <v>2481</v>
      </c>
      <c r="C6" s="3488"/>
      <c r="D6" s="2474"/>
      <c r="E6" s="2472"/>
      <c r="F6" s="2475"/>
      <c r="G6" s="2475"/>
      <c r="H6" s="2476"/>
      <c r="I6" s="2477">
        <f t="shared" si="0"/>
        <v>0</v>
      </c>
    </row>
    <row r="7" spans="1:9">
      <c r="A7" s="3487"/>
      <c r="B7" s="3488" t="s">
        <v>2482</v>
      </c>
      <c r="C7" s="3488"/>
      <c r="D7" s="2474"/>
      <c r="E7" s="2472"/>
      <c r="F7" s="2475"/>
      <c r="G7" s="2475"/>
      <c r="H7" s="2476"/>
      <c r="I7" s="2477">
        <f t="shared" si="0"/>
        <v>0</v>
      </c>
    </row>
    <row r="8" spans="1:9">
      <c r="A8" s="3487"/>
      <c r="B8" s="3488" t="s">
        <v>2483</v>
      </c>
      <c r="C8" s="3488"/>
      <c r="D8" s="2474"/>
      <c r="E8" s="2472"/>
      <c r="F8" s="2475"/>
      <c r="G8" s="2475"/>
      <c r="H8" s="2476"/>
      <c r="I8" s="2477">
        <f t="shared" si="0"/>
        <v>0</v>
      </c>
    </row>
    <row r="9" spans="1:9">
      <c r="A9" s="3487"/>
      <c r="B9" s="3488" t="s">
        <v>2484</v>
      </c>
      <c r="C9" s="3488"/>
      <c r="D9" s="2474"/>
      <c r="E9" s="2472"/>
      <c r="F9" s="2475"/>
      <c r="G9" s="2475"/>
      <c r="H9" s="2476"/>
      <c r="I9" s="2477">
        <f t="shared" si="0"/>
        <v>0</v>
      </c>
    </row>
    <row r="10" spans="1:9">
      <c r="A10" s="3487"/>
      <c r="B10" s="3489" t="s">
        <v>2485</v>
      </c>
      <c r="C10" s="3489"/>
      <c r="D10" s="2478">
        <v>527</v>
      </c>
      <c r="E10" s="2478" t="e">
        <f>ROUND(D1*10000/D10/H9,0)</f>
        <v>#DIV/0!</v>
      </c>
      <c r="F10" s="2479"/>
      <c r="G10" s="2479"/>
      <c r="H10" s="2480"/>
      <c r="I10" s="2481">
        <f>SUM(I3:I9)</f>
        <v>0</v>
      </c>
    </row>
    <row r="11" spans="1:9" ht="14.25">
      <c r="A11" s="3487" t="s">
        <v>2486</v>
      </c>
      <c r="B11" s="3488" t="s">
        <v>2487</v>
      </c>
      <c r="C11" s="3488"/>
      <c r="D11" s="2474" t="s">
        <v>2488</v>
      </c>
      <c r="E11" s="2474" t="s">
        <v>2489</v>
      </c>
      <c r="F11" s="2475" t="s">
        <v>2490</v>
      </c>
      <c r="G11" s="2475" t="s">
        <v>2491</v>
      </c>
      <c r="H11" s="2482" t="s">
        <v>2492</v>
      </c>
      <c r="I11" s="2473" t="s">
        <v>2493</v>
      </c>
    </row>
    <row r="12" spans="1:9">
      <c r="A12" s="3487"/>
      <c r="B12" s="3488" t="s">
        <v>2494</v>
      </c>
      <c r="C12" s="3488"/>
      <c r="D12" s="2474"/>
      <c r="E12" s="2474"/>
      <c r="F12" s="2475"/>
      <c r="G12" s="2476"/>
      <c r="H12" s="2483"/>
      <c r="I12" s="2473">
        <f>ROUND(D12*E12*F12*G12/10000,0)</f>
        <v>0</v>
      </c>
    </row>
    <row r="13" spans="1:9">
      <c r="A13" s="3487"/>
      <c r="B13" s="3488" t="s">
        <v>2495</v>
      </c>
      <c r="C13" s="3488"/>
      <c r="D13" s="2474"/>
      <c r="E13" s="2474"/>
      <c r="F13" s="2475"/>
      <c r="G13" s="2476"/>
      <c r="H13" s="2483"/>
      <c r="I13" s="2473">
        <f>ROUND(D13*E13*F13*G13/10000,0)</f>
        <v>0</v>
      </c>
    </row>
    <row r="14" spans="1:9">
      <c r="A14" s="3487"/>
      <c r="B14" s="3488" t="s">
        <v>2496</v>
      </c>
      <c r="C14" s="3488"/>
      <c r="D14" s="2474"/>
      <c r="E14" s="2474"/>
      <c r="F14" s="2475"/>
      <c r="G14" s="2476"/>
      <c r="H14" s="2483"/>
      <c r="I14" s="2473">
        <f>ROUND(D14*E14*F14*G14/10000,0)</f>
        <v>0</v>
      </c>
    </row>
    <row r="15" spans="1:9">
      <c r="A15" s="3487"/>
      <c r="B15" s="3489" t="s">
        <v>2485</v>
      </c>
      <c r="C15" s="3489"/>
      <c r="D15" s="2478"/>
      <c r="E15" s="2478">
        <f>SUM(E12:E14)</f>
        <v>0</v>
      </c>
      <c r="F15" s="2479"/>
      <c r="G15" s="2476"/>
      <c r="H15" s="2483"/>
      <c r="I15" s="2484">
        <f>SUM(I12:I14)</f>
        <v>0</v>
      </c>
    </row>
    <row r="16" spans="1:9" ht="24">
      <c r="A16" s="3487" t="s">
        <v>2497</v>
      </c>
      <c r="B16" s="3488" t="s">
        <v>2498</v>
      </c>
      <c r="C16" s="3488"/>
      <c r="D16" s="2474" t="s">
        <v>2499</v>
      </c>
      <c r="E16" s="2485" t="s">
        <v>2500</v>
      </c>
      <c r="F16" s="2475" t="s">
        <v>2501</v>
      </c>
      <c r="G16" s="2476" t="s">
        <v>2491</v>
      </c>
      <c r="H16" s="2482" t="s">
        <v>2492</v>
      </c>
      <c r="I16" s="2473" t="s">
        <v>2493</v>
      </c>
    </row>
    <row r="17" spans="1:9" ht="14.25">
      <c r="A17" s="3487"/>
      <c r="B17" s="3488" t="s">
        <v>2502</v>
      </c>
      <c r="C17" s="3488"/>
      <c r="D17" s="2474"/>
      <c r="E17" s="2474"/>
      <c r="F17" s="2475"/>
      <c r="G17" s="2476"/>
      <c r="H17" s="2486"/>
      <c r="I17" s="2487">
        <f>ROUND(D17*E17*F17*G17/10000,0)</f>
        <v>0</v>
      </c>
    </row>
    <row r="18" spans="1:9" ht="14.25">
      <c r="A18" s="3487"/>
      <c r="B18" s="3488" t="s">
        <v>2503</v>
      </c>
      <c r="C18" s="3488"/>
      <c r="D18" s="2474"/>
      <c r="E18" s="2474"/>
      <c r="F18" s="2475"/>
      <c r="G18" s="2476"/>
      <c r="H18" s="2486"/>
      <c r="I18" s="2487">
        <f>ROUND(D18*E18*F18*G18/10000,0)</f>
        <v>0</v>
      </c>
    </row>
    <row r="19" spans="1:9" ht="14.25">
      <c r="A19" s="3487"/>
      <c r="B19" s="3488" t="s">
        <v>2504</v>
      </c>
      <c r="C19" s="3488"/>
      <c r="D19" s="2474"/>
      <c r="E19" s="2474"/>
      <c r="F19" s="2475"/>
      <c r="G19" s="2476"/>
      <c r="H19" s="2486"/>
      <c r="I19" s="2487">
        <f>ROUND(D19*E19*F19*G19/10000,0)</f>
        <v>0</v>
      </c>
    </row>
    <row r="20" spans="1:9">
      <c r="A20" s="3487"/>
      <c r="B20" s="3489" t="s">
        <v>2485</v>
      </c>
      <c r="C20" s="3489"/>
      <c r="D20" s="2478">
        <f>SUM(D17:D19)</f>
        <v>0</v>
      </c>
      <c r="E20" s="2478"/>
      <c r="F20" s="2479"/>
      <c r="G20" s="2476"/>
      <c r="H20" s="2483"/>
      <c r="I20" s="2484">
        <f>SUM(I17:I19)</f>
        <v>0</v>
      </c>
    </row>
    <row r="21" spans="1:9">
      <c r="A21" s="3487" t="s">
        <v>2505</v>
      </c>
      <c r="B21" s="3491"/>
      <c r="C21" s="3491"/>
      <c r="D21" s="3491"/>
      <c r="E21" s="3491"/>
      <c r="F21" s="3491"/>
      <c r="G21" s="3491"/>
      <c r="H21" s="2488">
        <v>0.1</v>
      </c>
      <c r="I21" s="2481">
        <f>ROUND(I10*H21,0)</f>
        <v>0</v>
      </c>
    </row>
    <row r="22" spans="1:9" ht="14.25">
      <c r="A22" s="3492" t="s">
        <v>2506</v>
      </c>
      <c r="B22" s="3493"/>
      <c r="C22" s="3494"/>
      <c r="D22" s="2489" t="s">
        <v>2507</v>
      </c>
      <c r="E22" s="2489" t="s">
        <v>2508</v>
      </c>
      <c r="F22" s="2490" t="s">
        <v>2509</v>
      </c>
      <c r="G22" s="2490" t="s">
        <v>2510</v>
      </c>
      <c r="H22" s="2482" t="s">
        <v>2511</v>
      </c>
      <c r="I22" s="2473" t="s">
        <v>2512</v>
      </c>
    </row>
    <row r="23" spans="1:9" ht="14.25" thickBot="1">
      <c r="A23" s="3495"/>
      <c r="B23" s="3496"/>
      <c r="C23" s="3497"/>
      <c r="D23" s="2491"/>
      <c r="E23" s="2491"/>
      <c r="F23" s="2491"/>
      <c r="G23" s="2492"/>
      <c r="H23" s="2493"/>
      <c r="I23" s="2494">
        <f>ROUND(E23*D23*F23*(1-G23)/10000,0)</f>
        <v>0</v>
      </c>
    </row>
    <row r="26" spans="1:9">
      <c r="A26" s="2495" t="s">
        <v>2513</v>
      </c>
      <c r="B26" s="2495"/>
      <c r="C26" s="2495"/>
      <c r="D26" s="2495"/>
      <c r="E26" s="3498">
        <f>C27-C30-C31-C32</f>
        <v>0</v>
      </c>
      <c r="F26" s="3498"/>
      <c r="G26" s="3498"/>
      <c r="H26" s="2996" t="s">
        <v>2841</v>
      </c>
    </row>
    <row r="27" spans="1:9">
      <c r="A27" s="2496">
        <v>1</v>
      </c>
      <c r="B27" s="2497" t="s">
        <v>2514</v>
      </c>
      <c r="C27" s="2497"/>
      <c r="D27" s="2497"/>
      <c r="E27" s="3499"/>
      <c r="F27" s="3499"/>
      <c r="G27" s="3499"/>
    </row>
    <row r="28" spans="1:9">
      <c r="A28" s="2498" t="s">
        <v>2515</v>
      </c>
      <c r="B28" s="2497" t="s">
        <v>2516</v>
      </c>
      <c r="C28" s="2497"/>
      <c r="D28" s="2497"/>
      <c r="E28" s="3499"/>
      <c r="F28" s="3499"/>
      <c r="G28" s="3499"/>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90"/>
      <c r="F32" s="3490"/>
      <c r="G32" s="3490"/>
    </row>
    <row r="33" spans="1:7" hidden="1">
      <c r="A33" s="3500" t="s">
        <v>2524</v>
      </c>
      <c r="B33" s="3501"/>
      <c r="C33" s="3501"/>
      <c r="D33" s="3502"/>
      <c r="E33" s="3498"/>
      <c r="F33" s="3498"/>
      <c r="G33" s="3498"/>
    </row>
    <row r="34" spans="1:7" hidden="1">
      <c r="A34" s="2500">
        <v>1</v>
      </c>
      <c r="B34" s="2497" t="s">
        <v>2525</v>
      </c>
      <c r="C34" s="2497"/>
      <c r="D34" s="2497"/>
      <c r="E34" s="3499"/>
      <c r="F34" s="3499"/>
      <c r="G34" s="3499"/>
    </row>
    <row r="35" spans="1:7" hidden="1">
      <c r="A35" s="2500">
        <v>2</v>
      </c>
      <c r="B35" s="2497" t="s">
        <v>2526</v>
      </c>
      <c r="C35" s="2497"/>
      <c r="D35" s="2497"/>
      <c r="E35" s="3499"/>
      <c r="F35" s="3499"/>
      <c r="G35" s="3499"/>
    </row>
    <row r="36" spans="1:7" hidden="1">
      <c r="A36" s="2500">
        <v>3</v>
      </c>
      <c r="B36" s="2497" t="s">
        <v>2527</v>
      </c>
      <c r="C36" s="2497"/>
      <c r="D36" s="2497"/>
      <c r="E36" s="3499"/>
      <c r="F36" s="3499"/>
      <c r="G36" s="3499"/>
    </row>
    <row r="37" spans="1:7" hidden="1">
      <c r="A37" s="2500">
        <v>4</v>
      </c>
      <c r="B37" s="2497" t="s">
        <v>2528</v>
      </c>
      <c r="C37" s="2497"/>
      <c r="D37" s="2497"/>
      <c r="E37" s="3499"/>
      <c r="F37" s="3499"/>
      <c r="G37" s="3499"/>
    </row>
    <row r="38" spans="1:7" hidden="1">
      <c r="A38" s="3500" t="s">
        <v>2529</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5725</v>
      </c>
      <c r="E10" s="749">
        <f>'数据-取费表'!B31</f>
        <v>200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0</v>
      </c>
      <c r="F12" s="755"/>
      <c r="G12" s="759"/>
    </row>
    <row r="13" spans="1:25" s="2169" customFormat="1" ht="13.5" customHeight="1">
      <c r="A13" s="2441" t="s">
        <v>2446</v>
      </c>
      <c r="B13" s="756" t="s">
        <v>612</v>
      </c>
      <c r="C13" s="757">
        <f>ROUND(D13*E13/10000,0)</f>
        <v>23</v>
      </c>
      <c r="D13" s="758">
        <f>'数据-汇总表'!E6</f>
        <v>5725</v>
      </c>
      <c r="E13" s="757">
        <f>'数据-取费表'!B28</f>
        <v>40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9" t="s">
        <v>522</v>
      </c>
      <c r="D4" s="3390"/>
      <c r="E4" s="3423" t="s">
        <v>523</v>
      </c>
      <c r="F4" s="3424"/>
      <c r="G4" s="3389" t="s">
        <v>524</v>
      </c>
      <c r="H4" s="3390"/>
      <c r="I4" s="3389" t="s">
        <v>525</v>
      </c>
      <c r="J4" s="3390"/>
      <c r="K4" s="853" t="s">
        <v>526</v>
      </c>
      <c r="L4" s="2119"/>
      <c r="M4" s="2120"/>
      <c r="N4" s="2120"/>
      <c r="O4" s="2120"/>
      <c r="P4" s="3391" t="s">
        <v>527</v>
      </c>
      <c r="Q4" s="3392"/>
      <c r="R4" s="3397" t="s">
        <v>523</v>
      </c>
      <c r="S4" s="3398"/>
      <c r="T4" s="3397" t="s">
        <v>524</v>
      </c>
      <c r="U4" s="3398"/>
      <c r="V4" s="3384" t="s">
        <v>525</v>
      </c>
      <c r="W4" s="3384"/>
      <c r="X4" s="1554"/>
      <c r="Y4" s="3397" t="s">
        <v>527</v>
      </c>
      <c r="Z4" s="3398"/>
      <c r="AA4" s="3386" t="s">
        <v>523</v>
      </c>
      <c r="AB4" s="3386" t="s">
        <v>524</v>
      </c>
      <c r="AC4" s="3386" t="s">
        <v>525</v>
      </c>
    </row>
    <row r="5" spans="1:29" ht="15">
      <c r="A5" s="515"/>
      <c r="B5" s="516"/>
      <c r="C5" s="3405" t="s">
        <v>2920</v>
      </c>
      <c r="D5" s="3406"/>
      <c r="E5" s="3425" t="s">
        <v>2921</v>
      </c>
      <c r="F5" s="3426"/>
      <c r="G5" s="3405" t="s">
        <v>2922</v>
      </c>
      <c r="H5" s="3406"/>
      <c r="I5" s="3405" t="s">
        <v>2923</v>
      </c>
      <c r="J5" s="3406"/>
      <c r="K5" s="854"/>
      <c r="L5" s="2119"/>
      <c r="M5" s="2120"/>
      <c r="N5" s="2120"/>
      <c r="O5" s="2120"/>
      <c r="P5" s="3393"/>
      <c r="Q5" s="3394"/>
      <c r="R5" s="3399"/>
      <c r="S5" s="3400"/>
      <c r="T5" s="3399"/>
      <c r="U5" s="3400"/>
      <c r="V5" s="3384"/>
      <c r="W5" s="3384"/>
      <c r="X5" s="1554"/>
      <c r="Y5" s="3399"/>
      <c r="Z5" s="3400"/>
      <c r="AA5" s="3387"/>
      <c r="AB5" s="3387"/>
      <c r="AC5" s="3387"/>
    </row>
    <row r="6" spans="1:29" ht="15.75" thickBot="1">
      <c r="A6" s="517"/>
      <c r="B6" s="518"/>
      <c r="C6" s="3403" t="s">
        <v>2924</v>
      </c>
      <c r="D6" s="3404"/>
      <c r="E6" s="3421" t="s">
        <v>2924</v>
      </c>
      <c r="F6" s="3422"/>
      <c r="G6" s="3403" t="s">
        <v>2924</v>
      </c>
      <c r="H6" s="3404"/>
      <c r="I6" s="3403" t="s">
        <v>2924</v>
      </c>
      <c r="J6" s="3404"/>
      <c r="K6" s="854" t="s">
        <v>528</v>
      </c>
      <c r="L6" s="2119"/>
      <c r="M6" s="2120"/>
      <c r="N6" s="2120"/>
      <c r="O6" s="2120"/>
      <c r="P6" s="3395"/>
      <c r="Q6" s="3396"/>
      <c r="R6" s="3399"/>
      <c r="S6" s="3400"/>
      <c r="T6" s="3401"/>
      <c r="U6" s="3402"/>
      <c r="V6" s="3384"/>
      <c r="W6" s="3384"/>
      <c r="X6" s="1554"/>
      <c r="Y6" s="3401"/>
      <c r="Z6" s="3402"/>
      <c r="AA6" s="3388"/>
      <c r="AB6" s="3388"/>
      <c r="AC6" s="3388"/>
    </row>
    <row r="7" spans="1:29" s="1216" customFormat="1" ht="15.75" thickBot="1">
      <c r="A7" s="2868"/>
      <c r="B7" s="2875" t="s">
        <v>529</v>
      </c>
      <c r="C7" s="519">
        <f>'数据-取费表'!B2</f>
        <v>43633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4" t="s">
        <v>530</v>
      </c>
      <c r="Q7" s="3416"/>
      <c r="R7" s="1555" t="s">
        <v>13</v>
      </c>
      <c r="S7" s="1556">
        <f t="shared" ref="S7:S15" si="0">F7</f>
        <v>0</v>
      </c>
      <c r="T7" s="1555" t="s">
        <v>13</v>
      </c>
      <c r="U7" s="1556">
        <f t="shared" ref="U7:U15" si="1">H7</f>
        <v>0</v>
      </c>
      <c r="V7" s="1555" t="s">
        <v>13</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4" t="s">
        <v>533</v>
      </c>
      <c r="Q8" s="3415"/>
      <c r="R8" s="1555" t="s">
        <v>13</v>
      </c>
      <c r="S8" s="1556">
        <f t="shared" si="0"/>
        <v>0</v>
      </c>
      <c r="T8" s="1555" t="s">
        <v>13</v>
      </c>
      <c r="U8" s="1556">
        <f t="shared" si="1"/>
        <v>0</v>
      </c>
      <c r="V8" s="1555" t="s">
        <v>13</v>
      </c>
      <c r="W8" s="1556">
        <f t="shared" si="2"/>
        <v>0</v>
      </c>
      <c r="X8" s="1557"/>
      <c r="Y8" s="3414" t="s">
        <v>533</v>
      </c>
      <c r="Z8" s="3415"/>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83"/>
      <c r="Q11" s="1147" t="str">
        <f t="shared" si="6"/>
        <v>容积率</v>
      </c>
      <c r="R11" s="1555" t="s">
        <v>11</v>
      </c>
      <c r="S11" s="1556" t="e">
        <f t="shared" si="0"/>
        <v>#N/A</v>
      </c>
      <c r="T11" s="1555" t="s">
        <v>11</v>
      </c>
      <c r="U11" s="1556" t="e">
        <f t="shared" si="1"/>
        <v>#N/A</v>
      </c>
      <c r="V11" s="1555" t="s">
        <v>11</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3"/>
      <c r="Q12" s="1147">
        <f t="shared" si="6"/>
        <v>111</v>
      </c>
      <c r="R12" s="1555" t="s">
        <v>11</v>
      </c>
      <c r="S12" s="1556">
        <f t="shared" si="0"/>
        <v>100</v>
      </c>
      <c r="T12" s="1555" t="s">
        <v>11</v>
      </c>
      <c r="U12" s="1556">
        <f t="shared" si="1"/>
        <v>100</v>
      </c>
      <c r="V12" s="1555" t="s">
        <v>11</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3"/>
      <c r="Q13" s="1147">
        <f t="shared" si="6"/>
        <v>111</v>
      </c>
      <c r="R13" s="1555" t="s">
        <v>11</v>
      </c>
      <c r="S13" s="1556">
        <f t="shared" si="0"/>
        <v>100</v>
      </c>
      <c r="T13" s="1555" t="s">
        <v>11</v>
      </c>
      <c r="U13" s="1556">
        <f t="shared" si="1"/>
        <v>100</v>
      </c>
      <c r="V13" s="1555" t="s">
        <v>11</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3"/>
      <c r="Q14" s="1147">
        <f t="shared" si="6"/>
        <v>111</v>
      </c>
      <c r="R14" s="1555" t="s">
        <v>11</v>
      </c>
      <c r="S14" s="1556">
        <f t="shared" si="0"/>
        <v>100</v>
      </c>
      <c r="T14" s="1555" t="s">
        <v>11</v>
      </c>
      <c r="U14" s="1556">
        <f t="shared" si="1"/>
        <v>100</v>
      </c>
      <c r="V14" s="1555" t="s">
        <v>11</v>
      </c>
      <c r="W14" s="1556">
        <f t="shared" si="2"/>
        <v>100</v>
      </c>
      <c r="X14" s="1557"/>
      <c r="Y14" s="3329"/>
      <c r="Z14" s="1146">
        <f t="shared" si="7"/>
        <v>111</v>
      </c>
      <c r="AA14" s="1558">
        <f t="shared" si="3"/>
        <v>1</v>
      </c>
      <c r="AB14" s="1558">
        <f t="shared" si="4"/>
        <v>1</v>
      </c>
      <c r="AC14" s="1558">
        <f t="shared" si="5"/>
        <v>1</v>
      </c>
    </row>
    <row r="15" spans="1:29" ht="15">
      <c r="A15" s="2866" t="s">
        <v>2752</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7" t="s">
        <v>540</v>
      </c>
      <c r="Q15" s="1559" t="str">
        <f t="shared" si="6"/>
        <v>居住社区成熟度</v>
      </c>
      <c r="R15" s="1560" t="s">
        <v>11</v>
      </c>
      <c r="S15" s="1561">
        <f t="shared" si="0"/>
        <v>100</v>
      </c>
      <c r="T15" s="1560" t="s">
        <v>11</v>
      </c>
      <c r="U15" s="1561">
        <f t="shared" si="1"/>
        <v>100</v>
      </c>
      <c r="V15" s="1560" t="s">
        <v>11</v>
      </c>
      <c r="W15" s="1561">
        <f t="shared" si="2"/>
        <v>100</v>
      </c>
      <c r="X15" s="1554"/>
      <c r="Y15" s="3417"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8"/>
      <c r="Q16" s="1559"/>
      <c r="R16" s="1560"/>
      <c r="S16" s="1561"/>
      <c r="T16" s="1560"/>
      <c r="U16" s="1561"/>
      <c r="V16" s="1560"/>
      <c r="W16" s="1561"/>
      <c r="X16" s="1554"/>
      <c r="Y16" s="3418"/>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8"/>
      <c r="Q17" s="1559" t="str">
        <f>B17</f>
        <v>交通便捷度</v>
      </c>
      <c r="R17" s="1560" t="s">
        <v>11</v>
      </c>
      <c r="S17" s="1561">
        <f>F17</f>
        <v>100</v>
      </c>
      <c r="T17" s="1560" t="s">
        <v>11</v>
      </c>
      <c r="U17" s="1561">
        <f>H17</f>
        <v>100</v>
      </c>
      <c r="V17" s="1560" t="s">
        <v>11</v>
      </c>
      <c r="W17" s="1561">
        <f>J17</f>
        <v>100</v>
      </c>
      <c r="X17" s="1554"/>
      <c r="Y17" s="341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8"/>
      <c r="Q18" s="1559"/>
      <c r="R18" s="1560"/>
      <c r="S18" s="1561"/>
      <c r="T18" s="1560"/>
      <c r="U18" s="1561"/>
      <c r="V18" s="1560"/>
      <c r="W18" s="1561"/>
      <c r="X18" s="1554"/>
      <c r="Y18" s="3418"/>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8"/>
      <c r="Q19" s="1559" t="str">
        <f>B19</f>
        <v>公共配套设施</v>
      </c>
      <c r="R19" s="1560" t="s">
        <v>11</v>
      </c>
      <c r="S19" s="1561">
        <f>F19</f>
        <v>100</v>
      </c>
      <c r="T19" s="1560" t="s">
        <v>11</v>
      </c>
      <c r="U19" s="1561">
        <f>H19</f>
        <v>100</v>
      </c>
      <c r="V19" s="1560" t="s">
        <v>11</v>
      </c>
      <c r="W19" s="1561">
        <f>J19</f>
        <v>100</v>
      </c>
      <c r="X19" s="1554"/>
      <c r="Y19" s="341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8"/>
      <c r="Q20" s="1559"/>
      <c r="R20" s="1560"/>
      <c r="S20" s="1561"/>
      <c r="T20" s="1560"/>
      <c r="U20" s="1561"/>
      <c r="V20" s="1560"/>
      <c r="W20" s="1561"/>
      <c r="X20" s="1554"/>
      <c r="Y20" s="3418"/>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8"/>
      <c r="Q21" s="2544" t="str">
        <f>B21</f>
        <v>基础设施水平</v>
      </c>
      <c r="R21" s="1560" t="s">
        <v>11</v>
      </c>
      <c r="S21" s="1561">
        <f>F21</f>
        <v>100</v>
      </c>
      <c r="T21" s="1560" t="s">
        <v>11</v>
      </c>
      <c r="U21" s="1561">
        <f>H21</f>
        <v>100</v>
      </c>
      <c r="V21" s="1560" t="s">
        <v>11</v>
      </c>
      <c r="W21" s="1561">
        <f>J21</f>
        <v>100</v>
      </c>
      <c r="X21" s="2546"/>
      <c r="Y21" s="341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8"/>
      <c r="Q22" s="2544"/>
      <c r="R22" s="1560"/>
      <c r="S22" s="1561"/>
      <c r="T22" s="1560"/>
      <c r="U22" s="1561"/>
      <c r="V22" s="1560"/>
      <c r="W22" s="1561"/>
      <c r="X22" s="2546"/>
      <c r="Y22" s="3418"/>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8"/>
      <c r="Q23" s="1559" t="str">
        <f>B23</f>
        <v>自然及人文环境</v>
      </c>
      <c r="R23" s="1560" t="s">
        <v>11</v>
      </c>
      <c r="S23" s="1561">
        <f>F23</f>
        <v>100</v>
      </c>
      <c r="T23" s="1560" t="s">
        <v>11</v>
      </c>
      <c r="U23" s="1561">
        <f>H23</f>
        <v>100</v>
      </c>
      <c r="V23" s="1560" t="s">
        <v>11</v>
      </c>
      <c r="W23" s="1561">
        <f>J23</f>
        <v>100</v>
      </c>
      <c r="X23" s="1554"/>
      <c r="Y23" s="341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8"/>
      <c r="Q24" s="1559"/>
      <c r="R24" s="1560"/>
      <c r="S24" s="1561"/>
      <c r="T24" s="1560"/>
      <c r="U24" s="1561"/>
      <c r="V24" s="1560"/>
      <c r="W24" s="1561"/>
      <c r="X24" s="1554"/>
      <c r="Y24" s="3418"/>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8"/>
      <c r="Q25" s="1559" t="str">
        <f t="shared" ref="Q25:Q46" si="11">B25</f>
        <v>楼层-1</v>
      </c>
      <c r="R25" s="1560" t="s">
        <v>11</v>
      </c>
      <c r="S25" s="1561">
        <f>F25</f>
        <v>100</v>
      </c>
      <c r="T25" s="1560" t="s">
        <v>11</v>
      </c>
      <c r="U25" s="1561">
        <f>H25</f>
        <v>100</v>
      </c>
      <c r="V25" s="1560" t="s">
        <v>11</v>
      </c>
      <c r="W25" s="1561">
        <f>J25</f>
        <v>100</v>
      </c>
      <c r="X25" s="1554"/>
      <c r="Y25" s="341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8"/>
      <c r="Q26" s="1559" t="str">
        <f t="shared" si="11"/>
        <v>朝向</v>
      </c>
      <c r="R26" s="1560" t="s">
        <v>11</v>
      </c>
      <c r="S26" s="1561">
        <f>F26</f>
        <v>100</v>
      </c>
      <c r="T26" s="1560" t="s">
        <v>11</v>
      </c>
      <c r="U26" s="1561">
        <f>H26</f>
        <v>100</v>
      </c>
      <c r="V26" s="1560" t="s">
        <v>11</v>
      </c>
      <c r="W26" s="1561">
        <f>J26</f>
        <v>100</v>
      </c>
      <c r="X26" s="1554"/>
      <c r="Y26" s="341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8"/>
      <c r="Q27" s="1147" t="str">
        <f t="shared" si="11"/>
        <v>道路级别</v>
      </c>
      <c r="R27" s="1555" t="s">
        <v>11</v>
      </c>
      <c r="S27" s="1556">
        <f>F27</f>
        <v>100</v>
      </c>
      <c r="T27" s="1555" t="s">
        <v>11</v>
      </c>
      <c r="U27" s="1556">
        <f>H27</f>
        <v>100</v>
      </c>
      <c r="V27" s="1555" t="s">
        <v>11</v>
      </c>
      <c r="W27" s="1556">
        <f>J27</f>
        <v>100</v>
      </c>
      <c r="X27" s="1557"/>
      <c r="Y27" s="341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8"/>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8"/>
      <c r="Q29" s="1559">
        <f t="shared" si="11"/>
        <v>111</v>
      </c>
      <c r="R29" s="1560" t="s">
        <v>11</v>
      </c>
      <c r="S29" s="1561">
        <f t="shared" si="12"/>
        <v>100</v>
      </c>
      <c r="T29" s="1560" t="s">
        <v>11</v>
      </c>
      <c r="U29" s="1561">
        <f t="shared" si="13"/>
        <v>100</v>
      </c>
      <c r="V29" s="1560" t="s">
        <v>11</v>
      </c>
      <c r="W29" s="1561">
        <f t="shared" si="14"/>
        <v>100</v>
      </c>
      <c r="X29" s="1554"/>
      <c r="Y29" s="341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8"/>
      <c r="Q30" s="1559">
        <f t="shared" si="11"/>
        <v>111</v>
      </c>
      <c r="R30" s="1560" t="s">
        <v>11</v>
      </c>
      <c r="S30" s="1561">
        <f t="shared" si="12"/>
        <v>100</v>
      </c>
      <c r="T30" s="1560" t="s">
        <v>11</v>
      </c>
      <c r="U30" s="1561">
        <f t="shared" si="13"/>
        <v>100</v>
      </c>
      <c r="V30" s="1560" t="s">
        <v>11</v>
      </c>
      <c r="W30" s="1561">
        <f t="shared" si="14"/>
        <v>100</v>
      </c>
      <c r="X30" s="1554"/>
      <c r="Y30" s="341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8"/>
      <c r="Q31" s="1559">
        <f t="shared" si="11"/>
        <v>111</v>
      </c>
      <c r="R31" s="1560" t="s">
        <v>11</v>
      </c>
      <c r="S31" s="1561">
        <f t="shared" si="12"/>
        <v>100</v>
      </c>
      <c r="T31" s="1560" t="s">
        <v>11</v>
      </c>
      <c r="U31" s="1561">
        <f t="shared" si="13"/>
        <v>100</v>
      </c>
      <c r="V31" s="1560" t="s">
        <v>11</v>
      </c>
      <c r="W31" s="1561">
        <f t="shared" si="14"/>
        <v>100</v>
      </c>
      <c r="X31" s="1554"/>
      <c r="Y31" s="3418"/>
      <c r="Z31" s="1562">
        <f t="shared" si="15"/>
        <v>111</v>
      </c>
      <c r="AA31" s="1563">
        <f t="shared" si="3"/>
        <v>1</v>
      </c>
      <c r="AB31" s="1563">
        <f t="shared" si="4"/>
        <v>1</v>
      </c>
      <c r="AC31" s="1563">
        <f t="shared" si="5"/>
        <v>1</v>
      </c>
    </row>
    <row r="32" spans="1:29" ht="15">
      <c r="A32" s="2863"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9" t="s">
        <v>550</v>
      </c>
      <c r="Q32" s="1559" t="str">
        <f t="shared" si="11"/>
        <v>建筑类型</v>
      </c>
      <c r="R32" s="1560" t="s">
        <v>11</v>
      </c>
      <c r="S32" s="1561">
        <f t="shared" si="12"/>
        <v>100</v>
      </c>
      <c r="T32" s="1560" t="s">
        <v>11</v>
      </c>
      <c r="U32" s="1561">
        <f t="shared" si="13"/>
        <v>100</v>
      </c>
      <c r="V32" s="1560" t="s">
        <v>11</v>
      </c>
      <c r="W32" s="1561">
        <f t="shared" si="14"/>
        <v>100</v>
      </c>
      <c r="X32" s="1554"/>
      <c r="Y32" s="3420"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20"/>
      <c r="Q33" s="1591" t="str">
        <f t="shared" si="11"/>
        <v>项目建筑规模</v>
      </c>
      <c r="R33" s="1564" t="s">
        <v>11</v>
      </c>
      <c r="S33" s="1565" t="e">
        <f t="shared" si="12"/>
        <v>#N/A</v>
      </c>
      <c r="T33" s="1564" t="s">
        <v>11</v>
      </c>
      <c r="U33" s="1565" t="e">
        <f t="shared" si="13"/>
        <v>#N/A</v>
      </c>
      <c r="V33" s="1564" t="s">
        <v>11</v>
      </c>
      <c r="W33" s="1565" t="e">
        <f t="shared" si="14"/>
        <v>#N/A</v>
      </c>
      <c r="X33" s="1566"/>
      <c r="Y33" s="342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0"/>
      <c r="Q34" s="1559" t="str">
        <f t="shared" si="11"/>
        <v>建筑结构</v>
      </c>
      <c r="R34" s="1560" t="s">
        <v>11</v>
      </c>
      <c r="S34" s="1561">
        <f t="shared" si="12"/>
        <v>100</v>
      </c>
      <c r="T34" s="1560" t="s">
        <v>11</v>
      </c>
      <c r="U34" s="1561">
        <f t="shared" si="13"/>
        <v>100</v>
      </c>
      <c r="V34" s="1560" t="s">
        <v>11</v>
      </c>
      <c r="W34" s="1561">
        <f t="shared" si="14"/>
        <v>100</v>
      </c>
      <c r="X34" s="1554"/>
      <c r="Y34" s="3420"/>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0"/>
      <c r="Q35" s="1559" t="str">
        <f t="shared" si="11"/>
        <v>建筑品质</v>
      </c>
      <c r="R35" s="1560" t="s">
        <v>11</v>
      </c>
      <c r="S35" s="1561">
        <f t="shared" si="12"/>
        <v>100</v>
      </c>
      <c r="T35" s="1560" t="s">
        <v>11</v>
      </c>
      <c r="U35" s="1561">
        <f t="shared" si="13"/>
        <v>100</v>
      </c>
      <c r="V35" s="1560" t="s">
        <v>11</v>
      </c>
      <c r="W35" s="1561">
        <f t="shared" si="14"/>
        <v>100</v>
      </c>
      <c r="X35" s="1554"/>
      <c r="Y35" s="3420"/>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0"/>
      <c r="Q36" s="1559" t="str">
        <f t="shared" si="11"/>
        <v>公共部分装修</v>
      </c>
      <c r="R36" s="1560" t="s">
        <v>11</v>
      </c>
      <c r="S36" s="1561">
        <f t="shared" si="12"/>
        <v>100</v>
      </c>
      <c r="T36" s="1560" t="s">
        <v>11</v>
      </c>
      <c r="U36" s="1561">
        <f t="shared" si="13"/>
        <v>100</v>
      </c>
      <c r="V36" s="1560" t="s">
        <v>11</v>
      </c>
      <c r="W36" s="1561">
        <f t="shared" si="14"/>
        <v>100</v>
      </c>
      <c r="X36" s="1554"/>
      <c r="Y36" s="3420"/>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20"/>
      <c r="Q37" s="1147" t="str">
        <f t="shared" si="11"/>
        <v>成新度</v>
      </c>
      <c r="R37" s="1555" t="s">
        <v>11</v>
      </c>
      <c r="S37" s="1556" t="e">
        <f t="shared" si="12"/>
        <v>#N/A</v>
      </c>
      <c r="T37" s="1555" t="s">
        <v>11</v>
      </c>
      <c r="U37" s="1556" t="e">
        <f t="shared" si="13"/>
        <v>#N/A</v>
      </c>
      <c r="V37" s="1555" t="s">
        <v>11</v>
      </c>
      <c r="W37" s="1556" t="e">
        <f t="shared" si="14"/>
        <v>#N/A</v>
      </c>
      <c r="X37" s="1557"/>
      <c r="Y37" s="3420"/>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0" t="s">
        <v>550</v>
      </c>
      <c r="Q38" s="1559" t="str">
        <f t="shared" si="11"/>
        <v>物业管理</v>
      </c>
      <c r="R38" s="1560" t="s">
        <v>11</v>
      </c>
      <c r="S38" s="1561">
        <f t="shared" si="12"/>
        <v>100</v>
      </c>
      <c r="T38" s="1560" t="s">
        <v>11</v>
      </c>
      <c r="U38" s="1561">
        <f t="shared" si="13"/>
        <v>100</v>
      </c>
      <c r="V38" s="1560" t="s">
        <v>11</v>
      </c>
      <c r="W38" s="1561">
        <f t="shared" si="14"/>
        <v>100</v>
      </c>
      <c r="X38" s="1554"/>
      <c r="Y38" s="3420"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0"/>
      <c r="Q39" s="1559" t="str">
        <f t="shared" si="11"/>
        <v>市政基础设施</v>
      </c>
      <c r="R39" s="1560" t="s">
        <v>11</v>
      </c>
      <c r="S39" s="1561">
        <f t="shared" si="12"/>
        <v>100</v>
      </c>
      <c r="T39" s="1560" t="s">
        <v>11</v>
      </c>
      <c r="U39" s="1561">
        <f t="shared" si="13"/>
        <v>100</v>
      </c>
      <c r="V39" s="1560" t="s">
        <v>11</v>
      </c>
      <c r="W39" s="1561">
        <f t="shared" si="14"/>
        <v>100</v>
      </c>
      <c r="X39" s="1554"/>
      <c r="Y39" s="3420"/>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0"/>
      <c r="Q40" s="1559" t="str">
        <f t="shared" si="11"/>
        <v>房型</v>
      </c>
      <c r="R40" s="1560" t="s">
        <v>11</v>
      </c>
      <c r="S40" s="1561">
        <f t="shared" si="12"/>
        <v>100</v>
      </c>
      <c r="T40" s="1560" t="s">
        <v>11</v>
      </c>
      <c r="U40" s="1561">
        <f t="shared" si="13"/>
        <v>100</v>
      </c>
      <c r="V40" s="1560" t="s">
        <v>11</v>
      </c>
      <c r="W40" s="1561">
        <f t="shared" si="14"/>
        <v>100</v>
      </c>
      <c r="X40" s="1554"/>
      <c r="Y40" s="3420"/>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0"/>
      <c r="Q41" s="1591" t="str">
        <f t="shared" si="11"/>
        <v>单套/主力户型建筑面积</v>
      </c>
      <c r="R41" s="1564" t="s">
        <v>11</v>
      </c>
      <c r="S41" s="1565">
        <f t="shared" si="12"/>
        <v>100</v>
      </c>
      <c r="T41" s="1564" t="s">
        <v>11</v>
      </c>
      <c r="U41" s="1565">
        <f t="shared" si="13"/>
        <v>100</v>
      </c>
      <c r="V41" s="1564" t="s">
        <v>11</v>
      </c>
      <c r="W41" s="1565">
        <f t="shared" si="14"/>
        <v>100</v>
      </c>
      <c r="X41" s="1566"/>
      <c r="Y41" s="3420"/>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0"/>
      <c r="Q42" s="1559" t="str">
        <f t="shared" si="11"/>
        <v>内部装修</v>
      </c>
      <c r="R42" s="1560" t="s">
        <v>11</v>
      </c>
      <c r="S42" s="1561">
        <f t="shared" si="12"/>
        <v>100</v>
      </c>
      <c r="T42" s="1560" t="s">
        <v>11</v>
      </c>
      <c r="U42" s="1561">
        <f t="shared" si="13"/>
        <v>100</v>
      </c>
      <c r="V42" s="1560" t="s">
        <v>11</v>
      </c>
      <c r="W42" s="1561">
        <f t="shared" si="14"/>
        <v>100</v>
      </c>
      <c r="X42" s="1554"/>
      <c r="Y42" s="3420"/>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0"/>
      <c r="Q43" s="1559" t="str">
        <f t="shared" si="11"/>
        <v>内部装修维护情况</v>
      </c>
      <c r="R43" s="1560" t="s">
        <v>11</v>
      </c>
      <c r="S43" s="1561">
        <f t="shared" si="12"/>
        <v>100</v>
      </c>
      <c r="T43" s="1560" t="s">
        <v>11</v>
      </c>
      <c r="U43" s="1561">
        <f t="shared" si="13"/>
        <v>100</v>
      </c>
      <c r="V43" s="1560" t="s">
        <v>11</v>
      </c>
      <c r="W43" s="1561">
        <f t="shared" si="14"/>
        <v>100</v>
      </c>
      <c r="X43" s="1554"/>
      <c r="Y43" s="342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0"/>
      <c r="Q44" s="1147">
        <f t="shared" si="11"/>
        <v>111</v>
      </c>
      <c r="R44" s="1555" t="s">
        <v>11</v>
      </c>
      <c r="S44" s="1556">
        <f t="shared" si="12"/>
        <v>100</v>
      </c>
      <c r="T44" s="1555" t="s">
        <v>11</v>
      </c>
      <c r="U44" s="1556">
        <f t="shared" si="13"/>
        <v>100</v>
      </c>
      <c r="V44" s="1555" t="s">
        <v>11</v>
      </c>
      <c r="W44" s="1556">
        <f t="shared" si="14"/>
        <v>100</v>
      </c>
      <c r="X44" s="1557"/>
      <c r="Y44" s="342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0"/>
      <c r="Q45" s="1559">
        <f t="shared" si="11"/>
        <v>111</v>
      </c>
      <c r="R45" s="1560" t="s">
        <v>11</v>
      </c>
      <c r="S45" s="1561">
        <f t="shared" si="12"/>
        <v>100</v>
      </c>
      <c r="T45" s="1560" t="s">
        <v>11</v>
      </c>
      <c r="U45" s="1561">
        <f t="shared" si="13"/>
        <v>100</v>
      </c>
      <c r="V45" s="1560" t="s">
        <v>11</v>
      </c>
      <c r="W45" s="1561">
        <f t="shared" si="14"/>
        <v>100</v>
      </c>
      <c r="X45" s="1554"/>
      <c r="Y45" s="3420"/>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5"/>
      <c r="Q46" s="1559">
        <f t="shared" si="11"/>
        <v>111</v>
      </c>
      <c r="R46" s="1560" t="s">
        <v>10</v>
      </c>
      <c r="S46" s="1561">
        <f t="shared" si="12"/>
        <v>100</v>
      </c>
      <c r="T46" s="1560" t="s">
        <v>10</v>
      </c>
      <c r="U46" s="1561">
        <f t="shared" si="13"/>
        <v>100</v>
      </c>
      <c r="V46" s="1560" t="s">
        <v>10</v>
      </c>
      <c r="W46" s="1561">
        <f t="shared" si="14"/>
        <v>100</v>
      </c>
      <c r="X46" s="1554"/>
      <c r="Y46" s="3505"/>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83" t="str">
        <f>A47</f>
        <v>成交单价（元/平方米）</v>
      </c>
      <c r="Q47" s="3383"/>
      <c r="R47" s="3504">
        <f>E47</f>
        <v>0</v>
      </c>
      <c r="S47" s="3504"/>
      <c r="T47" s="3504">
        <f>G47</f>
        <v>0</v>
      </c>
      <c r="U47" s="3504"/>
      <c r="V47" s="3504">
        <f>I47</f>
        <v>0</v>
      </c>
      <c r="W47" s="3504"/>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3"/>
      <c r="L48" s="2130"/>
      <c r="M48" s="2131"/>
      <c r="N48" s="2131"/>
      <c r="O48" s="2131"/>
      <c r="P48" s="3383" t="str">
        <f>A48</f>
        <v>比较价格（元/平方米）</v>
      </c>
      <c r="Q48" s="338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4"/>
      <c r="L49" s="2130"/>
      <c r="M49" s="2131"/>
      <c r="N49" s="2131"/>
      <c r="O49" s="2131"/>
      <c r="P49" s="3380" t="str">
        <f>A49</f>
        <v>估价对象XX用房的比较价格（楼面单价，元/平方米）</v>
      </c>
      <c r="Q49" s="3381"/>
      <c r="R49" s="3503" t="e">
        <f>IF(F1="售价",ROUND(AVERAGE(R48:V48),0),ROUND(AVERAGE(R48:V48),1))</f>
        <v>#DIV/0!</v>
      </c>
      <c r="S49" s="3503"/>
      <c r="T49" s="3503"/>
      <c r="U49" s="3503"/>
      <c r="V49" s="3503"/>
      <c r="W49" s="350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9" t="s">
        <v>522</v>
      </c>
      <c r="D4" s="3390"/>
      <c r="E4" s="3423" t="s">
        <v>523</v>
      </c>
      <c r="F4" s="3424"/>
      <c r="G4" s="3389" t="s">
        <v>524</v>
      </c>
      <c r="H4" s="3390"/>
      <c r="I4" s="3389" t="s">
        <v>525</v>
      </c>
      <c r="J4" s="3390"/>
      <c r="K4" s="514" t="s">
        <v>526</v>
      </c>
      <c r="L4" s="2119"/>
      <c r="M4" s="2120"/>
      <c r="N4" s="2120"/>
      <c r="O4" s="2120"/>
      <c r="P4" s="3391" t="s">
        <v>527</v>
      </c>
      <c r="Q4" s="3392"/>
      <c r="R4" s="3397" t="s">
        <v>523</v>
      </c>
      <c r="S4" s="3398"/>
      <c r="T4" s="3397" t="s">
        <v>524</v>
      </c>
      <c r="U4" s="3398"/>
      <c r="V4" s="3384" t="s">
        <v>525</v>
      </c>
      <c r="W4" s="3384"/>
      <c r="X4" s="1554"/>
      <c r="Y4" s="3397" t="s">
        <v>527</v>
      </c>
      <c r="Z4" s="3398"/>
      <c r="AA4" s="3386" t="s">
        <v>523</v>
      </c>
      <c r="AB4" s="3384" t="s">
        <v>524</v>
      </c>
      <c r="AC4" s="3386" t="s">
        <v>525</v>
      </c>
    </row>
    <row r="5" spans="1:29" ht="15">
      <c r="A5" s="515"/>
      <c r="B5" s="516"/>
      <c r="C5" s="3405" t="s">
        <v>2920</v>
      </c>
      <c r="D5" s="3406"/>
      <c r="E5" s="3425" t="s">
        <v>2921</v>
      </c>
      <c r="F5" s="3426"/>
      <c r="G5" s="3405" t="s">
        <v>2922</v>
      </c>
      <c r="H5" s="3406"/>
      <c r="I5" s="3405" t="s">
        <v>2923</v>
      </c>
      <c r="J5" s="3406"/>
      <c r="K5" s="514"/>
      <c r="L5" s="2119"/>
      <c r="M5" s="2120"/>
      <c r="N5" s="2120"/>
      <c r="O5" s="2120"/>
      <c r="P5" s="3393"/>
      <c r="Q5" s="3394"/>
      <c r="R5" s="3399"/>
      <c r="S5" s="3400"/>
      <c r="T5" s="3399"/>
      <c r="U5" s="3400"/>
      <c r="V5" s="3384"/>
      <c r="W5" s="3384"/>
      <c r="X5" s="1554"/>
      <c r="Y5" s="3399"/>
      <c r="Z5" s="3400"/>
      <c r="AA5" s="3387"/>
      <c r="AB5" s="3384"/>
      <c r="AC5" s="3387"/>
    </row>
    <row r="6" spans="1:29" ht="15.75" thickBot="1">
      <c r="A6" s="517"/>
      <c r="B6" s="518"/>
      <c r="C6" s="3403" t="s">
        <v>2924</v>
      </c>
      <c r="D6" s="3404"/>
      <c r="E6" s="3421" t="s">
        <v>2924</v>
      </c>
      <c r="F6" s="3422"/>
      <c r="G6" s="3403" t="s">
        <v>2924</v>
      </c>
      <c r="H6" s="3404"/>
      <c r="I6" s="3403" t="s">
        <v>2924</v>
      </c>
      <c r="J6" s="3404"/>
      <c r="K6" s="514" t="s">
        <v>528</v>
      </c>
      <c r="L6" s="2119"/>
      <c r="M6" s="2120"/>
      <c r="N6" s="2120"/>
      <c r="O6" s="2120"/>
      <c r="P6" s="3395"/>
      <c r="Q6" s="3396"/>
      <c r="R6" s="3399"/>
      <c r="S6" s="3400"/>
      <c r="T6" s="3401"/>
      <c r="U6" s="3402"/>
      <c r="V6" s="3384"/>
      <c r="W6" s="3384"/>
      <c r="X6" s="1554"/>
      <c r="Y6" s="3401"/>
      <c r="Z6" s="3402"/>
      <c r="AA6" s="3388"/>
      <c r="AB6" s="3384"/>
      <c r="AC6" s="3388"/>
    </row>
    <row r="7" spans="1:29" s="1216" customFormat="1" ht="15.75" thickBot="1">
      <c r="A7" s="2868"/>
      <c r="B7" s="2875" t="s">
        <v>529</v>
      </c>
      <c r="C7" s="519">
        <f>'数据-取费表'!B2</f>
        <v>43633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4" t="s">
        <v>530</v>
      </c>
      <c r="Q7" s="3416"/>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3"/>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3"/>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15">
      <c r="A15" s="2866" t="s">
        <v>2752</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7" t="s">
        <v>540</v>
      </c>
      <c r="Q15" s="1559" t="str">
        <f t="shared" si="6"/>
        <v>商业繁华度</v>
      </c>
      <c r="R15" s="1560" t="s">
        <v>8</v>
      </c>
      <c r="S15" s="1561">
        <f t="shared" si="0"/>
        <v>100</v>
      </c>
      <c r="T15" s="1560" t="s">
        <v>8</v>
      </c>
      <c r="U15" s="1561">
        <f t="shared" si="1"/>
        <v>100</v>
      </c>
      <c r="V15" s="1560" t="s">
        <v>8</v>
      </c>
      <c r="W15" s="1561">
        <f t="shared" si="2"/>
        <v>100</v>
      </c>
      <c r="X15" s="1554"/>
      <c r="Y15" s="341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8"/>
      <c r="Q16" s="1559"/>
      <c r="R16" s="1560"/>
      <c r="S16" s="1561"/>
      <c r="T16" s="1560"/>
      <c r="U16" s="1561"/>
      <c r="V16" s="1560"/>
      <c r="W16" s="1561"/>
      <c r="X16" s="1554"/>
      <c r="Y16" s="3418"/>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8"/>
      <c r="Q17" s="1559" t="str">
        <f>B17</f>
        <v>交通便捷度</v>
      </c>
      <c r="R17" s="1560" t="s">
        <v>8</v>
      </c>
      <c r="S17" s="1561">
        <f>F17</f>
        <v>100</v>
      </c>
      <c r="T17" s="1560" t="s">
        <v>8</v>
      </c>
      <c r="U17" s="1561">
        <f>H17</f>
        <v>100</v>
      </c>
      <c r="V17" s="1560" t="s">
        <v>8</v>
      </c>
      <c r="W17" s="1561">
        <f>J17</f>
        <v>100</v>
      </c>
      <c r="X17" s="1554"/>
      <c r="Y17" s="341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8"/>
      <c r="Q18" s="1559"/>
      <c r="R18" s="1560"/>
      <c r="S18" s="1561"/>
      <c r="T18" s="1560"/>
      <c r="U18" s="1561"/>
      <c r="V18" s="1560"/>
      <c r="W18" s="1561"/>
      <c r="X18" s="1554"/>
      <c r="Y18" s="3418"/>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8"/>
      <c r="Q19" s="1559" t="str">
        <f>B19</f>
        <v>公共配套设施</v>
      </c>
      <c r="R19" s="1560" t="s">
        <v>8</v>
      </c>
      <c r="S19" s="1561">
        <f>F19</f>
        <v>100</v>
      </c>
      <c r="T19" s="1560" t="s">
        <v>8</v>
      </c>
      <c r="U19" s="1561">
        <f>H19</f>
        <v>100</v>
      </c>
      <c r="V19" s="1560" t="s">
        <v>8</v>
      </c>
      <c r="W19" s="1561">
        <f>J19</f>
        <v>100</v>
      </c>
      <c r="X19" s="1554"/>
      <c r="Y19" s="341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8"/>
      <c r="Q20" s="1559"/>
      <c r="R20" s="1560"/>
      <c r="S20" s="1561"/>
      <c r="T20" s="1560"/>
      <c r="U20" s="1561"/>
      <c r="V20" s="1560"/>
      <c r="W20" s="1561"/>
      <c r="X20" s="1554"/>
      <c r="Y20" s="3418"/>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8"/>
      <c r="Q21" s="2544" t="str">
        <f>B21</f>
        <v>基础设施水平</v>
      </c>
      <c r="R21" s="1560" t="s">
        <v>8</v>
      </c>
      <c r="S21" s="1561">
        <f>F21</f>
        <v>100</v>
      </c>
      <c r="T21" s="1560" t="s">
        <v>8</v>
      </c>
      <c r="U21" s="1561">
        <f>H21</f>
        <v>100</v>
      </c>
      <c r="V21" s="1560" t="s">
        <v>8</v>
      </c>
      <c r="W21" s="1561">
        <f>J21</f>
        <v>100</v>
      </c>
      <c r="X21" s="2546"/>
      <c r="Y21" s="341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8"/>
      <c r="Q22" s="2544"/>
      <c r="R22" s="1560"/>
      <c r="S22" s="1561"/>
      <c r="T22" s="1560"/>
      <c r="U22" s="1561"/>
      <c r="V22" s="1560"/>
      <c r="W22" s="1561"/>
      <c r="X22" s="2546"/>
      <c r="Y22" s="3418"/>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8"/>
      <c r="Q23" s="1559" t="str">
        <f>B23</f>
        <v>自然及人文环境</v>
      </c>
      <c r="R23" s="1560" t="s">
        <v>8</v>
      </c>
      <c r="S23" s="1561">
        <f>F23</f>
        <v>100</v>
      </c>
      <c r="T23" s="1560" t="s">
        <v>8</v>
      </c>
      <c r="U23" s="1561">
        <f>H23</f>
        <v>100</v>
      </c>
      <c r="V23" s="1560" t="s">
        <v>8</v>
      </c>
      <c r="W23" s="1561">
        <f>J23</f>
        <v>100</v>
      </c>
      <c r="X23" s="1554"/>
      <c r="Y23" s="341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8"/>
      <c r="Q24" s="1559"/>
      <c r="R24" s="1560"/>
      <c r="S24" s="1561"/>
      <c r="T24" s="1560"/>
      <c r="U24" s="1561"/>
      <c r="V24" s="1560"/>
      <c r="W24" s="1561"/>
      <c r="X24" s="1554"/>
      <c r="Y24" s="341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8"/>
      <c r="Q25" s="1559" t="str">
        <f t="shared" ref="Q25:Q46" si="11">B25</f>
        <v>临街状况</v>
      </c>
      <c r="R25" s="1560" t="s">
        <v>8</v>
      </c>
      <c r="S25" s="1561">
        <f>F25</f>
        <v>100</v>
      </c>
      <c r="T25" s="1560" t="s">
        <v>8</v>
      </c>
      <c r="U25" s="1561">
        <f>H25</f>
        <v>100</v>
      </c>
      <c r="V25" s="1560" t="s">
        <v>8</v>
      </c>
      <c r="W25" s="1561">
        <f>J25</f>
        <v>100</v>
      </c>
      <c r="X25" s="1554"/>
      <c r="Y25" s="341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8"/>
      <c r="Q26" s="1559" t="str">
        <f t="shared" si="11"/>
        <v>平面位置/可视性</v>
      </c>
      <c r="R26" s="1560" t="s">
        <v>8</v>
      </c>
      <c r="S26" s="1561">
        <f>F26</f>
        <v>100</v>
      </c>
      <c r="T26" s="1560" t="s">
        <v>8</v>
      </c>
      <c r="U26" s="1561">
        <f>H26</f>
        <v>100</v>
      </c>
      <c r="V26" s="1560" t="s">
        <v>8</v>
      </c>
      <c r="W26" s="1561">
        <f>J26</f>
        <v>100</v>
      </c>
      <c r="X26" s="1554"/>
      <c r="Y26" s="341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8"/>
      <c r="Q27" s="1147" t="str">
        <f t="shared" si="11"/>
        <v>人流量</v>
      </c>
      <c r="R27" s="1555" t="s">
        <v>8</v>
      </c>
      <c r="S27" s="1556">
        <f>F27</f>
        <v>100</v>
      </c>
      <c r="T27" s="1555" t="s">
        <v>8</v>
      </c>
      <c r="U27" s="1556">
        <f>H27</f>
        <v>100</v>
      </c>
      <c r="V27" s="1555" t="s">
        <v>8</v>
      </c>
      <c r="W27" s="1556">
        <f>J27</f>
        <v>100</v>
      </c>
      <c r="X27" s="1557"/>
      <c r="Y27" s="341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8"/>
      <c r="Q29" s="1559">
        <f t="shared" si="11"/>
        <v>111</v>
      </c>
      <c r="R29" s="1560" t="s">
        <v>8</v>
      </c>
      <c r="S29" s="1561">
        <f t="shared" si="12"/>
        <v>100</v>
      </c>
      <c r="T29" s="1560" t="s">
        <v>8</v>
      </c>
      <c r="U29" s="1561">
        <f t="shared" si="13"/>
        <v>100</v>
      </c>
      <c r="V29" s="1560" t="s">
        <v>8</v>
      </c>
      <c r="W29" s="1561">
        <f t="shared" si="14"/>
        <v>100</v>
      </c>
      <c r="X29" s="1554"/>
      <c r="Y29" s="341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8"/>
      <c r="Q30" s="1559">
        <f t="shared" si="11"/>
        <v>111</v>
      </c>
      <c r="R30" s="1560" t="s">
        <v>8</v>
      </c>
      <c r="S30" s="1561">
        <f t="shared" si="12"/>
        <v>100</v>
      </c>
      <c r="T30" s="1560" t="s">
        <v>8</v>
      </c>
      <c r="U30" s="1561">
        <f t="shared" si="13"/>
        <v>100</v>
      </c>
      <c r="V30" s="1560" t="s">
        <v>8</v>
      </c>
      <c r="W30" s="1561">
        <f t="shared" si="14"/>
        <v>100</v>
      </c>
      <c r="X30" s="1554"/>
      <c r="Y30" s="341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8"/>
      <c r="Q31" s="1559">
        <f t="shared" si="11"/>
        <v>111</v>
      </c>
      <c r="R31" s="1560" t="s">
        <v>8</v>
      </c>
      <c r="S31" s="1561">
        <f t="shared" si="12"/>
        <v>100</v>
      </c>
      <c r="T31" s="1560" t="s">
        <v>8</v>
      </c>
      <c r="U31" s="1561">
        <f t="shared" si="13"/>
        <v>100</v>
      </c>
      <c r="V31" s="1560" t="s">
        <v>8</v>
      </c>
      <c r="W31" s="1561">
        <f t="shared" si="14"/>
        <v>100</v>
      </c>
      <c r="X31" s="1554"/>
      <c r="Y31" s="3418"/>
      <c r="Z31" s="1562">
        <f t="shared" si="15"/>
        <v>111</v>
      </c>
      <c r="AA31" s="1563">
        <f t="shared" si="3"/>
        <v>1</v>
      </c>
      <c r="AB31" s="1563">
        <f t="shared" si="4"/>
        <v>1</v>
      </c>
      <c r="AC31" s="1563">
        <f t="shared" si="5"/>
        <v>1</v>
      </c>
    </row>
    <row r="32" spans="1:29" ht="15">
      <c r="A32" s="286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9" t="s">
        <v>550</v>
      </c>
      <c r="Q32" s="1559" t="str">
        <f t="shared" si="11"/>
        <v>商业类型</v>
      </c>
      <c r="R32" s="1560" t="s">
        <v>8</v>
      </c>
      <c r="S32" s="1561">
        <f t="shared" si="12"/>
        <v>100</v>
      </c>
      <c r="T32" s="1560" t="s">
        <v>8</v>
      </c>
      <c r="U32" s="1561">
        <f t="shared" si="13"/>
        <v>100</v>
      </c>
      <c r="V32" s="1560" t="s">
        <v>8</v>
      </c>
      <c r="W32" s="1561">
        <f t="shared" si="14"/>
        <v>100</v>
      </c>
      <c r="X32" s="1554"/>
      <c r="Y32" s="3420"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0"/>
      <c r="Q33" s="1591" t="str">
        <f t="shared" si="11"/>
        <v>项目建筑规模</v>
      </c>
      <c r="R33" s="1564" t="s">
        <v>8</v>
      </c>
      <c r="S33" s="1565" t="e">
        <f t="shared" si="12"/>
        <v>#N/A</v>
      </c>
      <c r="T33" s="1564" t="s">
        <v>8</v>
      </c>
      <c r="U33" s="1565" t="e">
        <f t="shared" si="13"/>
        <v>#N/A</v>
      </c>
      <c r="V33" s="1564" t="s">
        <v>8</v>
      </c>
      <c r="W33" s="1565" t="e">
        <f t="shared" si="14"/>
        <v>#N/A</v>
      </c>
      <c r="X33" s="1566"/>
      <c r="Y33" s="3420"/>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0"/>
      <c r="Q34" s="1559" t="str">
        <f t="shared" si="11"/>
        <v>建筑结构</v>
      </c>
      <c r="R34" s="1560" t="s">
        <v>8</v>
      </c>
      <c r="S34" s="1561">
        <f t="shared" si="12"/>
        <v>100</v>
      </c>
      <c r="T34" s="1560" t="s">
        <v>8</v>
      </c>
      <c r="U34" s="1561">
        <f t="shared" si="13"/>
        <v>100</v>
      </c>
      <c r="V34" s="1560" t="s">
        <v>8</v>
      </c>
      <c r="W34" s="1561">
        <f t="shared" si="14"/>
        <v>100</v>
      </c>
      <c r="X34" s="1554"/>
      <c r="Y34" s="3420"/>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0"/>
      <c r="Q35" s="1559" t="str">
        <f t="shared" si="11"/>
        <v>公共部分装修</v>
      </c>
      <c r="R35" s="1560" t="s">
        <v>8</v>
      </c>
      <c r="S35" s="1561">
        <f t="shared" si="12"/>
        <v>100</v>
      </c>
      <c r="T35" s="1560" t="s">
        <v>8</v>
      </c>
      <c r="U35" s="1561">
        <f t="shared" si="13"/>
        <v>100</v>
      </c>
      <c r="V35" s="1560" t="s">
        <v>8</v>
      </c>
      <c r="W35" s="1561">
        <f t="shared" si="14"/>
        <v>100</v>
      </c>
      <c r="X35" s="1554"/>
      <c r="Y35" s="3420"/>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0"/>
      <c r="Q36" s="1559" t="str">
        <f t="shared" si="11"/>
        <v>成新度</v>
      </c>
      <c r="R36" s="1560" t="s">
        <v>8</v>
      </c>
      <c r="S36" s="1561" t="e">
        <f t="shared" si="12"/>
        <v>#N/A</v>
      </c>
      <c r="T36" s="1560" t="s">
        <v>8</v>
      </c>
      <c r="U36" s="1561" t="e">
        <f t="shared" si="13"/>
        <v>#N/A</v>
      </c>
      <c r="V36" s="1560" t="s">
        <v>8</v>
      </c>
      <c r="W36" s="1561" t="e">
        <f t="shared" si="14"/>
        <v>#N/A</v>
      </c>
      <c r="X36" s="1554"/>
      <c r="Y36" s="3420"/>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0"/>
      <c r="Q37" s="1147" t="str">
        <f t="shared" si="11"/>
        <v>市政基础设施</v>
      </c>
      <c r="R37" s="1555" t="s">
        <v>8</v>
      </c>
      <c r="S37" s="1556">
        <f t="shared" si="12"/>
        <v>100</v>
      </c>
      <c r="T37" s="1555" t="s">
        <v>8</v>
      </c>
      <c r="U37" s="1556">
        <f t="shared" si="13"/>
        <v>100</v>
      </c>
      <c r="V37" s="1555" t="s">
        <v>8</v>
      </c>
      <c r="W37" s="1556">
        <f t="shared" si="14"/>
        <v>100</v>
      </c>
      <c r="X37" s="1557"/>
      <c r="Y37" s="3420"/>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0" t="s">
        <v>766</v>
      </c>
      <c r="Q38" s="1559" t="str">
        <f t="shared" si="11"/>
        <v>业态</v>
      </c>
      <c r="R38" s="1560" t="s">
        <v>8</v>
      </c>
      <c r="S38" s="1561">
        <f t="shared" si="12"/>
        <v>100</v>
      </c>
      <c r="T38" s="1560" t="s">
        <v>8</v>
      </c>
      <c r="U38" s="1561">
        <f t="shared" si="13"/>
        <v>100</v>
      </c>
      <c r="V38" s="1560" t="s">
        <v>8</v>
      </c>
      <c r="W38" s="1561">
        <f t="shared" si="14"/>
        <v>100</v>
      </c>
      <c r="X38" s="1554"/>
      <c r="Y38" s="3420"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0"/>
      <c r="Q39" s="1559" t="str">
        <f t="shared" si="11"/>
        <v>层高</v>
      </c>
      <c r="R39" s="1560" t="s">
        <v>8</v>
      </c>
      <c r="S39" s="1561">
        <f t="shared" si="12"/>
        <v>100</v>
      </c>
      <c r="T39" s="1560" t="s">
        <v>8</v>
      </c>
      <c r="U39" s="1561">
        <f t="shared" si="13"/>
        <v>100</v>
      </c>
      <c r="V39" s="1560" t="s">
        <v>8</v>
      </c>
      <c r="W39" s="1561">
        <f t="shared" si="14"/>
        <v>100</v>
      </c>
      <c r="X39" s="1554"/>
      <c r="Y39" s="3420"/>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0"/>
      <c r="Q40" s="1559" t="str">
        <f t="shared" si="11"/>
        <v>单套建筑面积</v>
      </c>
      <c r="R40" s="1560" t="s">
        <v>8</v>
      </c>
      <c r="S40" s="1561">
        <f t="shared" si="12"/>
        <v>100</v>
      </c>
      <c r="T40" s="1560" t="s">
        <v>8</v>
      </c>
      <c r="U40" s="1561">
        <f t="shared" si="13"/>
        <v>100</v>
      </c>
      <c r="V40" s="1560" t="s">
        <v>8</v>
      </c>
      <c r="W40" s="1561">
        <f t="shared" si="14"/>
        <v>100</v>
      </c>
      <c r="X40" s="1554"/>
      <c r="Y40" s="3420"/>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0"/>
      <c r="Q41" s="1591" t="str">
        <f t="shared" si="11"/>
        <v>进深比</v>
      </c>
      <c r="R41" s="1564" t="s">
        <v>8</v>
      </c>
      <c r="S41" s="1565">
        <f t="shared" si="12"/>
        <v>100</v>
      </c>
      <c r="T41" s="1564" t="s">
        <v>8</v>
      </c>
      <c r="U41" s="1565">
        <f t="shared" si="13"/>
        <v>100</v>
      </c>
      <c r="V41" s="1564" t="s">
        <v>8</v>
      </c>
      <c r="W41" s="1565">
        <f t="shared" si="14"/>
        <v>100</v>
      </c>
      <c r="X41" s="1566"/>
      <c r="Y41" s="3420"/>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0"/>
      <c r="Q42" s="1559" t="str">
        <f t="shared" si="11"/>
        <v>内部装修</v>
      </c>
      <c r="R42" s="1560" t="s">
        <v>8</v>
      </c>
      <c r="S42" s="1561">
        <f t="shared" si="12"/>
        <v>100</v>
      </c>
      <c r="T42" s="1560" t="s">
        <v>8</v>
      </c>
      <c r="U42" s="1561">
        <f t="shared" si="13"/>
        <v>100</v>
      </c>
      <c r="V42" s="1560" t="s">
        <v>8</v>
      </c>
      <c r="W42" s="1561">
        <f t="shared" si="14"/>
        <v>100</v>
      </c>
      <c r="X42" s="1554"/>
      <c r="Y42" s="3420"/>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0"/>
      <c r="Q43" s="1559" t="str">
        <f t="shared" si="11"/>
        <v>内部装修维护情况</v>
      </c>
      <c r="R43" s="1560" t="s">
        <v>8</v>
      </c>
      <c r="S43" s="1561">
        <f t="shared" si="12"/>
        <v>100</v>
      </c>
      <c r="T43" s="1560" t="s">
        <v>8</v>
      </c>
      <c r="U43" s="1561">
        <f t="shared" si="13"/>
        <v>100</v>
      </c>
      <c r="V43" s="1560" t="s">
        <v>8</v>
      </c>
      <c r="W43" s="1561">
        <f t="shared" si="14"/>
        <v>100</v>
      </c>
      <c r="X43" s="1554"/>
      <c r="Y43" s="3420"/>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0"/>
      <c r="Q44" s="1147">
        <f t="shared" si="11"/>
        <v>111</v>
      </c>
      <c r="R44" s="1555" t="s">
        <v>8</v>
      </c>
      <c r="S44" s="1556">
        <f t="shared" si="12"/>
        <v>100</v>
      </c>
      <c r="T44" s="1555" t="s">
        <v>8</v>
      </c>
      <c r="U44" s="1556">
        <f t="shared" si="13"/>
        <v>100</v>
      </c>
      <c r="V44" s="1555" t="s">
        <v>8</v>
      </c>
      <c r="W44" s="1556">
        <f t="shared" si="14"/>
        <v>100</v>
      </c>
      <c r="X44" s="1557"/>
      <c r="Y44" s="3420"/>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0"/>
      <c r="Q45" s="1559">
        <f t="shared" si="11"/>
        <v>111</v>
      </c>
      <c r="R45" s="1560" t="s">
        <v>8</v>
      </c>
      <c r="S45" s="1561">
        <f t="shared" si="12"/>
        <v>100</v>
      </c>
      <c r="T45" s="1560" t="s">
        <v>8</v>
      </c>
      <c r="U45" s="1561">
        <f t="shared" si="13"/>
        <v>100</v>
      </c>
      <c r="V45" s="1560" t="s">
        <v>8</v>
      </c>
      <c r="W45" s="1561">
        <f t="shared" si="14"/>
        <v>100</v>
      </c>
      <c r="X45" s="1554"/>
      <c r="Y45" s="3420"/>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5"/>
      <c r="Q46" s="1559">
        <f t="shared" si="11"/>
        <v>111</v>
      </c>
      <c r="R46" s="1560" t="s">
        <v>8</v>
      </c>
      <c r="S46" s="1561">
        <f t="shared" si="12"/>
        <v>100</v>
      </c>
      <c r="T46" s="1560" t="s">
        <v>8</v>
      </c>
      <c r="U46" s="1561">
        <f t="shared" si="13"/>
        <v>100</v>
      </c>
      <c r="V46" s="1560" t="s">
        <v>8</v>
      </c>
      <c r="W46" s="1561">
        <f t="shared" si="14"/>
        <v>100</v>
      </c>
      <c r="X46" s="1554"/>
      <c r="Y46" s="350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3" t="str">
        <f>A47</f>
        <v>成交单价（元/平方米）</v>
      </c>
      <c r="Q47" s="3383"/>
      <c r="R47" s="3504">
        <f>E47</f>
        <v>0</v>
      </c>
      <c r="S47" s="3504"/>
      <c r="T47" s="3504">
        <f>G47</f>
        <v>0</v>
      </c>
      <c r="U47" s="3504"/>
      <c r="V47" s="3504">
        <f>I47</f>
        <v>0</v>
      </c>
      <c r="W47" s="3504"/>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383" t="str">
        <f>A48</f>
        <v>比较价格（元/平方米）</v>
      </c>
      <c r="Q48" s="338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380" t="str">
        <f>A49</f>
        <v>估价对象XX用房的比较价格（楼面单价，元/平方米）</v>
      </c>
      <c r="Q49" s="3381"/>
      <c r="R49" s="3503" t="e">
        <f>IF(F1="售价",ROUND(AVERAGE(R48:V48),0),ROUND(AVERAGE(R48:V48),1))</f>
        <v>#DIV/0!</v>
      </c>
      <c r="S49" s="3503"/>
      <c r="T49" s="3503"/>
      <c r="U49" s="3503"/>
      <c r="V49" s="3503"/>
      <c r="W49" s="350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9" t="s">
        <v>522</v>
      </c>
      <c r="D4" s="3390"/>
      <c r="E4" s="3423" t="s">
        <v>523</v>
      </c>
      <c r="F4" s="3424"/>
      <c r="G4" s="3389" t="s">
        <v>524</v>
      </c>
      <c r="H4" s="3390"/>
      <c r="I4" s="3389" t="s">
        <v>525</v>
      </c>
      <c r="J4" s="3390"/>
      <c r="K4" s="514" t="s">
        <v>526</v>
      </c>
      <c r="L4" s="2119"/>
      <c r="M4" s="2120"/>
      <c r="N4" s="2120"/>
      <c r="O4" s="2120"/>
      <c r="P4" s="3507" t="s">
        <v>527</v>
      </c>
      <c r="Q4" s="3392"/>
      <c r="R4" s="3397" t="s">
        <v>523</v>
      </c>
      <c r="S4" s="3398"/>
      <c r="T4" s="3397" t="s">
        <v>524</v>
      </c>
      <c r="U4" s="3398"/>
      <c r="V4" s="3384" t="s">
        <v>525</v>
      </c>
      <c r="W4" s="3384"/>
      <c r="X4" s="1554"/>
      <c r="Y4" s="3397" t="s">
        <v>527</v>
      </c>
      <c r="Z4" s="3398"/>
      <c r="AA4" s="3386" t="s">
        <v>523</v>
      </c>
      <c r="AB4" s="3386" t="s">
        <v>524</v>
      </c>
      <c r="AC4" s="3386" t="s">
        <v>525</v>
      </c>
    </row>
    <row r="5" spans="1:29" ht="15">
      <c r="A5" s="515"/>
      <c r="B5" s="516"/>
      <c r="C5" s="3405" t="s">
        <v>2920</v>
      </c>
      <c r="D5" s="3406"/>
      <c r="E5" s="3425" t="s">
        <v>2921</v>
      </c>
      <c r="F5" s="3426"/>
      <c r="G5" s="3405" t="s">
        <v>2922</v>
      </c>
      <c r="H5" s="3406"/>
      <c r="I5" s="3405" t="s">
        <v>2923</v>
      </c>
      <c r="J5" s="3406"/>
      <c r="K5" s="514"/>
      <c r="L5" s="2119"/>
      <c r="M5" s="2120"/>
      <c r="N5" s="2120"/>
      <c r="O5" s="2120"/>
      <c r="P5" s="3508"/>
      <c r="Q5" s="3394"/>
      <c r="R5" s="3399"/>
      <c r="S5" s="3400"/>
      <c r="T5" s="3399"/>
      <c r="U5" s="3400"/>
      <c r="V5" s="3384"/>
      <c r="W5" s="3384"/>
      <c r="X5" s="1554"/>
      <c r="Y5" s="3399"/>
      <c r="Z5" s="3400"/>
      <c r="AA5" s="3387"/>
      <c r="AB5" s="3387"/>
      <c r="AC5" s="3387"/>
    </row>
    <row r="6" spans="1:29" ht="15.75" thickBot="1">
      <c r="A6" s="517"/>
      <c r="B6" s="518"/>
      <c r="C6" s="3403" t="s">
        <v>2924</v>
      </c>
      <c r="D6" s="3404"/>
      <c r="E6" s="3421" t="s">
        <v>2924</v>
      </c>
      <c r="F6" s="3422"/>
      <c r="G6" s="3403" t="s">
        <v>2924</v>
      </c>
      <c r="H6" s="3404"/>
      <c r="I6" s="3403" t="s">
        <v>2924</v>
      </c>
      <c r="J6" s="3404"/>
      <c r="K6" s="514" t="s">
        <v>528</v>
      </c>
      <c r="L6" s="2119"/>
      <c r="M6" s="2120"/>
      <c r="N6" s="2120"/>
      <c r="O6" s="2120"/>
      <c r="P6" s="3509"/>
      <c r="Q6" s="3396"/>
      <c r="R6" s="3399"/>
      <c r="S6" s="3400"/>
      <c r="T6" s="3401"/>
      <c r="U6" s="3402"/>
      <c r="V6" s="3384"/>
      <c r="W6" s="3384"/>
      <c r="X6" s="1554"/>
      <c r="Y6" s="3401"/>
      <c r="Z6" s="3402"/>
      <c r="AA6" s="3388"/>
      <c r="AB6" s="3388"/>
      <c r="AC6" s="3388"/>
    </row>
    <row r="7" spans="1:29" s="1216" customFormat="1" ht="15.75" thickBot="1">
      <c r="A7" s="2868"/>
      <c r="B7" s="2875" t="s">
        <v>529</v>
      </c>
      <c r="C7" s="519">
        <f>'数据-取费表'!B2</f>
        <v>43633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6" t="s">
        <v>530</v>
      </c>
      <c r="Q7" s="3416"/>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6" t="s">
        <v>533</v>
      </c>
      <c r="Q8" s="3415"/>
      <c r="R8" s="1555" t="s">
        <v>8</v>
      </c>
      <c r="S8" s="1556">
        <f t="shared" si="0"/>
        <v>0</v>
      </c>
      <c r="T8" s="1555" t="s">
        <v>8</v>
      </c>
      <c r="U8" s="1556">
        <f t="shared" si="1"/>
        <v>0</v>
      </c>
      <c r="V8" s="1555" t="s">
        <v>8</v>
      </c>
      <c r="W8" s="1556">
        <f t="shared" si="2"/>
        <v>0</v>
      </c>
      <c r="X8" s="1557"/>
      <c r="Y8" s="3414" t="s">
        <v>533</v>
      </c>
      <c r="Z8" s="3415"/>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3"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3"/>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3"/>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3"/>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3"/>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15">
      <c r="A15" s="2866"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7" t="s">
        <v>540</v>
      </c>
      <c r="Q15" s="1559" t="str">
        <f t="shared" si="6"/>
        <v>办公集聚程度</v>
      </c>
      <c r="R15" s="1560" t="s">
        <v>8</v>
      </c>
      <c r="S15" s="1561">
        <f t="shared" si="0"/>
        <v>100</v>
      </c>
      <c r="T15" s="1560" t="s">
        <v>8</v>
      </c>
      <c r="U15" s="1561">
        <f t="shared" si="1"/>
        <v>100</v>
      </c>
      <c r="V15" s="1560" t="s">
        <v>8</v>
      </c>
      <c r="W15" s="1561">
        <f t="shared" si="2"/>
        <v>100</v>
      </c>
      <c r="X15" s="1554"/>
      <c r="Y15" s="341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8"/>
      <c r="Q16" s="1559"/>
      <c r="R16" s="1560"/>
      <c r="S16" s="1561"/>
      <c r="T16" s="1560"/>
      <c r="U16" s="1561"/>
      <c r="V16" s="1560"/>
      <c r="W16" s="1561"/>
      <c r="X16" s="1554"/>
      <c r="Y16" s="3418"/>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8"/>
      <c r="Q17" s="1559" t="str">
        <f>B17</f>
        <v>交通便捷度</v>
      </c>
      <c r="R17" s="1560" t="s">
        <v>8</v>
      </c>
      <c r="S17" s="1561">
        <f>F17</f>
        <v>100</v>
      </c>
      <c r="T17" s="1560" t="s">
        <v>8</v>
      </c>
      <c r="U17" s="1561">
        <f>H17</f>
        <v>100</v>
      </c>
      <c r="V17" s="1560" t="s">
        <v>8</v>
      </c>
      <c r="W17" s="1561">
        <f>J17</f>
        <v>100</v>
      </c>
      <c r="X17" s="1554"/>
      <c r="Y17" s="341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8"/>
      <c r="Q18" s="1559"/>
      <c r="R18" s="1560"/>
      <c r="S18" s="1561"/>
      <c r="T18" s="1560"/>
      <c r="U18" s="1561"/>
      <c r="V18" s="1560"/>
      <c r="W18" s="1561"/>
      <c r="X18" s="1554"/>
      <c r="Y18" s="3418"/>
      <c r="Z18" s="1562"/>
      <c r="AA18" s="1563">
        <v>1</v>
      </c>
      <c r="AB18" s="1563">
        <v>1</v>
      </c>
      <c r="AC18" s="1563">
        <v>1</v>
      </c>
    </row>
    <row r="19" spans="1:29" ht="15">
      <c r="A19" s="532"/>
      <c r="B19" s="2568"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8"/>
      <c r="Q19" s="1559" t="str">
        <f>B19</f>
        <v>公共配套设施</v>
      </c>
      <c r="R19" s="1560" t="s">
        <v>8</v>
      </c>
      <c r="S19" s="1561">
        <f>F19</f>
        <v>100</v>
      </c>
      <c r="T19" s="1560" t="s">
        <v>8</v>
      </c>
      <c r="U19" s="1561">
        <f>H19</f>
        <v>100</v>
      </c>
      <c r="V19" s="1560" t="s">
        <v>8</v>
      </c>
      <c r="W19" s="1561">
        <f>J19</f>
        <v>100</v>
      </c>
      <c r="X19" s="1554"/>
      <c r="Y19" s="341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8"/>
      <c r="Q20" s="1559"/>
      <c r="R20" s="1560"/>
      <c r="S20" s="1561"/>
      <c r="T20" s="1560"/>
      <c r="U20" s="1561"/>
      <c r="V20" s="1560"/>
      <c r="W20" s="1561"/>
      <c r="X20" s="1554"/>
      <c r="Y20" s="3418"/>
      <c r="Z20" s="1562"/>
      <c r="AA20" s="1563">
        <v>1</v>
      </c>
      <c r="AB20" s="1563">
        <v>1</v>
      </c>
      <c r="AC20" s="1563">
        <v>1</v>
      </c>
    </row>
    <row r="21" spans="1:29" ht="15">
      <c r="A21" s="532"/>
      <c r="B21" s="2556"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8"/>
      <c r="Q21" s="2544" t="str">
        <f>B21</f>
        <v>基础设施水平</v>
      </c>
      <c r="R21" s="1560" t="s">
        <v>8</v>
      </c>
      <c r="S21" s="1561">
        <f>F21</f>
        <v>100</v>
      </c>
      <c r="T21" s="1560" t="s">
        <v>8</v>
      </c>
      <c r="U21" s="1561">
        <f>H21</f>
        <v>100</v>
      </c>
      <c r="V21" s="1560" t="s">
        <v>8</v>
      </c>
      <c r="W21" s="1561">
        <f>J21</f>
        <v>100</v>
      </c>
      <c r="X21" s="2546"/>
      <c r="Y21" s="341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8"/>
      <c r="Q22" s="2544"/>
      <c r="R22" s="1560"/>
      <c r="S22" s="1561"/>
      <c r="T22" s="1560"/>
      <c r="U22" s="1561"/>
      <c r="V22" s="1560"/>
      <c r="W22" s="1561"/>
      <c r="X22" s="2546"/>
      <c r="Y22" s="3418"/>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8"/>
      <c r="Q23" s="1559" t="str">
        <f>B23</f>
        <v>环境质量</v>
      </c>
      <c r="R23" s="1560" t="s">
        <v>8</v>
      </c>
      <c r="S23" s="1561">
        <f>F23</f>
        <v>100</v>
      </c>
      <c r="T23" s="1560" t="s">
        <v>8</v>
      </c>
      <c r="U23" s="1561">
        <f>H23</f>
        <v>100</v>
      </c>
      <c r="V23" s="1560" t="s">
        <v>8</v>
      </c>
      <c r="W23" s="1561">
        <f>J23</f>
        <v>100</v>
      </c>
      <c r="X23" s="1554"/>
      <c r="Y23" s="341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8"/>
      <c r="Q24" s="1559"/>
      <c r="R24" s="1560"/>
      <c r="S24" s="1561"/>
      <c r="T24" s="1560"/>
      <c r="U24" s="1561"/>
      <c r="V24" s="1560"/>
      <c r="W24" s="1561"/>
      <c r="X24" s="1554"/>
      <c r="Y24" s="341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8"/>
      <c r="Q25" s="1559" t="str">
        <f>B25</f>
        <v>毗邻道路的类型与等级</v>
      </c>
      <c r="R25" s="1560" t="s">
        <v>8</v>
      </c>
      <c r="S25" s="1561">
        <f>F25</f>
        <v>100</v>
      </c>
      <c r="T25" s="1560" t="s">
        <v>8</v>
      </c>
      <c r="U25" s="1561">
        <f>H25</f>
        <v>100</v>
      </c>
      <c r="V25" s="1560" t="s">
        <v>8</v>
      </c>
      <c r="W25" s="1561">
        <f>J25</f>
        <v>100</v>
      </c>
      <c r="X25" s="1554"/>
      <c r="Y25" s="341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8"/>
      <c r="Q26" s="1559"/>
      <c r="R26" s="1560"/>
      <c r="S26" s="1561"/>
      <c r="T26" s="1560"/>
      <c r="U26" s="1561"/>
      <c r="V26" s="1560"/>
      <c r="W26" s="1561"/>
      <c r="X26" s="1554"/>
      <c r="Y26" s="341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8"/>
      <c r="Q27" s="1559" t="str">
        <f t="shared" ref="Q27:Q47" si="11">B27</f>
        <v>楼层</v>
      </c>
      <c r="R27" s="1560" t="s">
        <v>8</v>
      </c>
      <c r="S27" s="1561">
        <f>F27</f>
        <v>100</v>
      </c>
      <c r="T27" s="1560" t="s">
        <v>8</v>
      </c>
      <c r="U27" s="1561">
        <f>H27</f>
        <v>100</v>
      </c>
      <c r="V27" s="1560" t="s">
        <v>8</v>
      </c>
      <c r="W27" s="1561">
        <f>J27</f>
        <v>100</v>
      </c>
      <c r="X27" s="1554"/>
      <c r="Y27" s="341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8"/>
      <c r="Q28" s="1147" t="str">
        <f t="shared" si="11"/>
        <v>朝向</v>
      </c>
      <c r="R28" s="1555" t="s">
        <v>8</v>
      </c>
      <c r="S28" s="1556">
        <f>F28</f>
        <v>100</v>
      </c>
      <c r="T28" s="1555" t="s">
        <v>8</v>
      </c>
      <c r="U28" s="1556">
        <f>H28</f>
        <v>100</v>
      </c>
      <c r="V28" s="1555" t="s">
        <v>8</v>
      </c>
      <c r="W28" s="1556">
        <f>J28</f>
        <v>100</v>
      </c>
      <c r="X28" s="1557"/>
      <c r="Y28" s="341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8"/>
      <c r="Q29" s="1559">
        <f t="shared" si="11"/>
        <v>111</v>
      </c>
      <c r="R29" s="1560" t="s">
        <v>8</v>
      </c>
      <c r="S29" s="1561">
        <f t="shared" ref="S29:S47" si="12">F29</f>
        <v>100</v>
      </c>
      <c r="T29" s="1560" t="s">
        <v>8</v>
      </c>
      <c r="U29" s="1561">
        <f t="shared" ref="U29:U47" si="13">H29</f>
        <v>100</v>
      </c>
      <c r="V29" s="1560" t="s">
        <v>8</v>
      </c>
      <c r="W29" s="1561">
        <f t="shared" ref="W29:W47" si="14">J29</f>
        <v>100</v>
      </c>
      <c r="X29" s="1554"/>
      <c r="Y29" s="341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8"/>
      <c r="Q30" s="1559">
        <f t="shared" si="11"/>
        <v>111</v>
      </c>
      <c r="R30" s="1560" t="s">
        <v>8</v>
      </c>
      <c r="S30" s="1561">
        <f t="shared" si="12"/>
        <v>100</v>
      </c>
      <c r="T30" s="1560" t="s">
        <v>8</v>
      </c>
      <c r="U30" s="1561">
        <f t="shared" si="13"/>
        <v>100</v>
      </c>
      <c r="V30" s="1560" t="s">
        <v>8</v>
      </c>
      <c r="W30" s="1561">
        <f t="shared" si="14"/>
        <v>100</v>
      </c>
      <c r="X30" s="1554"/>
      <c r="Y30" s="341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8"/>
      <c r="Q31" s="1559">
        <f t="shared" si="11"/>
        <v>111</v>
      </c>
      <c r="R31" s="1560" t="s">
        <v>8</v>
      </c>
      <c r="S31" s="1561">
        <f t="shared" si="12"/>
        <v>100</v>
      </c>
      <c r="T31" s="1560" t="s">
        <v>8</v>
      </c>
      <c r="U31" s="1561">
        <f t="shared" si="13"/>
        <v>100</v>
      </c>
      <c r="V31" s="1560" t="s">
        <v>8</v>
      </c>
      <c r="W31" s="1561">
        <f t="shared" si="14"/>
        <v>100</v>
      </c>
      <c r="X31" s="1554"/>
      <c r="Y31" s="341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8"/>
      <c r="Q32" s="1559">
        <f t="shared" si="11"/>
        <v>111</v>
      </c>
      <c r="R32" s="1560" t="s">
        <v>8</v>
      </c>
      <c r="S32" s="1561">
        <f t="shared" si="12"/>
        <v>100</v>
      </c>
      <c r="T32" s="1560" t="s">
        <v>8</v>
      </c>
      <c r="U32" s="1561">
        <f t="shared" si="13"/>
        <v>100</v>
      </c>
      <c r="V32" s="1560" t="s">
        <v>8</v>
      </c>
      <c r="W32" s="1561">
        <f t="shared" si="14"/>
        <v>100</v>
      </c>
      <c r="X32" s="1554"/>
      <c r="Y32" s="3418"/>
      <c r="Z32" s="1562">
        <f t="shared" si="15"/>
        <v>111</v>
      </c>
      <c r="AA32" s="1563">
        <f t="shared" si="3"/>
        <v>1</v>
      </c>
      <c r="AB32" s="1563">
        <f t="shared" si="4"/>
        <v>1</v>
      </c>
      <c r="AC32" s="1563">
        <f t="shared" si="5"/>
        <v>1</v>
      </c>
    </row>
    <row r="33" spans="1:29" ht="15">
      <c r="A33" s="286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9" t="s">
        <v>550</v>
      </c>
      <c r="Q33" s="1559" t="str">
        <f t="shared" si="11"/>
        <v>建筑类型</v>
      </c>
      <c r="R33" s="1560" t="s">
        <v>8</v>
      </c>
      <c r="S33" s="1561">
        <f t="shared" si="12"/>
        <v>100</v>
      </c>
      <c r="T33" s="1560" t="s">
        <v>8</v>
      </c>
      <c r="U33" s="1561">
        <f t="shared" si="13"/>
        <v>100</v>
      </c>
      <c r="V33" s="1560" t="s">
        <v>8</v>
      </c>
      <c r="W33" s="1561">
        <f t="shared" si="14"/>
        <v>100</v>
      </c>
      <c r="X33" s="1554"/>
      <c r="Y33" s="3420"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0"/>
      <c r="Q34" s="1591" t="str">
        <f t="shared" si="11"/>
        <v>项目建筑规模</v>
      </c>
      <c r="R34" s="1564" t="s">
        <v>8</v>
      </c>
      <c r="S34" s="1565" t="e">
        <f t="shared" si="12"/>
        <v>#N/A</v>
      </c>
      <c r="T34" s="1564" t="s">
        <v>8</v>
      </c>
      <c r="U34" s="1565" t="e">
        <f t="shared" si="13"/>
        <v>#N/A</v>
      </c>
      <c r="V34" s="1564" t="s">
        <v>8</v>
      </c>
      <c r="W34" s="1565" t="e">
        <f t="shared" si="14"/>
        <v>#N/A</v>
      </c>
      <c r="X34" s="1566"/>
      <c r="Y34" s="3420"/>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0"/>
      <c r="Q35" s="1559" t="str">
        <f t="shared" si="11"/>
        <v>建筑结构</v>
      </c>
      <c r="R35" s="1560" t="s">
        <v>8</v>
      </c>
      <c r="S35" s="1561">
        <f t="shared" si="12"/>
        <v>100</v>
      </c>
      <c r="T35" s="1560" t="s">
        <v>8</v>
      </c>
      <c r="U35" s="1561">
        <f t="shared" si="13"/>
        <v>100</v>
      </c>
      <c r="V35" s="1560" t="s">
        <v>8</v>
      </c>
      <c r="W35" s="1561">
        <f t="shared" si="14"/>
        <v>100</v>
      </c>
      <c r="X35" s="1554"/>
      <c r="Y35" s="3420"/>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0"/>
      <c r="Q36" s="1559" t="str">
        <f t="shared" si="11"/>
        <v>公共部分装修</v>
      </c>
      <c r="R36" s="1560" t="s">
        <v>8</v>
      </c>
      <c r="S36" s="1561">
        <f t="shared" si="12"/>
        <v>100</v>
      </c>
      <c r="T36" s="1560" t="s">
        <v>8</v>
      </c>
      <c r="U36" s="1561">
        <f t="shared" si="13"/>
        <v>100</v>
      </c>
      <c r="V36" s="1560" t="s">
        <v>8</v>
      </c>
      <c r="W36" s="1561">
        <f t="shared" si="14"/>
        <v>100</v>
      </c>
      <c r="X36" s="1554"/>
      <c r="Y36" s="3420"/>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0"/>
      <c r="Q37" s="1559" t="str">
        <f t="shared" si="11"/>
        <v>成新度</v>
      </c>
      <c r="R37" s="1560" t="s">
        <v>8</v>
      </c>
      <c r="S37" s="1561" t="e">
        <f t="shared" si="12"/>
        <v>#N/A</v>
      </c>
      <c r="T37" s="1560" t="s">
        <v>8</v>
      </c>
      <c r="U37" s="1561" t="e">
        <f t="shared" si="13"/>
        <v>#N/A</v>
      </c>
      <c r="V37" s="1560" t="s">
        <v>8</v>
      </c>
      <c r="W37" s="1561" t="e">
        <f t="shared" si="14"/>
        <v>#N/A</v>
      </c>
      <c r="X37" s="1554"/>
      <c r="Y37" s="3420"/>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0"/>
      <c r="Q38" s="1147" t="str">
        <f t="shared" si="11"/>
        <v>写字楼等级</v>
      </c>
      <c r="R38" s="1555" t="s">
        <v>8</v>
      </c>
      <c r="S38" s="1556">
        <f t="shared" si="12"/>
        <v>100</v>
      </c>
      <c r="T38" s="1555" t="s">
        <v>8</v>
      </c>
      <c r="U38" s="1556">
        <f t="shared" si="13"/>
        <v>100</v>
      </c>
      <c r="V38" s="1555" t="s">
        <v>8</v>
      </c>
      <c r="W38" s="1556">
        <f t="shared" si="14"/>
        <v>100</v>
      </c>
      <c r="X38" s="1557"/>
      <c r="Y38" s="3420"/>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0" t="s">
        <v>550</v>
      </c>
      <c r="Q39" s="1559" t="str">
        <f t="shared" si="11"/>
        <v>物业管理</v>
      </c>
      <c r="R39" s="1560" t="s">
        <v>8</v>
      </c>
      <c r="S39" s="1561">
        <f t="shared" si="12"/>
        <v>100</v>
      </c>
      <c r="T39" s="1560" t="s">
        <v>8</v>
      </c>
      <c r="U39" s="1561">
        <f t="shared" si="13"/>
        <v>100</v>
      </c>
      <c r="V39" s="1560" t="s">
        <v>8</v>
      </c>
      <c r="W39" s="1561">
        <f t="shared" si="14"/>
        <v>100</v>
      </c>
      <c r="X39" s="1554"/>
      <c r="Y39" s="3420"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0"/>
      <c r="Q40" s="1559" t="str">
        <f t="shared" si="11"/>
        <v>市政基础设施</v>
      </c>
      <c r="R40" s="1560" t="s">
        <v>8</v>
      </c>
      <c r="S40" s="1561">
        <f t="shared" si="12"/>
        <v>100</v>
      </c>
      <c r="T40" s="1560" t="s">
        <v>8</v>
      </c>
      <c r="U40" s="1561">
        <f t="shared" si="13"/>
        <v>100</v>
      </c>
      <c r="V40" s="1560" t="s">
        <v>8</v>
      </c>
      <c r="W40" s="1561">
        <f t="shared" si="14"/>
        <v>100</v>
      </c>
      <c r="X40" s="1554"/>
      <c r="Y40" s="3420"/>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0"/>
      <c r="Q41" s="1559" t="str">
        <f t="shared" si="11"/>
        <v>层高</v>
      </c>
      <c r="R41" s="1560" t="s">
        <v>8</v>
      </c>
      <c r="S41" s="1561">
        <f t="shared" si="12"/>
        <v>100</v>
      </c>
      <c r="T41" s="1560" t="s">
        <v>8</v>
      </c>
      <c r="U41" s="1561">
        <f t="shared" si="13"/>
        <v>100</v>
      </c>
      <c r="V41" s="1560" t="s">
        <v>8</v>
      </c>
      <c r="W41" s="1561">
        <f t="shared" si="14"/>
        <v>100</v>
      </c>
      <c r="X41" s="1554"/>
      <c r="Y41" s="3420"/>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0"/>
      <c r="Q42" s="1591" t="str">
        <f t="shared" si="11"/>
        <v>单套建筑面积</v>
      </c>
      <c r="R42" s="1564" t="s">
        <v>8</v>
      </c>
      <c r="S42" s="1565">
        <f t="shared" si="12"/>
        <v>100</v>
      </c>
      <c r="T42" s="1564" t="s">
        <v>8</v>
      </c>
      <c r="U42" s="1565">
        <f t="shared" si="13"/>
        <v>100</v>
      </c>
      <c r="V42" s="1564" t="s">
        <v>8</v>
      </c>
      <c r="W42" s="1565">
        <f t="shared" si="14"/>
        <v>100</v>
      </c>
      <c r="X42" s="1566"/>
      <c r="Y42" s="3420"/>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0"/>
      <c r="Q43" s="1559" t="str">
        <f t="shared" si="11"/>
        <v>内部装修</v>
      </c>
      <c r="R43" s="1560" t="s">
        <v>8</v>
      </c>
      <c r="S43" s="1561">
        <f t="shared" si="12"/>
        <v>100</v>
      </c>
      <c r="T43" s="1560" t="s">
        <v>8</v>
      </c>
      <c r="U43" s="1561">
        <f t="shared" si="13"/>
        <v>100</v>
      </c>
      <c r="V43" s="1560" t="s">
        <v>8</v>
      </c>
      <c r="W43" s="1561">
        <f t="shared" si="14"/>
        <v>100</v>
      </c>
      <c r="X43" s="1554"/>
      <c r="Y43" s="3420"/>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0"/>
      <c r="Q44" s="1559" t="str">
        <f t="shared" si="11"/>
        <v>内部装修维护情况</v>
      </c>
      <c r="R44" s="1560" t="s">
        <v>8</v>
      </c>
      <c r="S44" s="1561">
        <f t="shared" si="12"/>
        <v>100</v>
      </c>
      <c r="T44" s="1560" t="s">
        <v>8</v>
      </c>
      <c r="U44" s="1561">
        <f t="shared" si="13"/>
        <v>100</v>
      </c>
      <c r="V44" s="1560" t="s">
        <v>8</v>
      </c>
      <c r="W44" s="1561">
        <f t="shared" si="14"/>
        <v>100</v>
      </c>
      <c r="X44" s="1554"/>
      <c r="Y44" s="3420"/>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0"/>
      <c r="Q45" s="1147">
        <f t="shared" si="11"/>
        <v>111</v>
      </c>
      <c r="R45" s="1555" t="s">
        <v>8</v>
      </c>
      <c r="S45" s="1556">
        <f t="shared" si="12"/>
        <v>100</v>
      </c>
      <c r="T45" s="1555" t="s">
        <v>8</v>
      </c>
      <c r="U45" s="1556">
        <f t="shared" si="13"/>
        <v>100</v>
      </c>
      <c r="V45" s="1555" t="s">
        <v>8</v>
      </c>
      <c r="W45" s="1556">
        <f t="shared" si="14"/>
        <v>100</v>
      </c>
      <c r="X45" s="1557"/>
      <c r="Y45" s="3420"/>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0"/>
      <c r="Q46" s="1559">
        <f t="shared" si="11"/>
        <v>111</v>
      </c>
      <c r="R46" s="1560" t="s">
        <v>8</v>
      </c>
      <c r="S46" s="1561">
        <f t="shared" si="12"/>
        <v>100</v>
      </c>
      <c r="T46" s="1560" t="s">
        <v>8</v>
      </c>
      <c r="U46" s="1561">
        <f t="shared" si="13"/>
        <v>100</v>
      </c>
      <c r="V46" s="1560" t="s">
        <v>8</v>
      </c>
      <c r="W46" s="1561">
        <f t="shared" si="14"/>
        <v>100</v>
      </c>
      <c r="X46" s="1554"/>
      <c r="Y46" s="3420"/>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5"/>
      <c r="Q47" s="1559">
        <f t="shared" si="11"/>
        <v>111</v>
      </c>
      <c r="R47" s="1560" t="s">
        <v>8</v>
      </c>
      <c r="S47" s="1561">
        <f t="shared" si="12"/>
        <v>100</v>
      </c>
      <c r="T47" s="1560" t="s">
        <v>8</v>
      </c>
      <c r="U47" s="1561">
        <f t="shared" si="13"/>
        <v>100</v>
      </c>
      <c r="V47" s="1560" t="s">
        <v>8</v>
      </c>
      <c r="W47" s="1561">
        <f t="shared" si="14"/>
        <v>100</v>
      </c>
      <c r="X47" s="1554"/>
      <c r="Y47" s="350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1" t="str">
        <f>A48</f>
        <v>成交单价（元/平方米）</v>
      </c>
      <c r="Q48" s="3383"/>
      <c r="R48" s="3504">
        <f>E48</f>
        <v>0</v>
      </c>
      <c r="S48" s="3504"/>
      <c r="T48" s="3504">
        <f>G48</f>
        <v>0</v>
      </c>
      <c r="U48" s="3504"/>
      <c r="V48" s="3504">
        <f>I48</f>
        <v>0</v>
      </c>
      <c r="W48" s="3504"/>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381" t="str">
        <f>A49</f>
        <v>比较价格（元/平方米）</v>
      </c>
      <c r="Q49" s="338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06" t="str">
        <f>A50</f>
        <v>估价对象XX用房的比较价格（楼面单价，元/平方米）</v>
      </c>
      <c r="Q50" s="3381"/>
      <c r="R50" s="3503" t="e">
        <f>IF(F1="售价",ROUND(AVERAGE(R49:V49),0),ROUND(AVERAGE(R49:V49),1))</f>
        <v>#DIV/0!</v>
      </c>
      <c r="S50" s="3503"/>
      <c r="T50" s="3503"/>
      <c r="U50" s="3503"/>
      <c r="V50" s="3503"/>
      <c r="W50" s="350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9" t="s">
        <v>522</v>
      </c>
      <c r="D4" s="3390"/>
      <c r="E4" s="3423" t="s">
        <v>523</v>
      </c>
      <c r="F4" s="3424"/>
      <c r="G4" s="3389" t="s">
        <v>524</v>
      </c>
      <c r="H4" s="3390"/>
      <c r="I4" s="3389" t="s">
        <v>525</v>
      </c>
      <c r="J4" s="3390"/>
      <c r="K4" s="514" t="s">
        <v>526</v>
      </c>
      <c r="L4" s="2119"/>
      <c r="M4" s="2120"/>
      <c r="N4" s="2120"/>
      <c r="O4" s="2120"/>
      <c r="P4" s="3391" t="s">
        <v>527</v>
      </c>
      <c r="Q4" s="3392"/>
      <c r="R4" s="3397" t="s">
        <v>523</v>
      </c>
      <c r="S4" s="3398"/>
      <c r="T4" s="3397" t="s">
        <v>524</v>
      </c>
      <c r="U4" s="3398"/>
      <c r="V4" s="3384" t="s">
        <v>525</v>
      </c>
      <c r="W4" s="3384"/>
      <c r="X4" s="1554"/>
      <c r="Y4" s="3397" t="s">
        <v>527</v>
      </c>
      <c r="Z4" s="3398"/>
      <c r="AA4" s="3386" t="s">
        <v>523</v>
      </c>
      <c r="AB4" s="3387" t="s">
        <v>524</v>
      </c>
      <c r="AC4" s="3386" t="s">
        <v>525</v>
      </c>
    </row>
    <row r="5" spans="1:29" ht="15">
      <c r="A5" s="515"/>
      <c r="B5" s="516"/>
      <c r="C5" s="3405" t="s">
        <v>2920</v>
      </c>
      <c r="D5" s="3406"/>
      <c r="E5" s="3425" t="s">
        <v>2921</v>
      </c>
      <c r="F5" s="3426"/>
      <c r="G5" s="3405" t="s">
        <v>2922</v>
      </c>
      <c r="H5" s="3406"/>
      <c r="I5" s="3405" t="s">
        <v>2923</v>
      </c>
      <c r="J5" s="3406"/>
      <c r="K5" s="514"/>
      <c r="L5" s="2119"/>
      <c r="M5" s="2120"/>
      <c r="N5" s="2120"/>
      <c r="O5" s="2120"/>
      <c r="P5" s="3393"/>
      <c r="Q5" s="3394"/>
      <c r="R5" s="3399"/>
      <c r="S5" s="3400"/>
      <c r="T5" s="3399"/>
      <c r="U5" s="3400"/>
      <c r="V5" s="3384"/>
      <c r="W5" s="3384"/>
      <c r="X5" s="1554"/>
      <c r="Y5" s="3399"/>
      <c r="Z5" s="3400"/>
      <c r="AA5" s="3387"/>
      <c r="AB5" s="3387"/>
      <c r="AC5" s="3387"/>
    </row>
    <row r="6" spans="1:29" ht="15.75" thickBot="1">
      <c r="A6" s="517"/>
      <c r="B6" s="518"/>
      <c r="C6" s="3403" t="s">
        <v>2924</v>
      </c>
      <c r="D6" s="3404"/>
      <c r="E6" s="3421" t="s">
        <v>2924</v>
      </c>
      <c r="F6" s="3422"/>
      <c r="G6" s="3403" t="s">
        <v>2924</v>
      </c>
      <c r="H6" s="3404"/>
      <c r="I6" s="3403" t="s">
        <v>2924</v>
      </c>
      <c r="J6" s="3404"/>
      <c r="K6" s="514" t="s">
        <v>528</v>
      </c>
      <c r="L6" s="2119"/>
      <c r="M6" s="2120"/>
      <c r="N6" s="2120"/>
      <c r="O6" s="2120"/>
      <c r="P6" s="3395"/>
      <c r="Q6" s="3396"/>
      <c r="R6" s="3399"/>
      <c r="S6" s="3400"/>
      <c r="T6" s="3401"/>
      <c r="U6" s="3402"/>
      <c r="V6" s="3384"/>
      <c r="W6" s="3384"/>
      <c r="X6" s="1554"/>
      <c r="Y6" s="3401"/>
      <c r="Z6" s="3402"/>
      <c r="AA6" s="3388"/>
      <c r="AB6" s="3388"/>
      <c r="AC6" s="3388"/>
    </row>
    <row r="7" spans="1:29" s="1216" customFormat="1" ht="15.75" thickBot="1">
      <c r="A7" s="2868"/>
      <c r="B7" s="2875" t="s">
        <v>529</v>
      </c>
      <c r="C7" s="519">
        <f>'数据-取费表'!B2</f>
        <v>43633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4" t="s">
        <v>530</v>
      </c>
      <c r="Q7" s="3416"/>
      <c r="R7" s="1555" t="s">
        <v>8</v>
      </c>
      <c r="S7" s="1556">
        <f t="shared" ref="S7:S15" si="0">F7</f>
        <v>0</v>
      </c>
      <c r="T7" s="1555" t="s">
        <v>8</v>
      </c>
      <c r="U7" s="1556">
        <f t="shared" ref="U7:U15" si="1">H7</f>
        <v>0</v>
      </c>
      <c r="V7" s="1555" t="s">
        <v>8</v>
      </c>
      <c r="W7" s="1556">
        <f t="shared" ref="W7:W15"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3" t="s">
        <v>535</v>
      </c>
      <c r="Q9" s="1147" t="str">
        <f t="shared" ref="Q9:Q15" si="6">B9</f>
        <v>用途</v>
      </c>
      <c r="R9" s="1555" t="s">
        <v>8</v>
      </c>
      <c r="S9" s="1556">
        <f t="shared" si="0"/>
        <v>100</v>
      </c>
      <c r="T9" s="1555" t="s">
        <v>8</v>
      </c>
      <c r="U9" s="1556">
        <f t="shared" si="1"/>
        <v>100</v>
      </c>
      <c r="V9" s="1555" t="s">
        <v>8</v>
      </c>
      <c r="W9" s="1556">
        <f t="shared" si="2"/>
        <v>100</v>
      </c>
      <c r="X9" s="1557"/>
      <c r="Y9" s="3329"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3"/>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3"/>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57">
      <c r="A15" s="286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7" t="s">
        <v>540</v>
      </c>
      <c r="Q15" s="1559" t="str">
        <f t="shared" si="6"/>
        <v>产业集聚程度</v>
      </c>
      <c r="R15" s="1560" t="s">
        <v>8</v>
      </c>
      <c r="S15" s="1561">
        <f t="shared" si="0"/>
        <v>100</v>
      </c>
      <c r="T15" s="1560" t="s">
        <v>8</v>
      </c>
      <c r="U15" s="1561">
        <f t="shared" si="1"/>
        <v>100</v>
      </c>
      <c r="V15" s="1560" t="s">
        <v>8</v>
      </c>
      <c r="W15" s="1561">
        <f t="shared" si="2"/>
        <v>100</v>
      </c>
      <c r="X15" s="1554"/>
      <c r="Y15" s="341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8"/>
      <c r="Q16" s="1559"/>
      <c r="R16" s="1560"/>
      <c r="S16" s="1561"/>
      <c r="T16" s="1560"/>
      <c r="U16" s="1561"/>
      <c r="V16" s="1560"/>
      <c r="W16" s="1561"/>
      <c r="X16" s="1554"/>
      <c r="Y16" s="341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8"/>
      <c r="Q17" s="1559" t="str">
        <f>B17</f>
        <v>交通便捷度</v>
      </c>
      <c r="R17" s="1560" t="s">
        <v>8</v>
      </c>
      <c r="S17" s="1561">
        <f>F17</f>
        <v>100</v>
      </c>
      <c r="T17" s="1560" t="s">
        <v>8</v>
      </c>
      <c r="U17" s="1561">
        <f>H17</f>
        <v>100</v>
      </c>
      <c r="V17" s="1560" t="s">
        <v>8</v>
      </c>
      <c r="W17" s="1561">
        <f>J17</f>
        <v>100</v>
      </c>
      <c r="X17" s="1554"/>
      <c r="Y17" s="341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8"/>
      <c r="Q18" s="1559"/>
      <c r="R18" s="1560"/>
      <c r="S18" s="1561"/>
      <c r="T18" s="1560"/>
      <c r="U18" s="1561"/>
      <c r="V18" s="1560"/>
      <c r="W18" s="1561"/>
      <c r="X18" s="1554"/>
      <c r="Y18" s="3418"/>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8"/>
      <c r="Q19" s="1559" t="str">
        <f>B19</f>
        <v>公共配套设施</v>
      </c>
      <c r="R19" s="1560" t="s">
        <v>8</v>
      </c>
      <c r="S19" s="1561">
        <f>F19</f>
        <v>100</v>
      </c>
      <c r="T19" s="1560" t="s">
        <v>8</v>
      </c>
      <c r="U19" s="1561">
        <f>H19</f>
        <v>100</v>
      </c>
      <c r="V19" s="1560" t="s">
        <v>8</v>
      </c>
      <c r="W19" s="1561">
        <f>J19</f>
        <v>100</v>
      </c>
      <c r="X19" s="1554"/>
      <c r="Y19" s="341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8"/>
      <c r="Q20" s="1559"/>
      <c r="R20" s="1560"/>
      <c r="S20" s="1561"/>
      <c r="T20" s="1560"/>
      <c r="U20" s="1561"/>
      <c r="V20" s="1560"/>
      <c r="W20" s="1561"/>
      <c r="X20" s="1554"/>
      <c r="Y20" s="3418"/>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8"/>
      <c r="Q21" s="2544" t="str">
        <f>B21</f>
        <v>基础设施水平</v>
      </c>
      <c r="R21" s="1560" t="s">
        <v>8</v>
      </c>
      <c r="S21" s="1561">
        <f>F21</f>
        <v>100</v>
      </c>
      <c r="T21" s="1560" t="s">
        <v>8</v>
      </c>
      <c r="U21" s="1561">
        <f>H21</f>
        <v>100</v>
      </c>
      <c r="V21" s="1560" t="s">
        <v>8</v>
      </c>
      <c r="W21" s="1561">
        <f>J21</f>
        <v>100</v>
      </c>
      <c r="X21" s="2546"/>
      <c r="Y21" s="341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8"/>
      <c r="Q22" s="2544"/>
      <c r="R22" s="1560"/>
      <c r="S22" s="1561"/>
      <c r="T22" s="1560"/>
      <c r="U22" s="1561"/>
      <c r="V22" s="1560"/>
      <c r="W22" s="1561"/>
      <c r="X22" s="2546"/>
      <c r="Y22" s="341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8"/>
      <c r="Q23" s="1559" t="str">
        <f>B23</f>
        <v>环境质量</v>
      </c>
      <c r="R23" s="1560" t="s">
        <v>8</v>
      </c>
      <c r="S23" s="1561">
        <f>F23</f>
        <v>100</v>
      </c>
      <c r="T23" s="1560" t="s">
        <v>8</v>
      </c>
      <c r="U23" s="1561">
        <f>H23</f>
        <v>100</v>
      </c>
      <c r="V23" s="1560" t="s">
        <v>8</v>
      </c>
      <c r="W23" s="1561">
        <f>J23</f>
        <v>100</v>
      </c>
      <c r="X23" s="1554"/>
      <c r="Y23" s="341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8"/>
      <c r="Q24" s="1559"/>
      <c r="R24" s="1560"/>
      <c r="S24" s="1561"/>
      <c r="T24" s="1560"/>
      <c r="U24" s="1561"/>
      <c r="V24" s="1560"/>
      <c r="W24" s="1561"/>
      <c r="X24" s="1554"/>
      <c r="Y24" s="341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8"/>
      <c r="Q25" s="1559">
        <f>B25</f>
        <v>111</v>
      </c>
      <c r="R25" s="1560" t="s">
        <v>8</v>
      </c>
      <c r="S25" s="1561">
        <f>F25</f>
        <v>100</v>
      </c>
      <c r="T25" s="1560" t="s">
        <v>8</v>
      </c>
      <c r="U25" s="1561">
        <f>H25</f>
        <v>100</v>
      </c>
      <c r="V25" s="1560" t="s">
        <v>8</v>
      </c>
      <c r="W25" s="1561">
        <f>J25</f>
        <v>100</v>
      </c>
      <c r="X25" s="1554"/>
      <c r="Y25" s="341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8"/>
      <c r="Q26" s="1559">
        <f t="shared" ref="Q26:Q40" si="11">B26</f>
        <v>111</v>
      </c>
      <c r="R26" s="1560" t="s">
        <v>8</v>
      </c>
      <c r="S26" s="1561">
        <f>F26</f>
        <v>100</v>
      </c>
      <c r="T26" s="1560" t="s">
        <v>8</v>
      </c>
      <c r="U26" s="1561">
        <f>H26</f>
        <v>100</v>
      </c>
      <c r="V26" s="1560" t="s">
        <v>8</v>
      </c>
      <c r="W26" s="1561">
        <f>J26</f>
        <v>100</v>
      </c>
      <c r="X26" s="1554"/>
      <c r="Y26" s="341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8"/>
      <c r="Q27" s="1147">
        <f t="shared" si="11"/>
        <v>111</v>
      </c>
      <c r="R27" s="1555" t="s">
        <v>8</v>
      </c>
      <c r="S27" s="1556">
        <f>F27</f>
        <v>100</v>
      </c>
      <c r="T27" s="1555" t="s">
        <v>8</v>
      </c>
      <c r="U27" s="1556">
        <f>H27</f>
        <v>100</v>
      </c>
      <c r="V27" s="1555" t="s">
        <v>8</v>
      </c>
      <c r="W27" s="1556">
        <f>J27</f>
        <v>100</v>
      </c>
      <c r="X27" s="1557"/>
      <c r="Y27" s="341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8"/>
      <c r="Q28" s="1559">
        <f t="shared" si="11"/>
        <v>111</v>
      </c>
      <c r="R28" s="1560" t="s">
        <v>8</v>
      </c>
      <c r="S28" s="1561">
        <f t="shared" ref="S28:S40" si="12">F28</f>
        <v>100</v>
      </c>
      <c r="T28" s="1560" t="s">
        <v>8</v>
      </c>
      <c r="U28" s="1561">
        <f t="shared" ref="U28:U40" si="13">H28</f>
        <v>100</v>
      </c>
      <c r="V28" s="1560" t="s">
        <v>8</v>
      </c>
      <c r="W28" s="1561">
        <f t="shared" ref="W28:W40" si="14">J28</f>
        <v>100</v>
      </c>
      <c r="X28" s="1554"/>
      <c r="Y28" s="3418"/>
      <c r="Z28" s="1562">
        <f t="shared" ref="Z28:Z40" si="15">Q28</f>
        <v>111</v>
      </c>
      <c r="AA28" s="1563">
        <f t="shared" si="3"/>
        <v>1</v>
      </c>
      <c r="AB28" s="1563">
        <f t="shared" si="4"/>
        <v>1</v>
      </c>
      <c r="AC28" s="1563">
        <f t="shared" si="5"/>
        <v>1</v>
      </c>
    </row>
    <row r="29" spans="1:29" ht="15">
      <c r="A29" s="286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9" t="s">
        <v>550</v>
      </c>
      <c r="Q29" s="1559" t="str">
        <f t="shared" si="11"/>
        <v>建筑类型</v>
      </c>
      <c r="R29" s="1560" t="s">
        <v>8</v>
      </c>
      <c r="S29" s="1561">
        <f t="shared" si="12"/>
        <v>100</v>
      </c>
      <c r="T29" s="1560" t="s">
        <v>8</v>
      </c>
      <c r="U29" s="1561">
        <f t="shared" si="13"/>
        <v>100</v>
      </c>
      <c r="V29" s="1560" t="s">
        <v>8</v>
      </c>
      <c r="W29" s="1561">
        <f t="shared" si="14"/>
        <v>100</v>
      </c>
      <c r="X29" s="1554"/>
      <c r="Y29" s="3420"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0"/>
      <c r="Q30" s="1591" t="str">
        <f t="shared" si="11"/>
        <v>项目建筑规模</v>
      </c>
      <c r="R30" s="1564" t="s">
        <v>8</v>
      </c>
      <c r="S30" s="1565" t="e">
        <f t="shared" si="12"/>
        <v>#N/A</v>
      </c>
      <c r="T30" s="1564" t="s">
        <v>8</v>
      </c>
      <c r="U30" s="1565" t="e">
        <f t="shared" si="13"/>
        <v>#N/A</v>
      </c>
      <c r="V30" s="1564" t="s">
        <v>8</v>
      </c>
      <c r="W30" s="1565" t="e">
        <f t="shared" si="14"/>
        <v>#N/A</v>
      </c>
      <c r="X30" s="1566"/>
      <c r="Y30" s="3420"/>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0"/>
      <c r="Q31" s="1559" t="str">
        <f t="shared" si="11"/>
        <v>建筑结构</v>
      </c>
      <c r="R31" s="1560" t="s">
        <v>8</v>
      </c>
      <c r="S31" s="1561">
        <f t="shared" si="12"/>
        <v>100</v>
      </c>
      <c r="T31" s="1560" t="s">
        <v>8</v>
      </c>
      <c r="U31" s="1561">
        <f t="shared" si="13"/>
        <v>100</v>
      </c>
      <c r="V31" s="1560" t="s">
        <v>8</v>
      </c>
      <c r="W31" s="1561">
        <f t="shared" si="14"/>
        <v>100</v>
      </c>
      <c r="X31" s="1554"/>
      <c r="Y31" s="3420"/>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0"/>
      <c r="Q32" s="1559" t="str">
        <f t="shared" si="11"/>
        <v>公共部分装修</v>
      </c>
      <c r="R32" s="1560" t="s">
        <v>8</v>
      </c>
      <c r="S32" s="1561">
        <f t="shared" si="12"/>
        <v>100</v>
      </c>
      <c r="T32" s="1560" t="s">
        <v>8</v>
      </c>
      <c r="U32" s="1561">
        <f t="shared" si="13"/>
        <v>100</v>
      </c>
      <c r="V32" s="1560" t="s">
        <v>8</v>
      </c>
      <c r="W32" s="1561">
        <f t="shared" si="14"/>
        <v>100</v>
      </c>
      <c r="X32" s="1554"/>
      <c r="Y32" s="3420"/>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0"/>
      <c r="Q33" s="1559" t="str">
        <f t="shared" si="11"/>
        <v>成新度</v>
      </c>
      <c r="R33" s="1560" t="s">
        <v>8</v>
      </c>
      <c r="S33" s="1561" t="e">
        <f t="shared" si="12"/>
        <v>#N/A</v>
      </c>
      <c r="T33" s="1560" t="s">
        <v>8</v>
      </c>
      <c r="U33" s="1561" t="e">
        <f t="shared" si="13"/>
        <v>#N/A</v>
      </c>
      <c r="V33" s="1560" t="s">
        <v>8</v>
      </c>
      <c r="W33" s="1561" t="e">
        <f t="shared" si="14"/>
        <v>#N/A</v>
      </c>
      <c r="X33" s="1554"/>
      <c r="Y33" s="3420"/>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0"/>
      <c r="Q34" s="1147" t="str">
        <f t="shared" si="11"/>
        <v>物业管理</v>
      </c>
      <c r="R34" s="1555" t="s">
        <v>8</v>
      </c>
      <c r="S34" s="1556">
        <f t="shared" si="12"/>
        <v>100</v>
      </c>
      <c r="T34" s="1555" t="s">
        <v>8</v>
      </c>
      <c r="U34" s="1556">
        <f t="shared" si="13"/>
        <v>100</v>
      </c>
      <c r="V34" s="1555" t="s">
        <v>8</v>
      </c>
      <c r="W34" s="1556">
        <f t="shared" si="14"/>
        <v>100</v>
      </c>
      <c r="X34" s="1557"/>
      <c r="Y34" s="3420"/>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0" t="s">
        <v>550</v>
      </c>
      <c r="Q35" s="1559" t="str">
        <f t="shared" si="11"/>
        <v>市政基础设施</v>
      </c>
      <c r="R35" s="1560" t="s">
        <v>8</v>
      </c>
      <c r="S35" s="1561">
        <f t="shared" si="12"/>
        <v>100</v>
      </c>
      <c r="T35" s="1560" t="s">
        <v>8</v>
      </c>
      <c r="U35" s="1561">
        <f t="shared" si="13"/>
        <v>100</v>
      </c>
      <c r="V35" s="1560" t="s">
        <v>8</v>
      </c>
      <c r="W35" s="1561">
        <f t="shared" si="14"/>
        <v>100</v>
      </c>
      <c r="X35" s="1554"/>
      <c r="Y35" s="3420"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0"/>
      <c r="Q36" s="1559" t="str">
        <f t="shared" si="11"/>
        <v>内部装修</v>
      </c>
      <c r="R36" s="1560" t="s">
        <v>8</v>
      </c>
      <c r="S36" s="1561">
        <f t="shared" si="12"/>
        <v>100</v>
      </c>
      <c r="T36" s="1560" t="s">
        <v>8</v>
      </c>
      <c r="U36" s="1561">
        <f t="shared" si="13"/>
        <v>100</v>
      </c>
      <c r="V36" s="1560" t="s">
        <v>8</v>
      </c>
      <c r="W36" s="1561">
        <f t="shared" si="14"/>
        <v>100</v>
      </c>
      <c r="X36" s="1554"/>
      <c r="Y36" s="3420"/>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0"/>
      <c r="Q37" s="1559" t="str">
        <f t="shared" si="11"/>
        <v>内部装修状况</v>
      </c>
      <c r="R37" s="1560" t="s">
        <v>8</v>
      </c>
      <c r="S37" s="1561">
        <f t="shared" si="12"/>
        <v>100</v>
      </c>
      <c r="T37" s="1560" t="s">
        <v>8</v>
      </c>
      <c r="U37" s="1561">
        <f t="shared" si="13"/>
        <v>100</v>
      </c>
      <c r="V37" s="1560" t="s">
        <v>8</v>
      </c>
      <c r="W37" s="1561">
        <f t="shared" si="14"/>
        <v>100</v>
      </c>
      <c r="X37" s="1554"/>
      <c r="Y37" s="3420"/>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0"/>
      <c r="Q38" s="1591">
        <f t="shared" si="11"/>
        <v>111</v>
      </c>
      <c r="R38" s="1564" t="s">
        <v>8</v>
      </c>
      <c r="S38" s="1565">
        <f t="shared" si="12"/>
        <v>100</v>
      </c>
      <c r="T38" s="1564" t="s">
        <v>8</v>
      </c>
      <c r="U38" s="1565">
        <f t="shared" si="13"/>
        <v>100</v>
      </c>
      <c r="V38" s="1564" t="s">
        <v>8</v>
      </c>
      <c r="W38" s="1565">
        <f t="shared" si="14"/>
        <v>100</v>
      </c>
      <c r="X38" s="1566"/>
      <c r="Y38" s="3420"/>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0"/>
      <c r="Q39" s="1559">
        <f t="shared" si="11"/>
        <v>111</v>
      </c>
      <c r="R39" s="1560" t="s">
        <v>8</v>
      </c>
      <c r="S39" s="1561">
        <f t="shared" si="12"/>
        <v>100</v>
      </c>
      <c r="T39" s="1560" t="s">
        <v>8</v>
      </c>
      <c r="U39" s="1561">
        <f t="shared" si="13"/>
        <v>100</v>
      </c>
      <c r="V39" s="1560" t="s">
        <v>8</v>
      </c>
      <c r="W39" s="1561">
        <f t="shared" si="14"/>
        <v>100</v>
      </c>
      <c r="X39" s="1554"/>
      <c r="Y39" s="3420"/>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5"/>
      <c r="Q40" s="1559">
        <f t="shared" si="11"/>
        <v>111</v>
      </c>
      <c r="R40" s="1560" t="s">
        <v>8</v>
      </c>
      <c r="S40" s="1561">
        <f t="shared" si="12"/>
        <v>100</v>
      </c>
      <c r="T40" s="1560" t="s">
        <v>8</v>
      </c>
      <c r="U40" s="1561">
        <f t="shared" si="13"/>
        <v>100</v>
      </c>
      <c r="V40" s="1560" t="s">
        <v>8</v>
      </c>
      <c r="W40" s="1561">
        <f t="shared" si="14"/>
        <v>100</v>
      </c>
      <c r="X40" s="1554"/>
      <c r="Y40" s="350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3" t="str">
        <f>A41</f>
        <v>成交单价（元/平方米）</v>
      </c>
      <c r="Q41" s="3383"/>
      <c r="R41" s="3504">
        <f>E41</f>
        <v>0</v>
      </c>
      <c r="S41" s="3504"/>
      <c r="T41" s="3504">
        <f>G41</f>
        <v>0</v>
      </c>
      <c r="U41" s="3504"/>
      <c r="V41" s="3504">
        <f>I41</f>
        <v>0</v>
      </c>
      <c r="W41" s="3504"/>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383" t="str">
        <f>A42</f>
        <v>比较价格（元/平方米）</v>
      </c>
      <c r="Q42" s="338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380" t="str">
        <f>A43</f>
        <v>估价对象XX用房的比较价格（楼面单价，元/平方米）</v>
      </c>
      <c r="Q43" s="3381"/>
      <c r="R43" s="3503" t="e">
        <f>IF(F1="售价",ROUND(AVERAGE(R42:V42),0),ROUND(AVERAGE(R42:V42),1))</f>
        <v>#DIV/0!</v>
      </c>
      <c r="S43" s="3503"/>
      <c r="T43" s="3503"/>
      <c r="U43" s="3503"/>
      <c r="V43" s="3503"/>
      <c r="W43" s="350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9" t="s">
        <v>798</v>
      </c>
      <c r="D4" s="3390"/>
      <c r="E4" s="3389" t="s">
        <v>799</v>
      </c>
      <c r="F4" s="3390"/>
      <c r="G4" s="3389" t="s">
        <v>800</v>
      </c>
      <c r="H4" s="3390"/>
      <c r="I4" s="3389" t="s">
        <v>801</v>
      </c>
      <c r="J4" s="3390"/>
      <c r="K4" s="514" t="s">
        <v>802</v>
      </c>
      <c r="L4" s="2119"/>
      <c r="M4" s="2120"/>
      <c r="N4" s="2120"/>
      <c r="O4" s="2120"/>
      <c r="P4" s="3391" t="s">
        <v>803</v>
      </c>
      <c r="Q4" s="3392"/>
      <c r="R4" s="3397" t="s">
        <v>799</v>
      </c>
      <c r="S4" s="3398"/>
      <c r="T4" s="3397" t="s">
        <v>800</v>
      </c>
      <c r="U4" s="3398"/>
      <c r="V4" s="3384" t="s">
        <v>801</v>
      </c>
      <c r="W4" s="3384"/>
      <c r="X4" s="1554"/>
      <c r="Y4" s="3397" t="s">
        <v>803</v>
      </c>
      <c r="Z4" s="3398"/>
      <c r="AA4" s="3386" t="s">
        <v>799</v>
      </c>
      <c r="AB4" s="3387" t="s">
        <v>800</v>
      </c>
      <c r="AC4" s="3386" t="s">
        <v>801</v>
      </c>
    </row>
    <row r="5" spans="1:29" ht="15">
      <c r="A5" s="515"/>
      <c r="B5" s="516"/>
      <c r="C5" s="3405" t="s">
        <v>2920</v>
      </c>
      <c r="D5" s="3406"/>
      <c r="E5" s="3405" t="s">
        <v>2921</v>
      </c>
      <c r="F5" s="3406"/>
      <c r="G5" s="3405" t="s">
        <v>2922</v>
      </c>
      <c r="H5" s="3406"/>
      <c r="I5" s="3405" t="s">
        <v>2923</v>
      </c>
      <c r="J5" s="3406"/>
      <c r="K5" s="514"/>
      <c r="L5" s="2119"/>
      <c r="M5" s="2120"/>
      <c r="N5" s="2120"/>
      <c r="O5" s="2120"/>
      <c r="P5" s="3393"/>
      <c r="Q5" s="3394"/>
      <c r="R5" s="3399"/>
      <c r="S5" s="3400"/>
      <c r="T5" s="3399"/>
      <c r="U5" s="3400"/>
      <c r="V5" s="3384"/>
      <c r="W5" s="3384"/>
      <c r="X5" s="1554"/>
      <c r="Y5" s="3399"/>
      <c r="Z5" s="3400"/>
      <c r="AA5" s="3387"/>
      <c r="AB5" s="3387"/>
      <c r="AC5" s="3387"/>
    </row>
    <row r="6" spans="1:29" ht="15.75" thickBot="1">
      <c r="A6" s="517"/>
      <c r="B6" s="518"/>
      <c r="C6" s="3403" t="s">
        <v>2924</v>
      </c>
      <c r="D6" s="3404"/>
      <c r="E6" s="3407" t="s">
        <v>2924</v>
      </c>
      <c r="F6" s="3408"/>
      <c r="G6" s="3403" t="s">
        <v>2924</v>
      </c>
      <c r="H6" s="3404"/>
      <c r="I6" s="3403" t="s">
        <v>2924</v>
      </c>
      <c r="J6" s="3404"/>
      <c r="K6" s="514" t="s">
        <v>528</v>
      </c>
      <c r="L6" s="2119"/>
      <c r="M6" s="2120"/>
      <c r="N6" s="2120"/>
      <c r="O6" s="2120"/>
      <c r="P6" s="3395"/>
      <c r="Q6" s="3396"/>
      <c r="R6" s="3399"/>
      <c r="S6" s="3400"/>
      <c r="T6" s="3401"/>
      <c r="U6" s="3402"/>
      <c r="V6" s="3384"/>
      <c r="W6" s="3384"/>
      <c r="X6" s="1554"/>
      <c r="Y6" s="3401"/>
      <c r="Z6" s="3402"/>
      <c r="AA6" s="3388"/>
      <c r="AB6" s="3388"/>
      <c r="AC6" s="3388"/>
    </row>
    <row r="7" spans="1:29" s="1216" customFormat="1" ht="15.75" thickBot="1">
      <c r="A7" s="2868"/>
      <c r="B7" s="2875" t="s">
        <v>529</v>
      </c>
      <c r="C7" s="519">
        <f>'数据-取费表'!B2</f>
        <v>43633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4" t="s">
        <v>530</v>
      </c>
      <c r="Q7" s="3416"/>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3" t="s">
        <v>535</v>
      </c>
      <c r="Q9" s="1147" t="str">
        <f t="shared" ref="Q9:Q14" si="6">B9</f>
        <v>用途</v>
      </c>
      <c r="R9" s="1555" t="s">
        <v>8</v>
      </c>
      <c r="S9" s="1556">
        <f t="shared" si="0"/>
        <v>100</v>
      </c>
      <c r="T9" s="1555" t="s">
        <v>8</v>
      </c>
      <c r="U9" s="1556">
        <f t="shared" si="1"/>
        <v>100</v>
      </c>
      <c r="V9" s="1555" t="s">
        <v>8</v>
      </c>
      <c r="W9" s="1556">
        <f t="shared" si="2"/>
        <v>100</v>
      </c>
      <c r="X9" s="1557"/>
      <c r="Y9" s="3329"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3"/>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
      <c r="A14" s="2866"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7" t="s">
        <v>540</v>
      </c>
      <c r="Q14" s="1559" t="str">
        <f t="shared" si="6"/>
        <v>交通便捷度</v>
      </c>
      <c r="R14" s="1560" t="s">
        <v>8</v>
      </c>
      <c r="S14" s="1561">
        <f t="shared" si="0"/>
        <v>100</v>
      </c>
      <c r="T14" s="1560" t="s">
        <v>8</v>
      </c>
      <c r="U14" s="1561">
        <f t="shared" si="1"/>
        <v>100</v>
      </c>
      <c r="V14" s="1560" t="s">
        <v>8</v>
      </c>
      <c r="W14" s="1561">
        <f t="shared" si="2"/>
        <v>100</v>
      </c>
      <c r="X14" s="1554"/>
      <c r="Y14" s="341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8"/>
      <c r="Q15" s="1559"/>
      <c r="R15" s="1560"/>
      <c r="S15" s="1561"/>
      <c r="T15" s="1560"/>
      <c r="U15" s="1561"/>
      <c r="V15" s="1560"/>
      <c r="W15" s="1561"/>
      <c r="X15" s="1554"/>
      <c r="Y15" s="3418"/>
      <c r="Z15" s="1562"/>
      <c r="AA15" s="1563">
        <v>1</v>
      </c>
      <c r="AB15" s="1563">
        <v>1</v>
      </c>
      <c r="AC15" s="1563">
        <v>1</v>
      </c>
    </row>
    <row r="16" spans="1:29" ht="15">
      <c r="A16" s="515"/>
      <c r="B16" s="2568"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8"/>
      <c r="Q16" s="1559" t="str">
        <f>B16</f>
        <v>公共配套设施</v>
      </c>
      <c r="R16" s="1560" t="s">
        <v>8</v>
      </c>
      <c r="S16" s="1561">
        <f>F16</f>
        <v>100</v>
      </c>
      <c r="T16" s="1560" t="s">
        <v>8</v>
      </c>
      <c r="U16" s="1561">
        <f>H16</f>
        <v>100</v>
      </c>
      <c r="V16" s="1560" t="s">
        <v>8</v>
      </c>
      <c r="W16" s="1561">
        <f>J16</f>
        <v>100</v>
      </c>
      <c r="X16" s="1554"/>
      <c r="Y16" s="341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8"/>
      <c r="Q17" s="1559"/>
      <c r="R17" s="1560"/>
      <c r="S17" s="1561"/>
      <c r="T17" s="1560"/>
      <c r="U17" s="1561"/>
      <c r="V17" s="1560"/>
      <c r="W17" s="1561"/>
      <c r="X17" s="1554"/>
      <c r="Y17" s="3418"/>
      <c r="Z17" s="1562"/>
      <c r="AA17" s="1563">
        <v>1</v>
      </c>
      <c r="AB17" s="1563">
        <v>1</v>
      </c>
      <c r="AC17" s="1563">
        <v>1</v>
      </c>
    </row>
    <row r="18" spans="1:29" ht="15">
      <c r="A18" s="515"/>
      <c r="B18" s="2556"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8"/>
      <c r="Q18" s="2544" t="str">
        <f>B18</f>
        <v>基础设施水平</v>
      </c>
      <c r="R18" s="1560" t="s">
        <v>8</v>
      </c>
      <c r="S18" s="1561">
        <f>F18</f>
        <v>100</v>
      </c>
      <c r="T18" s="1560" t="s">
        <v>8</v>
      </c>
      <c r="U18" s="1561">
        <f>H18</f>
        <v>100</v>
      </c>
      <c r="V18" s="1560" t="s">
        <v>8</v>
      </c>
      <c r="W18" s="1561">
        <f>J18</f>
        <v>100</v>
      </c>
      <c r="X18" s="2546"/>
      <c r="Y18" s="341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8"/>
      <c r="Q19" s="2544"/>
      <c r="R19" s="1560"/>
      <c r="S19" s="1561"/>
      <c r="T19" s="1560"/>
      <c r="U19" s="1561"/>
      <c r="V19" s="1560"/>
      <c r="W19" s="1561"/>
      <c r="X19" s="2546"/>
      <c r="Y19" s="3418"/>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8"/>
      <c r="Q20" s="1559" t="str">
        <f>B20</f>
        <v>自然及人文环境</v>
      </c>
      <c r="R20" s="1560" t="s">
        <v>8</v>
      </c>
      <c r="S20" s="1561">
        <f>F20</f>
        <v>100</v>
      </c>
      <c r="T20" s="1560" t="s">
        <v>8</v>
      </c>
      <c r="U20" s="1561">
        <f>H20</f>
        <v>100</v>
      </c>
      <c r="V20" s="1560" t="s">
        <v>8</v>
      </c>
      <c r="W20" s="1561">
        <f>J20</f>
        <v>100</v>
      </c>
      <c r="X20" s="1554"/>
      <c r="Y20" s="341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8"/>
      <c r="Q21" s="1559"/>
      <c r="R21" s="1560"/>
      <c r="S21" s="1561"/>
      <c r="T21" s="1560"/>
      <c r="U21" s="1561"/>
      <c r="V21" s="1560"/>
      <c r="W21" s="1561"/>
      <c r="X21" s="1554"/>
      <c r="Y21" s="341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8"/>
      <c r="Q22" s="1559" t="str">
        <f>B22</f>
        <v>楼层</v>
      </c>
      <c r="R22" s="1560" t="s">
        <v>8</v>
      </c>
      <c r="S22" s="1561">
        <f>F22</f>
        <v>100</v>
      </c>
      <c r="T22" s="1560" t="s">
        <v>8</v>
      </c>
      <c r="U22" s="1561">
        <f>H22</f>
        <v>100</v>
      </c>
      <c r="V22" s="1560" t="s">
        <v>8</v>
      </c>
      <c r="W22" s="1561">
        <f>J22</f>
        <v>100</v>
      </c>
      <c r="X22" s="1554"/>
      <c r="Y22" s="341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8"/>
      <c r="Q23" s="1559">
        <f>B23</f>
        <v>111</v>
      </c>
      <c r="R23" s="1560" t="s">
        <v>8</v>
      </c>
      <c r="S23" s="1561">
        <f>F23</f>
        <v>100</v>
      </c>
      <c r="T23" s="1560" t="s">
        <v>8</v>
      </c>
      <c r="U23" s="1561">
        <f>H23</f>
        <v>100</v>
      </c>
      <c r="V23" s="1560" t="s">
        <v>8</v>
      </c>
      <c r="W23" s="1561">
        <f>J23</f>
        <v>100</v>
      </c>
      <c r="X23" s="1554"/>
      <c r="Y23" s="341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8"/>
      <c r="Q24" s="1559">
        <f t="shared" ref="Q24:Q36" si="11">B24</f>
        <v>111</v>
      </c>
      <c r="R24" s="1560" t="s">
        <v>8</v>
      </c>
      <c r="S24" s="1561">
        <f>F24</f>
        <v>100</v>
      </c>
      <c r="T24" s="1560" t="s">
        <v>8</v>
      </c>
      <c r="U24" s="1561">
        <f>H24</f>
        <v>100</v>
      </c>
      <c r="V24" s="1560" t="s">
        <v>8</v>
      </c>
      <c r="W24" s="1561">
        <f>J24</f>
        <v>100</v>
      </c>
      <c r="X24" s="1554"/>
      <c r="Y24" s="341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8"/>
      <c r="Q25" s="1147">
        <f t="shared" si="11"/>
        <v>111</v>
      </c>
      <c r="R25" s="1555" t="s">
        <v>8</v>
      </c>
      <c r="S25" s="1556">
        <f>F25</f>
        <v>100</v>
      </c>
      <c r="T25" s="1555" t="s">
        <v>8</v>
      </c>
      <c r="U25" s="1556">
        <f>H25</f>
        <v>100</v>
      </c>
      <c r="V25" s="1555" t="s">
        <v>8</v>
      </c>
      <c r="W25" s="1556">
        <f>J25</f>
        <v>100</v>
      </c>
      <c r="X25" s="1557"/>
      <c r="Y25" s="3418"/>
      <c r="Z25" s="1146">
        <f>Q25</f>
        <v>111</v>
      </c>
      <c r="AA25" s="1563">
        <f>D25/F25</f>
        <v>1</v>
      </c>
      <c r="AB25" s="1563">
        <f>D25/H25</f>
        <v>1</v>
      </c>
      <c r="AC25" s="1563">
        <f>D25/J25</f>
        <v>1</v>
      </c>
    </row>
    <row r="26" spans="1:29" ht="15">
      <c r="A26" s="286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9"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0"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0"/>
      <c r="Q27" s="1591" t="str">
        <f t="shared" si="11"/>
        <v>项目停车位配比</v>
      </c>
      <c r="R27" s="1564" t="s">
        <v>8</v>
      </c>
      <c r="S27" s="1565">
        <f t="shared" si="12"/>
        <v>100</v>
      </c>
      <c r="T27" s="1564" t="s">
        <v>8</v>
      </c>
      <c r="U27" s="1565">
        <f t="shared" si="13"/>
        <v>100</v>
      </c>
      <c r="V27" s="1564" t="s">
        <v>8</v>
      </c>
      <c r="W27" s="1565">
        <f t="shared" si="14"/>
        <v>100</v>
      </c>
      <c r="X27" s="1566"/>
      <c r="Y27" s="3420"/>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0"/>
      <c r="Q28" s="1559" t="str">
        <f t="shared" si="11"/>
        <v>公共部分装修</v>
      </c>
      <c r="R28" s="1560" t="s">
        <v>8</v>
      </c>
      <c r="S28" s="1561">
        <f t="shared" si="12"/>
        <v>100</v>
      </c>
      <c r="T28" s="1560" t="s">
        <v>8</v>
      </c>
      <c r="U28" s="1561">
        <f t="shared" si="13"/>
        <v>100</v>
      </c>
      <c r="V28" s="1560" t="s">
        <v>8</v>
      </c>
      <c r="W28" s="1561">
        <f t="shared" si="14"/>
        <v>100</v>
      </c>
      <c r="X28" s="1554"/>
      <c r="Y28" s="3420"/>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0"/>
      <c r="Q29" s="1559" t="str">
        <f t="shared" si="11"/>
        <v>成新率</v>
      </c>
      <c r="R29" s="1560" t="s">
        <v>8</v>
      </c>
      <c r="S29" s="1561" t="e">
        <f t="shared" si="12"/>
        <v>#N/A</v>
      </c>
      <c r="T29" s="1560" t="s">
        <v>8</v>
      </c>
      <c r="U29" s="1561" t="e">
        <f t="shared" si="13"/>
        <v>#N/A</v>
      </c>
      <c r="V29" s="1560" t="s">
        <v>8</v>
      </c>
      <c r="W29" s="1561" t="e">
        <f t="shared" si="14"/>
        <v>#N/A</v>
      </c>
      <c r="X29" s="1554"/>
      <c r="Y29" s="3420"/>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0"/>
      <c r="Q30" s="1559" t="str">
        <f t="shared" si="11"/>
        <v>物业等级</v>
      </c>
      <c r="R30" s="1560" t="s">
        <v>8</v>
      </c>
      <c r="S30" s="1561">
        <f t="shared" si="12"/>
        <v>100</v>
      </c>
      <c r="T30" s="1560" t="s">
        <v>8</v>
      </c>
      <c r="U30" s="1561">
        <f t="shared" si="13"/>
        <v>100</v>
      </c>
      <c r="V30" s="1560" t="s">
        <v>8</v>
      </c>
      <c r="W30" s="1561">
        <f t="shared" si="14"/>
        <v>100</v>
      </c>
      <c r="X30" s="1554"/>
      <c r="Y30" s="3420"/>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0"/>
      <c r="Q31" s="1147" t="str">
        <f t="shared" si="11"/>
        <v>停车位面积</v>
      </c>
      <c r="R31" s="1555" t="s">
        <v>8</v>
      </c>
      <c r="S31" s="1556" t="e">
        <f t="shared" si="12"/>
        <v>#N/A</v>
      </c>
      <c r="T31" s="1555" t="s">
        <v>8</v>
      </c>
      <c r="U31" s="1556" t="e">
        <f t="shared" si="13"/>
        <v>#N/A</v>
      </c>
      <c r="V31" s="1555" t="s">
        <v>8</v>
      </c>
      <c r="W31" s="1556" t="e">
        <f t="shared" si="14"/>
        <v>#N/A</v>
      </c>
      <c r="X31" s="1557"/>
      <c r="Y31" s="3420"/>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0" t="s">
        <v>550</v>
      </c>
      <c r="Q32" s="1559" t="str">
        <f t="shared" si="11"/>
        <v>车位类型</v>
      </c>
      <c r="R32" s="1560" t="s">
        <v>8</v>
      </c>
      <c r="S32" s="1561">
        <f t="shared" si="12"/>
        <v>100</v>
      </c>
      <c r="T32" s="1560" t="s">
        <v>8</v>
      </c>
      <c r="U32" s="1561">
        <f t="shared" si="13"/>
        <v>100</v>
      </c>
      <c r="V32" s="1560" t="s">
        <v>8</v>
      </c>
      <c r="W32" s="1561">
        <f t="shared" si="14"/>
        <v>100</v>
      </c>
      <c r="X32" s="1554"/>
      <c r="Y32" s="3420"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0"/>
      <c r="Q33" s="1559" t="str">
        <f t="shared" si="11"/>
        <v>是否直接入户</v>
      </c>
      <c r="R33" s="1560" t="s">
        <v>8</v>
      </c>
      <c r="S33" s="1561">
        <f t="shared" si="12"/>
        <v>100</v>
      </c>
      <c r="T33" s="1560" t="s">
        <v>8</v>
      </c>
      <c r="U33" s="1561">
        <f t="shared" si="13"/>
        <v>100</v>
      </c>
      <c r="V33" s="1560" t="s">
        <v>8</v>
      </c>
      <c r="W33" s="1561">
        <f t="shared" si="14"/>
        <v>100</v>
      </c>
      <c r="X33" s="1554"/>
      <c r="Y33" s="3420"/>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0"/>
      <c r="Q34" s="1559">
        <f t="shared" si="11"/>
        <v>111</v>
      </c>
      <c r="R34" s="1560" t="s">
        <v>8</v>
      </c>
      <c r="S34" s="1561">
        <f t="shared" si="12"/>
        <v>100</v>
      </c>
      <c r="T34" s="1560" t="s">
        <v>8</v>
      </c>
      <c r="U34" s="1561">
        <f t="shared" si="13"/>
        <v>100</v>
      </c>
      <c r="V34" s="1560" t="s">
        <v>8</v>
      </c>
      <c r="W34" s="1561">
        <f t="shared" si="14"/>
        <v>100</v>
      </c>
      <c r="X34" s="1554"/>
      <c r="Y34" s="3420"/>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0"/>
      <c r="Q35" s="1591">
        <f t="shared" si="11"/>
        <v>111</v>
      </c>
      <c r="R35" s="1564" t="s">
        <v>8</v>
      </c>
      <c r="S35" s="1565">
        <f t="shared" si="12"/>
        <v>100</v>
      </c>
      <c r="T35" s="1564" t="s">
        <v>8</v>
      </c>
      <c r="U35" s="1565">
        <f t="shared" si="13"/>
        <v>100</v>
      </c>
      <c r="V35" s="1564" t="s">
        <v>8</v>
      </c>
      <c r="W35" s="1565">
        <f t="shared" si="14"/>
        <v>100</v>
      </c>
      <c r="X35" s="1566"/>
      <c r="Y35" s="3420"/>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0"/>
      <c r="Q36" s="1559">
        <f t="shared" si="11"/>
        <v>111</v>
      </c>
      <c r="R36" s="1560" t="s">
        <v>8</v>
      </c>
      <c r="S36" s="1561">
        <f t="shared" si="12"/>
        <v>100</v>
      </c>
      <c r="T36" s="1560" t="s">
        <v>8</v>
      </c>
      <c r="U36" s="1561">
        <f t="shared" si="13"/>
        <v>100</v>
      </c>
      <c r="V36" s="1560" t="s">
        <v>8</v>
      </c>
      <c r="W36" s="1561">
        <f t="shared" si="14"/>
        <v>100</v>
      </c>
      <c r="X36" s="1554"/>
      <c r="Y36" s="3420"/>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83" t="str">
        <f>A37</f>
        <v>成交单价</v>
      </c>
      <c r="Q37" s="3383"/>
      <c r="R37" s="3504">
        <f>E37</f>
        <v>0</v>
      </c>
      <c r="S37" s="3504"/>
      <c r="T37" s="3504">
        <f>G37</f>
        <v>0</v>
      </c>
      <c r="U37" s="3504"/>
      <c r="V37" s="3504">
        <f>I37</f>
        <v>0</v>
      </c>
      <c r="W37" s="3504"/>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383" t="str">
        <f>A38</f>
        <v>比较价格（元/平方米）</v>
      </c>
      <c r="Q38" s="338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380" t="str">
        <f>A39</f>
        <v>估价对象XX用房的比较价格（楼面单价，元/平方米）</v>
      </c>
      <c r="Q39" s="3381"/>
      <c r="R39" s="3503" t="e">
        <f>IF(F1="售价",ROUND(AVERAGE(R38:V38),0),ROUND(AVERAGE(R38:V38),1))</f>
        <v>#DIV/0!</v>
      </c>
      <c r="S39" s="3503"/>
      <c r="T39" s="3503"/>
      <c r="U39" s="3503"/>
      <c r="V39" s="3503"/>
      <c r="W39" s="350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估价对象为使用的、位于出让国有建设用地使用权。根据，估价对象（分摊）出让国有建设用地使用权面积为3817平方米。根据，估价对象规划建筑面积为5725平方米。</v>
      </c>
    </row>
    <row r="7" spans="1:4" ht="93.75">
      <c r="A7" s="2829" t="s">
        <v>2746</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9" t="s">
        <v>798</v>
      </c>
      <c r="D4" s="3390"/>
      <c r="E4" s="3423" t="s">
        <v>799</v>
      </c>
      <c r="F4" s="3424"/>
      <c r="G4" s="3389" t="s">
        <v>800</v>
      </c>
      <c r="H4" s="3390"/>
      <c r="I4" s="3389" t="s">
        <v>801</v>
      </c>
      <c r="J4" s="3390"/>
      <c r="K4" s="514" t="s">
        <v>802</v>
      </c>
      <c r="L4" s="2119"/>
      <c r="M4" s="2120"/>
      <c r="N4" s="2120"/>
      <c r="O4" s="2120"/>
      <c r="P4" s="3391" t="s">
        <v>803</v>
      </c>
      <c r="Q4" s="3392"/>
      <c r="R4" s="3397" t="s">
        <v>799</v>
      </c>
      <c r="S4" s="3398"/>
      <c r="T4" s="3397" t="s">
        <v>800</v>
      </c>
      <c r="U4" s="3398"/>
      <c r="V4" s="3384" t="s">
        <v>801</v>
      </c>
      <c r="W4" s="3384"/>
      <c r="X4" s="1554"/>
      <c r="Y4" s="3397" t="s">
        <v>803</v>
      </c>
      <c r="Z4" s="3398"/>
      <c r="AA4" s="3386" t="s">
        <v>799</v>
      </c>
      <c r="AB4" s="3387" t="s">
        <v>800</v>
      </c>
      <c r="AC4" s="3386" t="s">
        <v>801</v>
      </c>
    </row>
    <row r="5" spans="1:29" ht="15">
      <c r="A5" s="515"/>
      <c r="B5" s="516"/>
      <c r="C5" s="3405" t="s">
        <v>2920</v>
      </c>
      <c r="D5" s="3406"/>
      <c r="E5" s="3425" t="s">
        <v>2921</v>
      </c>
      <c r="F5" s="3426"/>
      <c r="G5" s="3405" t="s">
        <v>2922</v>
      </c>
      <c r="H5" s="3406"/>
      <c r="I5" s="3405" t="s">
        <v>2923</v>
      </c>
      <c r="J5" s="3406"/>
      <c r="K5" s="514"/>
      <c r="L5" s="2119"/>
      <c r="M5" s="2120"/>
      <c r="N5" s="2120"/>
      <c r="O5" s="2120"/>
      <c r="P5" s="3393"/>
      <c r="Q5" s="3394"/>
      <c r="R5" s="3399"/>
      <c r="S5" s="3400"/>
      <c r="T5" s="3399"/>
      <c r="U5" s="3400"/>
      <c r="V5" s="3384"/>
      <c r="W5" s="3384"/>
      <c r="X5" s="1554"/>
      <c r="Y5" s="3399"/>
      <c r="Z5" s="3400"/>
      <c r="AA5" s="3387"/>
      <c r="AB5" s="3387"/>
      <c r="AC5" s="3387"/>
    </row>
    <row r="6" spans="1:29" ht="15.75" thickBot="1">
      <c r="A6" s="517"/>
      <c r="B6" s="518"/>
      <c r="C6" s="3403" t="s">
        <v>2924</v>
      </c>
      <c r="D6" s="3404"/>
      <c r="E6" s="3421" t="s">
        <v>2924</v>
      </c>
      <c r="F6" s="3422"/>
      <c r="G6" s="3403" t="s">
        <v>2924</v>
      </c>
      <c r="H6" s="3404"/>
      <c r="I6" s="3403" t="s">
        <v>2924</v>
      </c>
      <c r="J6" s="3404"/>
      <c r="K6" s="514" t="s">
        <v>528</v>
      </c>
      <c r="L6" s="2119"/>
      <c r="M6" s="2120"/>
      <c r="N6" s="2120"/>
      <c r="O6" s="2120"/>
      <c r="P6" s="3395"/>
      <c r="Q6" s="3396"/>
      <c r="R6" s="3399"/>
      <c r="S6" s="3400"/>
      <c r="T6" s="3401"/>
      <c r="U6" s="3402"/>
      <c r="V6" s="3384"/>
      <c r="W6" s="3384"/>
      <c r="X6" s="1554"/>
      <c r="Y6" s="3401"/>
      <c r="Z6" s="3402"/>
      <c r="AA6" s="3388"/>
      <c r="AB6" s="3388"/>
      <c r="AC6" s="3388"/>
    </row>
    <row r="7" spans="1:29" s="1216" customFormat="1" ht="15.75" thickBot="1">
      <c r="A7" s="2868"/>
      <c r="B7" s="2875" t="s">
        <v>529</v>
      </c>
      <c r="C7" s="519">
        <f>'数据-取费表'!B2</f>
        <v>43633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4" t="s">
        <v>530</v>
      </c>
      <c r="Q7" s="3416"/>
      <c r="R7" s="1555" t="s">
        <v>8</v>
      </c>
      <c r="S7" s="1556">
        <f t="shared" ref="S7:S14" si="0">F7</f>
        <v>0</v>
      </c>
      <c r="T7" s="1555" t="s">
        <v>8</v>
      </c>
      <c r="U7" s="1556">
        <f t="shared" ref="U7:U14" si="1">H7</f>
        <v>0</v>
      </c>
      <c r="V7" s="1555" t="s">
        <v>8</v>
      </c>
      <c r="W7" s="1556">
        <f t="shared" ref="W7:W14" si="2">J7</f>
        <v>0</v>
      </c>
      <c r="X7" s="1557"/>
      <c r="Y7" s="3414" t="s">
        <v>530</v>
      </c>
      <c r="Z7" s="341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4" t="s">
        <v>533</v>
      </c>
      <c r="Q8" s="3415"/>
      <c r="R8" s="1555" t="s">
        <v>8</v>
      </c>
      <c r="S8" s="1556">
        <f t="shared" si="0"/>
        <v>0</v>
      </c>
      <c r="T8" s="1555" t="s">
        <v>8</v>
      </c>
      <c r="U8" s="1556">
        <f t="shared" si="1"/>
        <v>0</v>
      </c>
      <c r="V8" s="1555" t="s">
        <v>8</v>
      </c>
      <c r="W8" s="1556">
        <f t="shared" si="2"/>
        <v>0</v>
      </c>
      <c r="X8" s="1557"/>
      <c r="Y8" s="3414" t="s">
        <v>533</v>
      </c>
      <c r="Z8" s="3415"/>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3" t="s">
        <v>535</v>
      </c>
      <c r="Q9" s="1147" t="str">
        <f t="shared" ref="Q9:Q14" si="6">B9</f>
        <v>用途</v>
      </c>
      <c r="R9" s="1555" t="s">
        <v>8</v>
      </c>
      <c r="S9" s="1556">
        <f t="shared" si="0"/>
        <v>100</v>
      </c>
      <c r="T9" s="1555" t="s">
        <v>8</v>
      </c>
      <c r="U9" s="1556">
        <f t="shared" si="1"/>
        <v>100</v>
      </c>
      <c r="V9" s="1555" t="s">
        <v>8</v>
      </c>
      <c r="W9" s="1556">
        <f t="shared" si="2"/>
        <v>100</v>
      </c>
      <c r="X9" s="1557"/>
      <c r="Y9" s="3329"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3"/>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3"/>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3"/>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3"/>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
      <c r="A14" s="2866"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7" t="s">
        <v>540</v>
      </c>
      <c r="Q14" s="1559" t="str">
        <f t="shared" si="6"/>
        <v>交通便捷度</v>
      </c>
      <c r="R14" s="1560" t="s">
        <v>8</v>
      </c>
      <c r="S14" s="1561">
        <f t="shared" si="0"/>
        <v>100</v>
      </c>
      <c r="T14" s="1560" t="s">
        <v>8</v>
      </c>
      <c r="U14" s="1561">
        <f t="shared" si="1"/>
        <v>100</v>
      </c>
      <c r="V14" s="1560" t="s">
        <v>8</v>
      </c>
      <c r="W14" s="1561">
        <f t="shared" si="2"/>
        <v>100</v>
      </c>
      <c r="X14" s="1554"/>
      <c r="Y14" s="341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8"/>
      <c r="Q15" s="1559"/>
      <c r="R15" s="1560"/>
      <c r="S15" s="1561"/>
      <c r="T15" s="1560"/>
      <c r="U15" s="1561"/>
      <c r="V15" s="1560"/>
      <c r="W15" s="1561"/>
      <c r="X15" s="1554"/>
      <c r="Y15" s="3418"/>
      <c r="Z15" s="1562"/>
      <c r="AA15" s="1563">
        <v>1</v>
      </c>
      <c r="AB15" s="1563">
        <v>1</v>
      </c>
      <c r="AC15" s="1563">
        <v>1</v>
      </c>
    </row>
    <row r="16" spans="1:29" ht="15">
      <c r="A16" s="532"/>
      <c r="B16" s="2568"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8"/>
      <c r="Q16" s="1559" t="str">
        <f>B16</f>
        <v>公共配套设施</v>
      </c>
      <c r="R16" s="1560" t="s">
        <v>8</v>
      </c>
      <c r="S16" s="1561">
        <f>F16</f>
        <v>100</v>
      </c>
      <c r="T16" s="1560" t="s">
        <v>8</v>
      </c>
      <c r="U16" s="1561">
        <f>H16</f>
        <v>100</v>
      </c>
      <c r="V16" s="1560" t="s">
        <v>8</v>
      </c>
      <c r="W16" s="1561">
        <f>J16</f>
        <v>100</v>
      </c>
      <c r="X16" s="1554"/>
      <c r="Y16" s="341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8"/>
      <c r="Q17" s="1559"/>
      <c r="R17" s="1560"/>
      <c r="S17" s="1561"/>
      <c r="T17" s="1560"/>
      <c r="U17" s="1561"/>
      <c r="V17" s="1560"/>
      <c r="W17" s="1561"/>
      <c r="X17" s="1554"/>
      <c r="Y17" s="3418"/>
      <c r="Z17" s="1562"/>
      <c r="AA17" s="1563">
        <v>1</v>
      </c>
      <c r="AB17" s="1563">
        <v>1</v>
      </c>
      <c r="AC17" s="1563">
        <v>1</v>
      </c>
    </row>
    <row r="18" spans="1:29" ht="15">
      <c r="A18" s="532"/>
      <c r="B18" s="2556"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8"/>
      <c r="Q18" s="2544" t="str">
        <f>B18</f>
        <v>基础设施水平</v>
      </c>
      <c r="R18" s="1560" t="s">
        <v>8</v>
      </c>
      <c r="S18" s="1561">
        <f>F18</f>
        <v>100</v>
      </c>
      <c r="T18" s="1560" t="s">
        <v>8</v>
      </c>
      <c r="U18" s="1561">
        <f>H18</f>
        <v>100</v>
      </c>
      <c r="V18" s="1560" t="s">
        <v>8</v>
      </c>
      <c r="W18" s="1561">
        <f>J18</f>
        <v>100</v>
      </c>
      <c r="X18" s="2546"/>
      <c r="Y18" s="341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8"/>
      <c r="Q19" s="2544"/>
      <c r="R19" s="1560"/>
      <c r="S19" s="1561"/>
      <c r="T19" s="1560"/>
      <c r="U19" s="1561"/>
      <c r="V19" s="1560"/>
      <c r="W19" s="1561"/>
      <c r="X19" s="2546"/>
      <c r="Y19" s="3418"/>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8"/>
      <c r="Q20" s="1559" t="str">
        <f>B20</f>
        <v>自然及人文环境</v>
      </c>
      <c r="R20" s="1560" t="s">
        <v>8</v>
      </c>
      <c r="S20" s="1561">
        <f>F20</f>
        <v>100</v>
      </c>
      <c r="T20" s="1560" t="s">
        <v>8</v>
      </c>
      <c r="U20" s="1561">
        <f>H20</f>
        <v>100</v>
      </c>
      <c r="V20" s="1560" t="s">
        <v>8</v>
      </c>
      <c r="W20" s="1561">
        <f>J20</f>
        <v>100</v>
      </c>
      <c r="X20" s="1554"/>
      <c r="Y20" s="341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8"/>
      <c r="Q21" s="1559"/>
      <c r="R21" s="1560"/>
      <c r="S21" s="1561"/>
      <c r="T21" s="1560"/>
      <c r="U21" s="1561"/>
      <c r="V21" s="1560"/>
      <c r="W21" s="1561"/>
      <c r="X21" s="1554"/>
      <c r="Y21" s="341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8"/>
      <c r="Q22" s="1559" t="str">
        <f>B22</f>
        <v>楼层</v>
      </c>
      <c r="R22" s="1560" t="s">
        <v>8</v>
      </c>
      <c r="S22" s="1561">
        <f>F22</f>
        <v>100</v>
      </c>
      <c r="T22" s="1560" t="s">
        <v>8</v>
      </c>
      <c r="U22" s="1561">
        <f>H22</f>
        <v>100</v>
      </c>
      <c r="V22" s="1560" t="s">
        <v>8</v>
      </c>
      <c r="W22" s="1561">
        <f>J22</f>
        <v>100</v>
      </c>
      <c r="X22" s="1554"/>
      <c r="Y22" s="341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8"/>
      <c r="Q23" s="1559">
        <f>B23</f>
        <v>111</v>
      </c>
      <c r="R23" s="1560" t="s">
        <v>8</v>
      </c>
      <c r="S23" s="1561">
        <f>F23</f>
        <v>100</v>
      </c>
      <c r="T23" s="1560" t="s">
        <v>8</v>
      </c>
      <c r="U23" s="1561">
        <f>H23</f>
        <v>100</v>
      </c>
      <c r="V23" s="1560" t="s">
        <v>8</v>
      </c>
      <c r="W23" s="1561">
        <f>J23</f>
        <v>100</v>
      </c>
      <c r="X23" s="1554"/>
      <c r="Y23" s="341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8"/>
      <c r="Q24" s="1559">
        <f t="shared" ref="Q24:Q34" si="11">B24</f>
        <v>111</v>
      </c>
      <c r="R24" s="1560" t="s">
        <v>8</v>
      </c>
      <c r="S24" s="1561">
        <f>F24</f>
        <v>100</v>
      </c>
      <c r="T24" s="1560" t="s">
        <v>8</v>
      </c>
      <c r="U24" s="1561">
        <f>H24</f>
        <v>100</v>
      </c>
      <c r="V24" s="1560" t="s">
        <v>8</v>
      </c>
      <c r="W24" s="1561">
        <f>J24</f>
        <v>100</v>
      </c>
      <c r="X24" s="1554"/>
      <c r="Y24" s="341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8"/>
      <c r="Q25" s="1147">
        <f t="shared" si="11"/>
        <v>111</v>
      </c>
      <c r="R25" s="1555" t="s">
        <v>8</v>
      </c>
      <c r="S25" s="1556">
        <f>F25</f>
        <v>100</v>
      </c>
      <c r="T25" s="1555" t="s">
        <v>8</v>
      </c>
      <c r="U25" s="1556">
        <f>H25</f>
        <v>100</v>
      </c>
      <c r="V25" s="1555" t="s">
        <v>8</v>
      </c>
      <c r="W25" s="1556">
        <f>J25</f>
        <v>100</v>
      </c>
      <c r="X25" s="1557"/>
      <c r="Y25" s="3418"/>
      <c r="Z25" s="1146">
        <f>Q25</f>
        <v>111</v>
      </c>
      <c r="AA25" s="1563">
        <f>D25/F25</f>
        <v>1</v>
      </c>
      <c r="AB25" s="1563">
        <f>D25/H25</f>
        <v>1</v>
      </c>
      <c r="AC25" s="1563">
        <f>D25/J25</f>
        <v>1</v>
      </c>
    </row>
    <row r="26" spans="1:29" ht="15">
      <c r="A26" s="286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9"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0"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0"/>
      <c r="Q27" s="1591" t="str">
        <f t="shared" si="11"/>
        <v>成新率</v>
      </c>
      <c r="R27" s="1564" t="s">
        <v>8</v>
      </c>
      <c r="S27" s="1565" t="e">
        <f t="shared" si="12"/>
        <v>#N/A</v>
      </c>
      <c r="T27" s="1564" t="s">
        <v>8</v>
      </c>
      <c r="U27" s="1565" t="e">
        <f t="shared" si="13"/>
        <v>#N/A</v>
      </c>
      <c r="V27" s="1564" t="s">
        <v>8</v>
      </c>
      <c r="W27" s="1565" t="e">
        <f t="shared" si="14"/>
        <v>#N/A</v>
      </c>
      <c r="X27" s="1566"/>
      <c r="Y27" s="3420"/>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0"/>
      <c r="Q28" s="1559" t="str">
        <f t="shared" si="11"/>
        <v>物业等级</v>
      </c>
      <c r="R28" s="1560" t="s">
        <v>8</v>
      </c>
      <c r="S28" s="1561">
        <f t="shared" si="12"/>
        <v>100</v>
      </c>
      <c r="T28" s="1560" t="s">
        <v>8</v>
      </c>
      <c r="U28" s="1561">
        <f t="shared" si="13"/>
        <v>100</v>
      </c>
      <c r="V28" s="1560" t="s">
        <v>8</v>
      </c>
      <c r="W28" s="1561">
        <f t="shared" si="14"/>
        <v>100</v>
      </c>
      <c r="X28" s="1554"/>
      <c r="Y28" s="3420"/>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0"/>
      <c r="Q29" s="1559" t="str">
        <f t="shared" si="11"/>
        <v>有无电梯</v>
      </c>
      <c r="R29" s="1560" t="s">
        <v>8</v>
      </c>
      <c r="S29" s="1561">
        <f t="shared" si="12"/>
        <v>100</v>
      </c>
      <c r="T29" s="1560" t="s">
        <v>8</v>
      </c>
      <c r="U29" s="1561">
        <f t="shared" si="13"/>
        <v>100</v>
      </c>
      <c r="V29" s="1560" t="s">
        <v>8</v>
      </c>
      <c r="W29" s="1561">
        <f t="shared" si="14"/>
        <v>100</v>
      </c>
      <c r="X29" s="1554"/>
      <c r="Y29" s="3420"/>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0"/>
      <c r="Q30" s="1559" t="str">
        <f t="shared" si="11"/>
        <v>建筑面积</v>
      </c>
      <c r="R30" s="1560" t="s">
        <v>8</v>
      </c>
      <c r="S30" s="1561" t="e">
        <f t="shared" si="12"/>
        <v>#N/A</v>
      </c>
      <c r="T30" s="1560" t="s">
        <v>8</v>
      </c>
      <c r="U30" s="1561" t="e">
        <f t="shared" si="13"/>
        <v>#N/A</v>
      </c>
      <c r="V30" s="1560" t="s">
        <v>8</v>
      </c>
      <c r="W30" s="1561" t="e">
        <f t="shared" si="14"/>
        <v>#N/A</v>
      </c>
      <c r="X30" s="1554"/>
      <c r="Y30" s="3420"/>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0"/>
      <c r="Q31" s="1147" t="str">
        <f t="shared" si="11"/>
        <v>是否封闭</v>
      </c>
      <c r="R31" s="1555" t="s">
        <v>8</v>
      </c>
      <c r="S31" s="1556">
        <f t="shared" si="12"/>
        <v>100</v>
      </c>
      <c r="T31" s="1555" t="s">
        <v>8</v>
      </c>
      <c r="U31" s="1556">
        <f t="shared" si="13"/>
        <v>100</v>
      </c>
      <c r="V31" s="1555" t="s">
        <v>8</v>
      </c>
      <c r="W31" s="1556">
        <f t="shared" si="14"/>
        <v>100</v>
      </c>
      <c r="X31" s="1557"/>
      <c r="Y31" s="3420"/>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0" t="s">
        <v>550</v>
      </c>
      <c r="Q32" s="1559">
        <f t="shared" si="11"/>
        <v>111</v>
      </c>
      <c r="R32" s="1560" t="s">
        <v>8</v>
      </c>
      <c r="S32" s="1561">
        <f t="shared" si="12"/>
        <v>100</v>
      </c>
      <c r="T32" s="1560" t="s">
        <v>8</v>
      </c>
      <c r="U32" s="1561">
        <f t="shared" si="13"/>
        <v>100</v>
      </c>
      <c r="V32" s="1560" t="s">
        <v>8</v>
      </c>
      <c r="W32" s="1561">
        <f t="shared" si="14"/>
        <v>100</v>
      </c>
      <c r="X32" s="1554"/>
      <c r="Y32" s="3420"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0"/>
      <c r="Q33" s="1559">
        <f t="shared" si="11"/>
        <v>111</v>
      </c>
      <c r="R33" s="1560" t="s">
        <v>8</v>
      </c>
      <c r="S33" s="1561">
        <f t="shared" si="12"/>
        <v>100</v>
      </c>
      <c r="T33" s="1560" t="s">
        <v>8</v>
      </c>
      <c r="U33" s="1561">
        <f t="shared" si="13"/>
        <v>100</v>
      </c>
      <c r="V33" s="1560" t="s">
        <v>8</v>
      </c>
      <c r="W33" s="1561">
        <f t="shared" si="14"/>
        <v>100</v>
      </c>
      <c r="X33" s="1554"/>
      <c r="Y33" s="3420"/>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0"/>
      <c r="Q34" s="1559">
        <f t="shared" si="11"/>
        <v>111</v>
      </c>
      <c r="R34" s="1560" t="s">
        <v>8</v>
      </c>
      <c r="S34" s="1561">
        <f t="shared" si="12"/>
        <v>100</v>
      </c>
      <c r="T34" s="1560" t="s">
        <v>8</v>
      </c>
      <c r="U34" s="1561">
        <f t="shared" si="13"/>
        <v>100</v>
      </c>
      <c r="V34" s="1560" t="s">
        <v>8</v>
      </c>
      <c r="W34" s="1561">
        <f t="shared" si="14"/>
        <v>100</v>
      </c>
      <c r="X34" s="1554"/>
      <c r="Y34" s="3420"/>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3" t="str">
        <f>A35</f>
        <v>成交单价（元/平方米）</v>
      </c>
      <c r="Q35" s="3383"/>
      <c r="R35" s="3504">
        <f>E35</f>
        <v>0</v>
      </c>
      <c r="S35" s="3504"/>
      <c r="T35" s="3504">
        <f>G35</f>
        <v>0</v>
      </c>
      <c r="U35" s="3504"/>
      <c r="V35" s="3504">
        <f>I35</f>
        <v>0</v>
      </c>
      <c r="W35" s="3504"/>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383" t="str">
        <f>A36</f>
        <v>比较价格（元/平方米）</v>
      </c>
      <c r="Q36" s="338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380" t="str">
        <f>A37</f>
        <v>估价对象XX用房的比较价格（楼面单价，元/平方米）</v>
      </c>
      <c r="Q37" s="3381"/>
      <c r="R37" s="3503" t="e">
        <f>IF(F1="售价",ROUND(AVERAGE(R36:V36),0),ROUND(AVERAGE(R36:V36),1))</f>
        <v>#DIV/0!</v>
      </c>
      <c r="S37" s="3503"/>
      <c r="T37" s="3503"/>
      <c r="U37" s="3503"/>
      <c r="V37" s="3503"/>
      <c r="W37" s="350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13" t="s">
        <v>2303</v>
      </c>
      <c r="D1" s="3514"/>
      <c r="E1" s="3514"/>
      <c r="F1" s="3514"/>
      <c r="G1" s="3514"/>
      <c r="H1" s="3514"/>
      <c r="I1" s="3514"/>
      <c r="J1" s="3514"/>
      <c r="K1" s="3514"/>
      <c r="L1" s="3514"/>
      <c r="M1" s="3514"/>
      <c r="N1" s="3514"/>
      <c r="O1" s="3514"/>
      <c r="P1" s="3514"/>
      <c r="Q1" s="3514"/>
      <c r="R1" s="3514"/>
      <c r="S1" s="3515"/>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2919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2918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2917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2916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2915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43633</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1</v>
      </c>
      <c r="D2" s="2956" t="s">
        <v>2787</v>
      </c>
      <c r="E2" s="2959">
        <f ca="1">INDIRECT("I"&amp;$I$1)/100</f>
        <v>4.3499999999999997E-2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93" t="s">
        <v>2039</v>
      </c>
      <c r="B2" s="1793"/>
      <c r="C2" s="1793"/>
      <c r="D2" s="1793"/>
      <c r="E2" s="1793"/>
      <c r="F2" s="1793"/>
      <c r="G2" s="1793"/>
      <c r="H2" s="1793"/>
      <c r="I2" s="1794"/>
      <c r="J2" s="1794"/>
      <c r="K2" s="1795" t="str">
        <f>"估价期日："&amp;TEXT(项目基本情况!D3,"yyyy年m月d日;;")</f>
        <v>估价期日：2019年6月17日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0" t="s">
        <v>2028</v>
      </c>
      <c r="B3" s="3220" t="s">
        <v>2729</v>
      </c>
      <c r="C3" s="3221" t="s">
        <v>2029</v>
      </c>
      <c r="D3" s="3220" t="s">
        <v>2733</v>
      </c>
      <c r="E3" s="3223" t="s">
        <v>2030</v>
      </c>
      <c r="F3" s="3223"/>
      <c r="G3" s="3223"/>
      <c r="H3" s="3223" t="s">
        <v>2031</v>
      </c>
      <c r="I3" s="3223"/>
      <c r="J3" s="3223"/>
      <c r="K3" s="3221" t="s">
        <v>2032</v>
      </c>
      <c r="L3" s="3221" t="s">
        <v>2033</v>
      </c>
      <c r="M3" s="3220" t="s">
        <v>2730</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14" t="s">
        <v>2041</v>
      </c>
      <c r="F4" s="2614" t="s">
        <v>2742</v>
      </c>
      <c r="G4" s="2614" t="s">
        <v>2035</v>
      </c>
      <c r="H4" s="2614" t="s">
        <v>2036</v>
      </c>
      <c r="I4" s="2614" t="s">
        <v>2743</v>
      </c>
      <c r="J4" s="2614" t="s">
        <v>2035</v>
      </c>
      <c r="K4" s="3221"/>
      <c r="L4" s="3221"/>
      <c r="M4" s="3220"/>
      <c r="N4" s="3222"/>
      <c r="O4" s="3220"/>
      <c r="P4" s="3221"/>
      <c r="Q4" s="3221"/>
      <c r="R4" s="3221"/>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3817</v>
      </c>
      <c r="O5" s="1796">
        <f>项目基本情况!C21</f>
        <v>5725</v>
      </c>
      <c r="P5" s="1796">
        <f ca="1">结果表!E42</f>
        <v>1975</v>
      </c>
      <c r="Q5" s="1796">
        <f ca="1">结果表!D42</f>
        <v>1317</v>
      </c>
      <c r="R5" s="1797">
        <f ca="1">结果表!C42</f>
        <v>754</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8">
        <f ca="1">结果表!O39</f>
        <v>754</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8" t="str">
        <f>结果表!O40</f>
        <v>——</v>
      </c>
    </row>
    <row r="8" spans="1:18">
      <c r="A8" s="3216" t="str">
        <f>IF(项目基本情况!B9="市场价格","——",项目基本情况!E9)</f>
        <v>抵押净值</v>
      </c>
      <c r="B8" s="3217"/>
      <c r="C8" s="3217"/>
      <c r="D8" s="3217"/>
      <c r="E8" s="3217"/>
      <c r="F8" s="3217"/>
      <c r="G8" s="3217"/>
      <c r="H8" s="3217"/>
      <c r="I8" s="3217"/>
      <c r="J8" s="3217"/>
      <c r="K8" s="3217"/>
      <c r="L8" s="3217"/>
      <c r="M8" s="3217"/>
      <c r="N8" s="3217"/>
      <c r="O8" s="3217"/>
      <c r="P8" s="3217"/>
      <c r="Q8" s="3218"/>
      <c r="R8" s="1798">
        <f ca="1">结果表!O41</f>
        <v>626</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5" t="s">
        <v>2064</v>
      </c>
      <c r="B1" s="3225"/>
      <c r="C1" s="3225"/>
      <c r="D1" s="3225"/>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v>
      </c>
      <c r="B4" s="3225"/>
      <c r="C4" s="3225"/>
      <c r="D4" s="3225"/>
    </row>
    <row r="5" spans="1:4">
      <c r="A5" s="3224" t="s">
        <v>2065</v>
      </c>
      <c r="B5" s="3224"/>
      <c r="C5" s="3224"/>
      <c r="D5" s="3224"/>
    </row>
    <row r="6" spans="1:4">
      <c r="A6" s="3225" t="s">
        <v>2043</v>
      </c>
      <c r="B6" s="3225"/>
      <c r="C6" s="3225"/>
      <c r="D6" s="3225"/>
    </row>
    <row r="7" spans="1:4" ht="33" customHeight="1">
      <c r="A7" s="3225" t="s">
        <v>2573</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4" t="s">
        <v>2067</v>
      </c>
      <c r="B12" s="3224"/>
      <c r="C12" s="3224"/>
      <c r="D12" s="3224"/>
    </row>
    <row r="13" spans="1:4">
      <c r="A13" s="3228" t="s">
        <v>2744</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2700</v>
      </c>
      <c r="B17" s="3225"/>
      <c r="C17" s="3225"/>
      <c r="D17" s="3225"/>
    </row>
    <row r="18" spans="1:4">
      <c r="A18" s="3225" t="s">
        <v>2692</v>
      </c>
      <c r="B18" s="3225"/>
      <c r="C18" s="3225"/>
      <c r="D18" s="3225"/>
    </row>
    <row r="19" spans="1:4">
      <c r="A19" s="2824" t="s">
        <v>2693</v>
      </c>
      <c r="B19" s="2824" t="s">
        <v>2694</v>
      </c>
      <c r="C19" s="2824" t="s">
        <v>2695</v>
      </c>
      <c r="D19" s="2824" t="s">
        <v>2696</v>
      </c>
    </row>
    <row r="20" spans="1:4">
      <c r="A20" s="2824" t="str">
        <f>项目基本情况!B4</f>
        <v>郑燚</v>
      </c>
      <c r="B20" s="2824">
        <f ca="1">项目基本情况!C4</f>
        <v>2014110011</v>
      </c>
      <c r="C20" s="2826"/>
      <c r="D20" s="1786" t="s">
        <v>2701</v>
      </c>
    </row>
    <row r="21" spans="1:4">
      <c r="A21" s="2824" t="str">
        <f>项目基本情况!D4</f>
        <v>吴薇</v>
      </c>
      <c r="B21" s="2824">
        <f ca="1">项目基本情况!E4</f>
        <v>2002110125</v>
      </c>
      <c r="C21" s="2826"/>
      <c r="D21" s="1786" t="s">
        <v>2702</v>
      </c>
    </row>
    <row r="23" spans="1:4">
      <c r="A23" s="3225" t="s">
        <v>2697</v>
      </c>
      <c r="B23" s="3225"/>
      <c r="C23" s="3225"/>
      <c r="D23" s="3225"/>
    </row>
    <row r="24" spans="1:4">
      <c r="A24" s="2824" t="s">
        <v>2693</v>
      </c>
      <c r="B24" s="2824" t="s">
        <v>2698</v>
      </c>
      <c r="C24" s="2824" t="s">
        <v>2695</v>
      </c>
      <c r="D24" s="2824" t="s">
        <v>2696</v>
      </c>
    </row>
    <row r="25" spans="1:4">
      <c r="A25" s="2827" t="s">
        <v>2699</v>
      </c>
      <c r="B25" s="2824" t="s">
        <v>952</v>
      </c>
      <c r="C25" s="2826"/>
      <c r="D25" s="1786" t="s">
        <v>2702</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6" t="s">
        <v>53</v>
      </c>
      <c r="B15" s="3237" t="s">
        <v>846</v>
      </c>
      <c r="C15" s="3233"/>
    </row>
    <row r="16" spans="1:7" ht="14.25">
      <c r="A16" s="3236"/>
      <c r="B16" s="3234" t="s">
        <v>54</v>
      </c>
      <c r="C16" s="1168" t="s">
        <v>53</v>
      </c>
    </row>
    <row r="17" spans="1:3" ht="14.25">
      <c r="A17" s="3236"/>
      <c r="B17" s="3234"/>
      <c r="C17" s="1168" t="s">
        <v>55</v>
      </c>
    </row>
    <row r="18" spans="1:3" ht="14.25">
      <c r="A18" s="3236"/>
      <c r="B18" s="3234"/>
      <c r="C18" s="1168" t="s">
        <v>56</v>
      </c>
    </row>
    <row r="19" spans="1:3" ht="14.25">
      <c r="A19" s="3236"/>
      <c r="B19" s="3232" t="s">
        <v>57</v>
      </c>
      <c r="C19" s="3233"/>
    </row>
    <row r="20" spans="1:3" ht="14.25">
      <c r="A20" s="1169" t="s">
        <v>58</v>
      </c>
      <c r="B20" s="1170"/>
      <c r="C20" s="1171"/>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2" t="s">
        <v>837</v>
      </c>
    </row>
    <row r="25" spans="1:3" ht="14.25">
      <c r="A25" s="3235"/>
      <c r="B25" s="3239"/>
      <c r="C25" s="1172" t="s">
        <v>838</v>
      </c>
    </row>
    <row r="26" spans="1:3" ht="14.25">
      <c r="A26" s="3235"/>
      <c r="B26" s="3239"/>
      <c r="C26" s="1172" t="s">
        <v>839</v>
      </c>
    </row>
    <row r="27" spans="1:3" ht="14.25">
      <c r="A27" s="3235"/>
      <c r="B27" s="3239"/>
      <c r="C27" s="1172" t="s">
        <v>840</v>
      </c>
    </row>
    <row r="28" spans="1:3" ht="14.25">
      <c r="A28" s="3235"/>
      <c r="B28" s="3239"/>
      <c r="C28" s="1172" t="s">
        <v>841</v>
      </c>
    </row>
    <row r="29" spans="1:3" ht="14.25">
      <c r="A29" s="3235"/>
      <c r="B29" s="3239"/>
      <c r="C29" s="1172" t="s">
        <v>842</v>
      </c>
    </row>
    <row r="30" spans="1:3" ht="14.25">
      <c r="A30" s="3235"/>
      <c r="B30" s="3239"/>
      <c r="C30" s="1172" t="s">
        <v>843</v>
      </c>
    </row>
    <row r="31" spans="1:3" ht="14.25">
      <c r="A31" s="3235"/>
      <c r="B31" s="3239"/>
      <c r="C31" s="1172" t="s">
        <v>844</v>
      </c>
    </row>
    <row r="32" spans="1:3" ht="14.25">
      <c r="A32" s="3235"/>
      <c r="B32" s="3239"/>
      <c r="C32" s="1172" t="s">
        <v>1646</v>
      </c>
    </row>
    <row r="33" spans="1:3" ht="14.25">
      <c r="A33" s="3235"/>
      <c r="B33" s="3229" t="s">
        <v>1652</v>
      </c>
      <c r="C33" s="1172" t="s">
        <v>1647</v>
      </c>
    </row>
    <row r="34" spans="1:3" ht="14.25">
      <c r="A34" s="3235"/>
      <c r="B34" s="3230"/>
      <c r="C34" s="1177" t="s">
        <v>1648</v>
      </c>
    </row>
    <row r="35" spans="1:3" ht="14.25">
      <c r="A35" s="3235"/>
      <c r="B35" s="3230"/>
      <c r="C35" s="1178" t="s">
        <v>1649</v>
      </c>
    </row>
    <row r="36" spans="1:3" ht="14.25">
      <c r="A36" s="3235"/>
      <c r="B36" s="3230"/>
      <c r="C36" s="1178" t="s">
        <v>1650</v>
      </c>
    </row>
    <row r="37" spans="1:3" ht="14.25">
      <c r="A37" s="3235"/>
      <c r="B37" s="323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43651</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2972</v>
      </c>
      <c r="B14" s="3132">
        <f ca="1">IF(C14&lt;B2,"已过期",1120040230)</f>
        <v>1120040230</v>
      </c>
      <c r="C14" s="3136">
        <v>43835</v>
      </c>
      <c r="D14" s="3137" t="s">
        <v>2973</v>
      </c>
      <c r="E14" s="3132">
        <f ca="1">IF(F14&lt;B2,"已过期",98030020)</f>
        <v>98030020</v>
      </c>
      <c r="F14" s="3135">
        <v>47118</v>
      </c>
    </row>
    <row r="15" spans="1:6" ht="20.25" customHeight="1">
      <c r="A15" s="3132" t="s">
        <v>2572</v>
      </c>
      <c r="B15" s="3132">
        <f ca="1">IF(C15&lt;B2,"已过期",1120070085)</f>
        <v>1120070085</v>
      </c>
      <c r="C15" s="3136">
        <v>43814</v>
      </c>
      <c r="D15" s="3132" t="s">
        <v>2974</v>
      </c>
      <c r="E15" s="3132">
        <f ca="1">IF(F15&lt;B2,"已过期",2004110128)</f>
        <v>2004110128</v>
      </c>
      <c r="F15" s="3138">
        <v>47118</v>
      </c>
    </row>
    <row r="16" spans="1:6" ht="20.25" customHeight="1">
      <c r="A16" s="3132" t="s">
        <v>1923</v>
      </c>
      <c r="B16" s="3132">
        <f ca="1">IF(C16&lt;B2,"已过期",1120140022)</f>
        <v>1120140022</v>
      </c>
      <c r="C16" s="3134">
        <v>44029</v>
      </c>
      <c r="D16" s="3132" t="s">
        <v>2975</v>
      </c>
      <c r="E16" s="3132">
        <f ca="1">IF(F16&lt;B2,"已过期",2008110059)</f>
        <v>2008110059</v>
      </c>
      <c r="F16" s="3135">
        <v>47177</v>
      </c>
    </row>
    <row r="17" spans="1:7" ht="20.25" customHeight="1">
      <c r="A17" s="3132"/>
      <c r="B17" s="3132"/>
      <c r="C17" s="3134"/>
      <c r="D17" s="3137" t="s">
        <v>2976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40" t="s">
        <v>1926</v>
      </c>
      <c r="B25" s="3240"/>
      <c r="C25" s="3240"/>
      <c r="D25" s="3240"/>
      <c r="E25" s="3240"/>
      <c r="F25" s="3240"/>
      <c r="G25" s="3240"/>
    </row>
    <row r="26" spans="1:7" ht="20.25" customHeight="1">
      <c r="A26" s="3241" t="s">
        <v>1927</v>
      </c>
      <c r="B26" s="3241"/>
      <c r="C26" s="3241"/>
      <c r="D26" s="3241" t="s">
        <v>1928</v>
      </c>
      <c r="E26" s="3241"/>
      <c r="F26" s="3241"/>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2934</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2946</v>
      </c>
      <c r="C18" s="1541"/>
    </row>
    <row r="19" spans="1:3">
      <c r="A19" s="8" t="s">
        <v>120</v>
      </c>
      <c r="B19" s="3064"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2"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c r="D53" s="1753"/>
      <c r="E53" s="1753"/>
    </row>
    <row r="54" spans="1:5">
      <c r="A54" s="3242"/>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2"/>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2"/>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2"/>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土地证信息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土地证信息!Print_Area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2019-06-14T03:25:49Z</cp:lastPrinted>
  <dcterms:created xsi:type="dcterms:W3CDTF">2015-07-13T07:17:23Z</dcterms:created>
  <dcterms:modified xsi:type="dcterms:W3CDTF">2019-07-05T03:16:15Z</dcterms:modified>
</cp:coreProperties>
</file>