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7" r:id="rId23"/>
    <sheet name="收益法（汇总）" sheetId="70" r:id="rId24"/>
    <sheet name="收益法-主楼" sheetId="15" r:id="rId25"/>
    <sheet name="收益法 (元)" sheetId="67" state="hidden" r:id="rId26"/>
    <sheet name="收益法别墅" sheetId="79" state="hidden" r:id="rId27"/>
    <sheet name="收益法-别墅" sheetId="80" r:id="rId28"/>
    <sheet name="收益法三期" sheetId="78"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6">收益法别墅!$A$1:$AK$69</definedName>
    <definedName name="_xlnm.Print_Area" localSheetId="27">'收益法-别墅'!$A$1:$AK$69</definedName>
    <definedName name="_xlnm.Print_Area" localSheetId="28">收益法三期!$A$1:$AK$69</definedName>
    <definedName name="_xlnm.Print_Area" localSheetId="24">'收益法-主楼'!$A$1:$AK$69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 i="9" l="1"/>
  <c r="D12" i="9"/>
  <c r="C12" i="9"/>
  <c r="C10" i="9"/>
  <c r="D8" i="9"/>
  <c r="B21" i="1" l="1"/>
  <c r="H6" i="1"/>
  <c r="A81" i="77"/>
  <c r="A80" i="77"/>
  <c r="AL7" i="1"/>
  <c r="AL8" i="1" s="1"/>
  <c r="AM7" i="1"/>
  <c r="AM8" i="1" s="1"/>
  <c r="AK7" i="1"/>
  <c r="AK8" i="1" s="1"/>
  <c r="M28" i="66"/>
  <c r="M29" i="66" s="1"/>
  <c r="C27" i="66" s="1"/>
  <c r="I38" i="39"/>
  <c r="G38" i="39"/>
  <c r="E38" i="39"/>
  <c r="I46" i="39"/>
  <c r="G46" i="39"/>
  <c r="E46" i="39"/>
  <c r="I7" i="39"/>
  <c r="G7" i="39"/>
  <c r="E7" i="39"/>
  <c r="I5" i="39"/>
  <c r="G5" i="39"/>
  <c r="E5" i="39"/>
  <c r="AD20" i="1"/>
  <c r="AD8" i="1" s="1"/>
  <c r="Q72" i="80"/>
  <c r="Q59" i="80"/>
  <c r="K59" i="80"/>
  <c r="P74" i="80" s="1"/>
  <c r="Q58" i="80"/>
  <c r="Q51" i="80"/>
  <c r="J50" i="80"/>
  <c r="M47" i="80"/>
  <c r="D46" i="80"/>
  <c r="F33" i="80"/>
  <c r="F61" i="80" s="1"/>
  <c r="F23" i="80"/>
  <c r="D23" i="80" s="1"/>
  <c r="F21" i="80"/>
  <c r="F20" i="80"/>
  <c r="M19" i="80"/>
  <c r="F18" i="80"/>
  <c r="F17" i="80"/>
  <c r="F15" i="80"/>
  <c r="Q72" i="79"/>
  <c r="Q59" i="79"/>
  <c r="K59" i="79"/>
  <c r="P74" i="79" s="1"/>
  <c r="Q58" i="79"/>
  <c r="Q51" i="79"/>
  <c r="J50" i="79"/>
  <c r="J49" i="79"/>
  <c r="M47" i="79"/>
  <c r="D46" i="79"/>
  <c r="F33" i="79"/>
  <c r="F61" i="79" s="1"/>
  <c r="F23" i="79"/>
  <c r="D23" i="79" s="1"/>
  <c r="F21" i="79"/>
  <c r="F20" i="79"/>
  <c r="M19" i="79"/>
  <c r="F18" i="79"/>
  <c r="F17" i="79"/>
  <c r="F15" i="79"/>
  <c r="AA8" i="1"/>
  <c r="V8" i="1"/>
  <c r="L7" i="1"/>
  <c r="D22" i="80"/>
  <c r="P61" i="80"/>
  <c r="P61" i="79"/>
  <c r="O18" i="1"/>
  <c r="O20" i="1" s="1"/>
  <c r="N6" i="1" s="1"/>
  <c r="J49" i="78"/>
  <c r="V7" i="1"/>
  <c r="G27" i="77"/>
  <c r="G18" i="77"/>
  <c r="G14" i="77"/>
  <c r="G9" i="77"/>
  <c r="Q7" i="1"/>
  <c r="Q8" i="1" s="1"/>
  <c r="Q72" i="78"/>
  <c r="Q59" i="78"/>
  <c r="K59" i="78"/>
  <c r="P61" i="78" s="1"/>
  <c r="Q58" i="78"/>
  <c r="Q51" i="78"/>
  <c r="J50" i="78"/>
  <c r="M47" i="78"/>
  <c r="D46" i="78"/>
  <c r="F33" i="78"/>
  <c r="F61" i="78" s="1"/>
  <c r="F23" i="78"/>
  <c r="D24" i="78" s="1"/>
  <c r="F21" i="78"/>
  <c r="F20" i="78"/>
  <c r="M19" i="78"/>
  <c r="F18" i="78"/>
  <c r="F17" i="78"/>
  <c r="F15" i="78"/>
  <c r="D23" i="78"/>
  <c r="P74" i="78"/>
  <c r="I7" i="1"/>
  <c r="H7" i="1" s="1"/>
  <c r="J7" i="1"/>
  <c r="J8" i="1" s="1"/>
  <c r="I17" i="3"/>
  <c r="I18" i="3"/>
  <c r="C18" i="3"/>
  <c r="C17" i="3"/>
  <c r="C16" i="3"/>
  <c r="C15" i="3"/>
  <c r="C14" i="3"/>
  <c r="C13" i="3"/>
  <c r="H27" i="77"/>
  <c r="H18" i="77"/>
  <c r="I15" i="3" s="1"/>
  <c r="H14" i="77"/>
  <c r="I14" i="3" s="1"/>
  <c r="H9" i="77"/>
  <c r="I13" i="3"/>
  <c r="F19" i="6" s="1"/>
  <c r="F21" i="6"/>
  <c r="B27" i="9" s="1"/>
  <c r="D27" i="9" s="1"/>
  <c r="I5" i="71"/>
  <c r="I4" i="71" s="1"/>
  <c r="L5" i="71"/>
  <c r="L4" i="71" s="1"/>
  <c r="K5" i="71"/>
  <c r="J5" i="71"/>
  <c r="O5" i="71" s="1"/>
  <c r="P5" i="71"/>
  <c r="K4" i="71"/>
  <c r="P4" i="71" s="1"/>
  <c r="AA3" i="71" s="1"/>
  <c r="Q5"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D5" i="71"/>
  <c r="AE5" i="71"/>
  <c r="AF5" i="71" s="1"/>
  <c r="AG5" i="7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F46" i="71" s="1"/>
  <c r="Q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B23" i="71" s="1"/>
  <c r="B24" i="71" s="1"/>
  <c r="S24" i="71" s="1"/>
  <c r="D21" i="71"/>
  <c r="Q20" i="71"/>
  <c r="P20" i="71"/>
  <c r="O20" i="71"/>
  <c r="N20" i="71"/>
  <c r="Q19" i="71"/>
  <c r="AB19" i="71" s="1"/>
  <c r="P19" i="71"/>
  <c r="AA19" i="71" s="1"/>
  <c r="O19" i="71"/>
  <c r="Y19" i="71" s="1"/>
  <c r="Z19" i="71" s="1"/>
  <c r="N19" i="71"/>
  <c r="X19" i="71" s="1"/>
  <c r="Q18" i="71"/>
  <c r="AB18" i="71" s="1"/>
  <c r="P18" i="71"/>
  <c r="AA18" i="71" s="1"/>
  <c r="O18" i="71"/>
  <c r="Y18" i="71" s="1"/>
  <c r="Z18" i="71" s="1"/>
  <c r="N18" i="71"/>
  <c r="Q17" i="71"/>
  <c r="F18" i="71" s="1"/>
  <c r="P17" i="71"/>
  <c r="O17" i="71"/>
  <c r="N17" i="71"/>
  <c r="B18" i="71" s="1"/>
  <c r="B19" i="71" s="1"/>
  <c r="D17" i="71"/>
  <c r="Q16" i="71"/>
  <c r="P16" i="71"/>
  <c r="O16" i="71"/>
  <c r="Y16" i="71" s="1"/>
  <c r="Z16" i="71" s="1"/>
  <c r="N16" i="71"/>
  <c r="Q15" i="71"/>
  <c r="P15" i="71"/>
  <c r="O15" i="71"/>
  <c r="N15" i="71"/>
  <c r="X13" i="71" s="1"/>
  <c r="Q14" i="71"/>
  <c r="P14" i="71"/>
  <c r="AA14" i="71" s="1"/>
  <c r="O14" i="71"/>
  <c r="Y14" i="71"/>
  <c r="Z14" i="71" s="1"/>
  <c r="N14" i="71"/>
  <c r="Q13" i="71"/>
  <c r="F14" i="71" s="1"/>
  <c r="F15" i="71" s="1"/>
  <c r="F16" i="71" s="1"/>
  <c r="V16" i="71" s="1"/>
  <c r="P13" i="71"/>
  <c r="O13" i="71"/>
  <c r="N13" i="71"/>
  <c r="D13" i="71"/>
  <c r="Q12" i="71"/>
  <c r="P12" i="71"/>
  <c r="AA10" i="71" s="1"/>
  <c r="O12" i="71"/>
  <c r="Y12" i="71"/>
  <c r="Z12" i="71" s="1"/>
  <c r="N12" i="71"/>
  <c r="Q11" i="71"/>
  <c r="AB11" i="71" s="1"/>
  <c r="P11" i="71"/>
  <c r="O11" i="71"/>
  <c r="N11" i="71"/>
  <c r="Q10" i="71"/>
  <c r="P10" i="71"/>
  <c r="O10" i="71"/>
  <c r="Y10" i="71" s="1"/>
  <c r="Z10" i="71" s="1"/>
  <c r="N10" i="71"/>
  <c r="Q9" i="71"/>
  <c r="F10" i="71" s="1"/>
  <c r="P9" i="71"/>
  <c r="E10" i="71" s="1"/>
  <c r="O9" i="71"/>
  <c r="N9" i="71"/>
  <c r="X9" i="71" s="1"/>
  <c r="D9" i="71"/>
  <c r="O8" i="71"/>
  <c r="C8" i="71" s="1"/>
  <c r="N8" i="71"/>
  <c r="B10" i="71"/>
  <c r="B11" i="71" s="1"/>
  <c r="B14" i="71"/>
  <c r="B15" i="71" s="1"/>
  <c r="B16" i="71" s="1"/>
  <c r="S16" i="71" s="1"/>
  <c r="E18" i="71"/>
  <c r="E19" i="71" s="1"/>
  <c r="E20" i="71" s="1"/>
  <c r="U20" i="71" s="1"/>
  <c r="AA17" i="71"/>
  <c r="N48" i="71"/>
  <c r="E14" i="71"/>
  <c r="E15" i="71" s="1"/>
  <c r="E16" i="71" s="1"/>
  <c r="U16" i="71" s="1"/>
  <c r="AA13" i="71"/>
  <c r="C10" i="71"/>
  <c r="AB9" i="71"/>
  <c r="AA11" i="71"/>
  <c r="C14" i="71"/>
  <c r="C15" i="71" s="1"/>
  <c r="X14" i="71"/>
  <c r="X15" i="71"/>
  <c r="X16" i="71"/>
  <c r="C18" i="71"/>
  <c r="C19" i="71" s="1"/>
  <c r="Y17" i="71"/>
  <c r="Z17" i="71" s="1"/>
  <c r="X18" i="71"/>
  <c r="F31" i="71"/>
  <c r="F32" i="71" s="1"/>
  <c r="V32" i="71" s="1"/>
  <c r="Y5" i="71"/>
  <c r="Z5" i="71" s="1"/>
  <c r="Y6" i="71"/>
  <c r="Z6" i="71" s="1"/>
  <c r="Y7" i="71"/>
  <c r="Z7" i="71" s="1"/>
  <c r="Y8" i="71"/>
  <c r="Z8" i="71" s="1"/>
  <c r="B8" i="71"/>
  <c r="B7" i="71" s="1"/>
  <c r="B6" i="71" s="1"/>
  <c r="X6" i="71"/>
  <c r="C11" i="71"/>
  <c r="C12" i="71" s="1"/>
  <c r="D10" i="71"/>
  <c r="D14" i="71"/>
  <c r="P8" i="71"/>
  <c r="E8" i="71" s="1"/>
  <c r="E43" i="71"/>
  <c r="E44" i="71" s="1"/>
  <c r="U44" i="71" s="1"/>
  <c r="Q45" i="71"/>
  <c r="U48" i="71"/>
  <c r="E47" i="71"/>
  <c r="P47" i="71" s="1"/>
  <c r="Q8" i="71"/>
  <c r="F8" i="71" s="1"/>
  <c r="F7" i="71" s="1"/>
  <c r="F6" i="71" s="1"/>
  <c r="F5" i="71" s="1"/>
  <c r="C35" i="71"/>
  <c r="C36" i="71" s="1"/>
  <c r="D34" i="71"/>
  <c r="C43" i="71"/>
  <c r="D43" i="71" s="1"/>
  <c r="D42" i="71"/>
  <c r="Q47" i="71"/>
  <c r="T48" i="71"/>
  <c r="O48" i="71"/>
  <c r="D48" i="71"/>
  <c r="C47" i="71"/>
  <c r="C46" i="71" s="1"/>
  <c r="Q48" i="71"/>
  <c r="C51" i="71"/>
  <c r="C50" i="71" s="1"/>
  <c r="D50" i="71" s="1"/>
  <c r="E51" i="71"/>
  <c r="E50" i="71" s="1"/>
  <c r="D52" i="71"/>
  <c r="C55" i="71"/>
  <c r="D55" i="71" s="1"/>
  <c r="E55" i="71"/>
  <c r="E54" i="71" s="1"/>
  <c r="D56" i="71"/>
  <c r="C59" i="71"/>
  <c r="D59" i="71" s="1"/>
  <c r="E59" i="71"/>
  <c r="E58" i="71" s="1"/>
  <c r="D60" i="71"/>
  <c r="C63" i="71"/>
  <c r="C62" i="71" s="1"/>
  <c r="D62" i="71" s="1"/>
  <c r="C67" i="71"/>
  <c r="D67" i="71" s="1"/>
  <c r="S8" i="71"/>
  <c r="AB6" i="71"/>
  <c r="AA8" i="71"/>
  <c r="O47" i="71"/>
  <c r="C44" i="71"/>
  <c r="T44" i="71" s="1"/>
  <c r="D63" i="71"/>
  <c r="C66" i="71"/>
  <c r="D66" i="71" s="1"/>
  <c r="C58" i="71"/>
  <c r="D58" i="71" s="1"/>
  <c r="D51" i="71"/>
  <c r="E46" i="71"/>
  <c r="P46" i="71" s="1"/>
  <c r="D11" i="71"/>
  <c r="P4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C25" i="40"/>
  <c r="S25" i="40"/>
  <c r="S29" i="39"/>
  <c r="U18" i="36"/>
  <c r="S21" i="34"/>
  <c r="H25" i="40"/>
  <c r="AB25" i="40" s="1"/>
  <c r="J25" i="40"/>
  <c r="H29" i="39"/>
  <c r="J29" i="39"/>
  <c r="AC29" i="39" s="1"/>
  <c r="J18" i="36"/>
  <c r="AC18" i="36" s="1"/>
  <c r="H18" i="35"/>
  <c r="AB18" i="35" s="1"/>
  <c r="S18" i="35"/>
  <c r="G68" i="35"/>
  <c r="J18" i="35"/>
  <c r="W18" i="35" s="1"/>
  <c r="H21" i="37"/>
  <c r="F21" i="37"/>
  <c r="AA21" i="37" s="1"/>
  <c r="H21" i="34"/>
  <c r="AB21" i="34" s="1"/>
  <c r="H21" i="33"/>
  <c r="U21" i="33" s="1"/>
  <c r="F21" i="33"/>
  <c r="S21" i="33" s="1"/>
  <c r="E83" i="21"/>
  <c r="F83" i="21" s="1"/>
  <c r="H1" i="69"/>
  <c r="AC25" i="40"/>
  <c r="W25" i="40"/>
  <c r="U25" i="40"/>
  <c r="AB29" i="39"/>
  <c r="U29" i="39"/>
  <c r="W29" i="39"/>
  <c r="W18" i="36"/>
  <c r="AB21" i="37"/>
  <c r="U21" i="37"/>
  <c r="S21" i="37"/>
  <c r="AA21" i="33"/>
  <c r="U18" i="35"/>
  <c r="AC18" i="35"/>
  <c r="J21" i="37"/>
  <c r="W21" i="37" s="1"/>
  <c r="J21" i="34"/>
  <c r="W21" i="34" s="1"/>
  <c r="G83" i="33"/>
  <c r="J21" i="33"/>
  <c r="W21" i="33" s="1"/>
  <c r="H21" i="21"/>
  <c r="U21" i="21" s="1"/>
  <c r="F38" i="69"/>
  <c r="E37" i="69"/>
  <c r="F36" i="69"/>
  <c r="F35" i="69"/>
  <c r="F21" i="69"/>
  <c r="C21" i="69"/>
  <c r="F20" i="69"/>
  <c r="E10" i="69"/>
  <c r="E9" i="69"/>
  <c r="F7" i="69"/>
  <c r="C7" i="69" s="1"/>
  <c r="AC21" i="33"/>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s="1"/>
  <c r="I9" i="66"/>
  <c r="I8" i="66"/>
  <c r="I7" i="66"/>
  <c r="I6" i="66"/>
  <c r="I5" i="66"/>
  <c r="I4" i="66"/>
  <c r="I3" i="66"/>
  <c r="D1" i="43"/>
  <c r="F113" i="43"/>
  <c r="N99" i="43"/>
  <c r="N108" i="43" s="1"/>
  <c r="D99" i="43"/>
  <c r="D108" i="43" s="1"/>
  <c r="E99" i="43"/>
  <c r="F99" i="43"/>
  <c r="F108" i="43" s="1"/>
  <c r="G99" i="43"/>
  <c r="H99" i="43"/>
  <c r="H108" i="43" s="1"/>
  <c r="I99" i="43"/>
  <c r="J99" i="43"/>
  <c r="J108" i="43" s="1"/>
  <c r="K99" i="43"/>
  <c r="K108" i="43" s="1"/>
  <c r="L99" i="43"/>
  <c r="L108" i="43" s="1"/>
  <c r="M99" i="43"/>
  <c r="C99" i="43"/>
  <c r="C108"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J51" i="78"/>
  <c r="F15" i="4"/>
  <c r="F9" i="1"/>
  <c r="F10" i="1"/>
  <c r="F11" i="1"/>
  <c r="F12" i="1"/>
  <c r="F13" i="1"/>
  <c r="D6" i="1"/>
  <c r="D9" i="1"/>
  <c r="D10" i="1"/>
  <c r="D11" i="1"/>
  <c r="D12" i="1"/>
  <c r="D13" i="1"/>
  <c r="D7" i="1"/>
  <c r="D8" i="1"/>
  <c r="A7" i="1"/>
  <c r="A8" i="1"/>
  <c r="B8" i="1" s="1"/>
  <c r="E8" i="1" s="1"/>
  <c r="A9" i="1"/>
  <c r="A10" i="1"/>
  <c r="K10" i="1" s="1"/>
  <c r="M10" i="1" s="1"/>
  <c r="O10" i="1"/>
  <c r="A11" i="1"/>
  <c r="B11" i="1" s="1"/>
  <c r="E11" i="1" s="1"/>
  <c r="A12" i="1"/>
  <c r="A13" i="1"/>
  <c r="B13" i="1" s="1"/>
  <c r="E13" i="1" s="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8" i="1" s="1"/>
  <c r="D15" i="4"/>
  <c r="L21" i="4"/>
  <c r="F19" i="4"/>
  <c r="F2" i="52"/>
  <c r="B50" i="72" s="1"/>
  <c r="D2" i="52"/>
  <c r="B46" i="72" s="1"/>
  <c r="B8" i="53"/>
  <c r="B23" i="72" s="1"/>
  <c r="L4" i="9"/>
  <c r="B17" i="72"/>
  <c r="B15" i="72"/>
  <c r="A3" i="51"/>
  <c r="C8" i="11"/>
  <c r="B2" i="49"/>
  <c r="B16" i="49" s="1"/>
  <c r="C4" i="4"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s="1"/>
  <c r="C87" i="9" s="1"/>
  <c r="G12" i="1"/>
  <c r="J55" i="9"/>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B30"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A495" i="3" s="1"/>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L503" i="3" s="1"/>
  <c r="AZ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N508" i="3"/>
  <c r="BO508" i="3"/>
  <c r="BP508" i="3"/>
  <c r="BQ508" i="3"/>
  <c r="BR508" i="3"/>
  <c r="BS508" i="3"/>
  <c r="BT508" i="3"/>
  <c r="H509" i="3"/>
  <c r="G509" i="3" s="1"/>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L517" i="3" s="1"/>
  <c r="AZ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D5"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A550" i="3" s="1"/>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BT5" i="3" s="1"/>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H35" i="39" s="1"/>
  <c r="AB35" i="39" s="1"/>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D81" i="39"/>
  <c r="E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D120" i="39"/>
  <c r="E120" i="39"/>
  <c r="F120" i="39" s="1"/>
  <c r="G120" i="39" s="1"/>
  <c r="H120" i="39" s="1"/>
  <c r="I120" i="39" s="1"/>
  <c r="J120" i="39" s="1"/>
  <c r="K120" i="39" s="1"/>
  <c r="L120" i="39" s="1"/>
  <c r="M120" i="39" s="1"/>
  <c r="B114" i="39"/>
  <c r="J37" i="39" s="1"/>
  <c r="D109" i="39"/>
  <c r="E109" i="39" s="1"/>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H21" i="39" s="1"/>
  <c r="D93" i="39"/>
  <c r="E93" i="39" s="1"/>
  <c r="F93" i="39" s="1"/>
  <c r="G93" i="39" s="1"/>
  <c r="D91" i="39"/>
  <c r="E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AB23" i="36" s="1"/>
  <c r="D70" i="36"/>
  <c r="H22" i="36"/>
  <c r="AB22" i="36"/>
  <c r="D68" i="36"/>
  <c r="E68" i="36"/>
  <c r="F68" i="36" s="1"/>
  <c r="G68" i="36" s="1"/>
  <c r="D64" i="36"/>
  <c r="E64" i="36"/>
  <c r="F64" i="36" s="1"/>
  <c r="G64" i="36" s="1"/>
  <c r="J16" i="36"/>
  <c r="W16" i="36" s="1"/>
  <c r="D62" i="36"/>
  <c r="E62" i="36" s="1"/>
  <c r="F62" i="36" s="1"/>
  <c r="G62" i="36" s="1"/>
  <c r="B59" i="36"/>
  <c r="B57" i="36"/>
  <c r="F12" i="36" s="1"/>
  <c r="S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W45" i="39" s="1"/>
  <c r="J44" i="39"/>
  <c r="AC44" i="39" s="1"/>
  <c r="J35" i="39"/>
  <c r="AC35" i="39" s="1"/>
  <c r="F35" i="39"/>
  <c r="U30" i="37"/>
  <c r="W31" i="37"/>
  <c r="F29" i="36"/>
  <c r="AA29" i="36" s="1"/>
  <c r="W8" i="36"/>
  <c r="F16" i="36"/>
  <c r="AA16" i="36" s="1"/>
  <c r="U9" i="36"/>
  <c r="W28" i="36"/>
  <c r="S30" i="36"/>
  <c r="AA31" i="36"/>
  <c r="AC31" i="36"/>
  <c r="W31" i="36"/>
  <c r="J33" i="36"/>
  <c r="W33" i="36" s="1"/>
  <c r="H22" i="35"/>
  <c r="AB22" i="35" s="1"/>
  <c r="U31" i="35"/>
  <c r="W22" i="35"/>
  <c r="F36" i="34"/>
  <c r="J35" i="34"/>
  <c r="S34" i="34"/>
  <c r="H39" i="33"/>
  <c r="AB39" i="33" s="1"/>
  <c r="F26" i="33"/>
  <c r="AA26" i="33" s="1"/>
  <c r="U35" i="33"/>
  <c r="S27" i="35"/>
  <c r="F11" i="40"/>
  <c r="AA11" i="40"/>
  <c r="H11" i="40"/>
  <c r="AB11" i="40"/>
  <c r="W8" i="40"/>
  <c r="AC9" i="40"/>
  <c r="U9" i="40"/>
  <c r="S34" i="40"/>
  <c r="W31" i="40"/>
  <c r="U34" i="40"/>
  <c r="F42" i="39"/>
  <c r="AA42" i="39"/>
  <c r="H40" i="39"/>
  <c r="AB40" i="39"/>
  <c r="H39" i="39"/>
  <c r="U39" i="39"/>
  <c r="S34" i="39"/>
  <c r="H34" i="39"/>
  <c r="U34"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27" i="39"/>
  <c r="AC27" i="39"/>
  <c r="F27" i="39"/>
  <c r="F11" i="21"/>
  <c r="S11" i="21" s="1"/>
  <c r="S40" i="21"/>
  <c r="U34" i="21"/>
  <c r="C27" i="39"/>
  <c r="G27" i="39" s="1"/>
  <c r="H32" i="33"/>
  <c r="AB32" i="33" s="1"/>
  <c r="H11" i="2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J15" i="34"/>
  <c r="H15" i="34"/>
  <c r="AB15" i="34" s="1"/>
  <c r="F41" i="33"/>
  <c r="AA41" i="33" s="1"/>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A12"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45" i="21"/>
  <c r="F27" i="33"/>
  <c r="AA27" i="33" s="1"/>
  <c r="J13" i="33"/>
  <c r="W13" i="33" s="1"/>
  <c r="H13" i="33"/>
  <c r="AB13" i="33" s="1"/>
  <c r="F13" i="33"/>
  <c r="J29" i="33"/>
  <c r="AC29" i="33" s="1"/>
  <c r="H29" i="33"/>
  <c r="F29" i="33"/>
  <c r="S29" i="33" s="1"/>
  <c r="J31" i="33"/>
  <c r="H31" i="33"/>
  <c r="U31" i="33" s="1"/>
  <c r="F31" i="33"/>
  <c r="S31" i="33" s="1"/>
  <c r="H45" i="33"/>
  <c r="U45" i="33" s="1"/>
  <c r="J45" i="33"/>
  <c r="F45" i="33"/>
  <c r="AA45" i="33" s="1"/>
  <c r="J14" i="34"/>
  <c r="W14" i="34" s="1"/>
  <c r="F14" i="34"/>
  <c r="S14" i="34" s="1"/>
  <c r="H14" i="34"/>
  <c r="AB14" i="34" s="1"/>
  <c r="H30" i="34"/>
  <c r="F30" i="34"/>
  <c r="S30" i="34" s="1"/>
  <c r="J30" i="34"/>
  <c r="W30" i="34" s="1"/>
  <c r="H32" i="34"/>
  <c r="AB32" i="34" s="1"/>
  <c r="F32" i="34"/>
  <c r="J32" i="34"/>
  <c r="H46" i="34"/>
  <c r="U46" i="34" s="1"/>
  <c r="F46" i="34"/>
  <c r="AA46" i="34" s="1"/>
  <c r="J46" i="34"/>
  <c r="H11" i="35"/>
  <c r="U11" i="35" s="1"/>
  <c r="J11" i="35"/>
  <c r="AC11" i="35" s="1"/>
  <c r="F11" i="35"/>
  <c r="S11" i="35" s="1"/>
  <c r="J26" i="36"/>
  <c r="W26" i="36" s="1"/>
  <c r="H28" i="36"/>
  <c r="U28"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A14" i="37"/>
  <c r="W31" i="34"/>
  <c r="AC13" i="36"/>
  <c r="S11" i="36"/>
  <c r="W11" i="35"/>
  <c r="S45" i="33"/>
  <c r="AB31" i="33"/>
  <c r="W29" i="33"/>
  <c r="BA586" i="3"/>
  <c r="BA585" i="3"/>
  <c r="F17" i="21"/>
  <c r="AA17" i="21" s="1"/>
  <c r="H17" i="21"/>
  <c r="AB17" i="21" s="1"/>
  <c r="F15" i="21"/>
  <c r="S15" i="21" s="1"/>
  <c r="J41" i="39"/>
  <c r="W41" i="39" s="1"/>
  <c r="AC45" i="39"/>
  <c r="W44" i="39"/>
  <c r="W35" i="39"/>
  <c r="G540" i="3"/>
  <c r="G518" i="3"/>
  <c r="G580" i="3"/>
  <c r="BL546" i="3"/>
  <c r="BL512" i="3"/>
  <c r="BL570" i="3"/>
  <c r="BL510" i="3"/>
  <c r="BA562" i="3"/>
  <c r="BA538" i="3"/>
  <c r="BA528" i="3"/>
  <c r="BA520" i="3"/>
  <c r="BA512" i="3"/>
  <c r="AZ512" i="3" s="1"/>
  <c r="BA504" i="3"/>
  <c r="BA498" i="3"/>
  <c r="BA587" i="3"/>
  <c r="AZ587" i="3" s="1"/>
  <c r="BA579" i="3"/>
  <c r="BA563" i="3"/>
  <c r="BA543" i="3"/>
  <c r="BA527" i="3"/>
  <c r="BA517" i="3"/>
  <c r="BA507" i="3"/>
  <c r="BA499" i="3"/>
  <c r="G583" i="3"/>
  <c r="G567" i="3"/>
  <c r="AC557" i="3"/>
  <c r="BQ557" i="3"/>
  <c r="BQ583" i="3"/>
  <c r="BQ581" i="3"/>
  <c r="BQ579" i="3"/>
  <c r="BQ577" i="3"/>
  <c r="BQ575" i="3"/>
  <c r="BQ573" i="3"/>
  <c r="BQ571" i="3"/>
  <c r="BQ569" i="3"/>
  <c r="BQ567" i="3"/>
  <c r="BQ565" i="3"/>
  <c r="BQ563" i="3"/>
  <c r="BL563" i="3" s="1"/>
  <c r="AZ563" i="3" s="1"/>
  <c r="BQ561" i="3"/>
  <c r="BQ559" i="3"/>
  <c r="BL559" i="3" s="1"/>
  <c r="G541" i="3"/>
  <c r="BQ555" i="3"/>
  <c r="BQ553" i="3"/>
  <c r="BQ551" i="3"/>
  <c r="BQ549" i="3"/>
  <c r="BQ547" i="3"/>
  <c r="BQ545" i="3"/>
  <c r="BQ543" i="3"/>
  <c r="BQ541" i="3"/>
  <c r="BL541" i="3" s="1"/>
  <c r="BQ539" i="3"/>
  <c r="BQ537" i="3"/>
  <c r="BL537" i="3" s="1"/>
  <c r="BQ535" i="3"/>
  <c r="BL535" i="3"/>
  <c r="BQ533" i="3"/>
  <c r="BQ531" i="3"/>
  <c r="BL531" i="3" s="1"/>
  <c r="BQ529" i="3"/>
  <c r="BQ527" i="3"/>
  <c r="BQ525" i="3"/>
  <c r="BQ523" i="3"/>
  <c r="AC521" i="3"/>
  <c r="G521" i="3"/>
  <c r="BQ521" i="3"/>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F25" i="21"/>
  <c r="S25" i="21" s="1"/>
  <c r="J25" i="21"/>
  <c r="E125" i="33"/>
  <c r="F125" i="33" s="1"/>
  <c r="G125" i="33" s="1"/>
  <c r="H43" i="33"/>
  <c r="H17" i="37"/>
  <c r="U17" i="37" s="1"/>
  <c r="AB27" i="37"/>
  <c r="U32" i="33"/>
  <c r="F39" i="33"/>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S28" i="31"/>
  <c r="S27" i="31"/>
  <c r="S22" i="31" s="1"/>
  <c r="R22" i="31" s="1"/>
  <c r="B21" i="31" s="1"/>
  <c r="S26" i="31"/>
  <c r="U14" i="40"/>
  <c r="AC33" i="36"/>
  <c r="U35" i="35"/>
  <c r="AB28" i="37"/>
  <c r="U33" i="37"/>
  <c r="AC8" i="37"/>
  <c r="W47" i="34"/>
  <c r="AB13" i="34"/>
  <c r="W37" i="34"/>
  <c r="AC36" i="34"/>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E94" i="37"/>
  <c r="F31" i="37"/>
  <c r="S31" i="37" s="1"/>
  <c r="J42" i="39"/>
  <c r="AC42" i="39" s="1"/>
  <c r="H21" i="40"/>
  <c r="AB21" i="40" s="1"/>
  <c r="F94" i="37"/>
  <c r="G94" i="37" s="1"/>
  <c r="H94" i="37" s="1"/>
  <c r="I94" i="37" s="1"/>
  <c r="J94" i="37" s="1"/>
  <c r="K94" i="37" s="1"/>
  <c r="L94" i="37" s="1"/>
  <c r="M94" i="37" s="1"/>
  <c r="H31" i="37"/>
  <c r="U31" i="37" s="1"/>
  <c r="J15" i="37"/>
  <c r="W15" i="37" s="1"/>
  <c r="AT6" i="3"/>
  <c r="C12" i="43"/>
  <c r="H19" i="40"/>
  <c r="U19" i="40" s="1"/>
  <c r="F88" i="40"/>
  <c r="G88" i="40" s="1"/>
  <c r="F19" i="40"/>
  <c r="S19" i="40" s="1"/>
  <c r="S14"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W8" i="39"/>
  <c r="J19" i="40"/>
  <c r="AC19" i="40" s="1"/>
  <c r="J50" i="40"/>
  <c r="B54" i="72"/>
  <c r="H103" i="9"/>
  <c r="D8" i="53" s="1"/>
  <c r="B16" i="53"/>
  <c r="B33" i="72" s="1"/>
  <c r="C7" i="37"/>
  <c r="C52" i="37" s="1"/>
  <c r="D52" i="37" s="1"/>
  <c r="C7" i="34"/>
  <c r="C7" i="36"/>
  <c r="C46" i="36" s="1"/>
  <c r="D46" i="36" s="1"/>
  <c r="E46" i="36" s="1"/>
  <c r="F46" i="36" s="1"/>
  <c r="W35" i="40"/>
  <c r="A4" i="52"/>
  <c r="B41" i="72" s="1"/>
  <c r="J11" i="39"/>
  <c r="W11" i="39" s="1"/>
  <c r="A12" i="52"/>
  <c r="B56" i="72" s="1"/>
  <c r="G4" i="4"/>
  <c r="I4" i="4"/>
  <c r="K5" i="4"/>
  <c r="B47" i="48" s="1"/>
  <c r="A2" i="9"/>
  <c r="N2" i="43"/>
  <c r="F59" i="4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G161" i="3"/>
  <c r="BA163" i="3"/>
  <c r="AZ163" i="3" s="1"/>
  <c r="BL164" i="3"/>
  <c r="G165" i="3"/>
  <c r="BA167" i="3"/>
  <c r="AZ167" i="3" s="1"/>
  <c r="BL168" i="3"/>
  <c r="G169" i="3"/>
  <c r="BA171" i="3"/>
  <c r="AZ171" i="3" s="1"/>
  <c r="BL172" i="3"/>
  <c r="G173" i="3"/>
  <c r="BA175" i="3"/>
  <c r="BL176" i="3"/>
  <c r="AZ176" i="3" s="1"/>
  <c r="G177" i="3"/>
  <c r="BA179" i="3"/>
  <c r="BL180" i="3"/>
  <c r="G181" i="3"/>
  <c r="BA183" i="3"/>
  <c r="AZ183" i="3" s="1"/>
  <c r="BL184" i="3"/>
  <c r="AZ184" i="3" s="1"/>
  <c r="G185" i="3"/>
  <c r="BA187" i="3"/>
  <c r="AZ187" i="3" s="1"/>
  <c r="BL188" i="3"/>
  <c r="G189" i="3"/>
  <c r="BA191" i="3"/>
  <c r="BL192" i="3"/>
  <c r="G193" i="3"/>
  <c r="BA195" i="3"/>
  <c r="AZ195" i="3" s="1"/>
  <c r="BL196" i="3"/>
  <c r="G197" i="3"/>
  <c r="BA199" i="3"/>
  <c r="AZ199" i="3" s="1"/>
  <c r="BL200" i="3"/>
  <c r="G201" i="3"/>
  <c r="BA203" i="3"/>
  <c r="AZ203" i="3" s="1"/>
  <c r="BL204" i="3"/>
  <c r="AZ47" i="3"/>
  <c r="AZ75" i="3"/>
  <c r="AZ168" i="3"/>
  <c r="AZ200" i="3"/>
  <c r="AZ93" i="3"/>
  <c r="AZ128" i="3"/>
  <c r="G516" i="3"/>
  <c r="G494" i="3"/>
  <c r="G15" i="3"/>
  <c r="BA304" i="3"/>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AZ390" i="3" s="1"/>
  <c r="BL390" i="3"/>
  <c r="G391" i="3"/>
  <c r="G394" i="3"/>
  <c r="AZ166" i="3"/>
  <c r="AZ198" i="3"/>
  <c r="BL303" i="3"/>
  <c r="G304" i="3"/>
  <c r="BA306" i="3"/>
  <c r="AZ306" i="3"/>
  <c r="BL307" i="3"/>
  <c r="G308" i="3"/>
  <c r="BA310" i="3"/>
  <c r="AZ310" i="3" s="1"/>
  <c r="BL311" i="3"/>
  <c r="AZ311" i="3"/>
  <c r="G312" i="3"/>
  <c r="BA314" i="3"/>
  <c r="BL315" i="3"/>
  <c r="G316" i="3"/>
  <c r="BA318" i="3"/>
  <c r="BL319" i="3"/>
  <c r="AZ319" i="3" s="1"/>
  <c r="G320" i="3"/>
  <c r="BA322" i="3"/>
  <c r="AZ322" i="3" s="1"/>
  <c r="BL323" i="3"/>
  <c r="AZ323" i="3" s="1"/>
  <c r="G324" i="3"/>
  <c r="BA326" i="3"/>
  <c r="AZ326" i="3"/>
  <c r="BL327" i="3"/>
  <c r="G328" i="3"/>
  <c r="BA330" i="3"/>
  <c r="AZ330" i="3"/>
  <c r="BL331" i="3"/>
  <c r="G332" i="3"/>
  <c r="BA334" i="3"/>
  <c r="AZ334" i="3"/>
  <c r="BL335" i="3"/>
  <c r="AZ335" i="3"/>
  <c r="G336" i="3"/>
  <c r="BA338" i="3"/>
  <c r="AZ338" i="3" s="1"/>
  <c r="BL339" i="3"/>
  <c r="AZ339" i="3" s="1"/>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45" i="3"/>
  <c r="BA379" i="3"/>
  <c r="BL380" i="3"/>
  <c r="G381" i="3"/>
  <c r="BA383" i="3"/>
  <c r="BL384" i="3"/>
  <c r="AZ384" i="3" s="1"/>
  <c r="G385" i="3"/>
  <c r="BA387" i="3"/>
  <c r="AZ387" i="3"/>
  <c r="BL388" i="3"/>
  <c r="G389" i="3"/>
  <c r="BA391" i="3"/>
  <c r="AZ391" i="3"/>
  <c r="BL392" i="3"/>
  <c r="G393" i="3"/>
  <c r="G502" i="3"/>
  <c r="AZ343" i="3"/>
  <c r="G17" i="3"/>
  <c r="BA15" i="3"/>
  <c r="AZ380" i="3"/>
  <c r="BL493" i="3"/>
  <c r="AZ376" i="3"/>
  <c r="U36" i="40"/>
  <c r="N4" i="43"/>
  <c r="F36" i="43"/>
  <c r="F81" i="43"/>
  <c r="H83" i="43" s="1"/>
  <c r="H113" i="43"/>
  <c r="F48" i="43"/>
  <c r="H52" i="43" s="1"/>
  <c r="N7" i="43"/>
  <c r="F70" i="43"/>
  <c r="H73" i="43"/>
  <c r="M6" i="43"/>
  <c r="M11" i="43"/>
  <c r="E17" i="43"/>
  <c r="F39" i="43"/>
  <c r="I17" i="43"/>
  <c r="F35" i="43"/>
  <c r="J17" i="43"/>
  <c r="F6" i="1"/>
  <c r="S14" i="35"/>
  <c r="U43" i="21"/>
  <c r="U35" i="21"/>
  <c r="AC35" i="21"/>
  <c r="U10" i="21"/>
  <c r="G9" i="1"/>
  <c r="G10" i="1"/>
  <c r="F48" i="9"/>
  <c r="O52" i="9" s="1"/>
  <c r="W37" i="37"/>
  <c r="W44" i="34"/>
  <c r="AC44" i="34"/>
  <c r="U13" i="37"/>
  <c r="U12" i="40"/>
  <c r="AA12" i="40"/>
  <c r="J37" i="33"/>
  <c r="W37" i="33" s="1"/>
  <c r="AC17" i="34"/>
  <c r="F106" i="33"/>
  <c r="G106" i="33" s="1"/>
  <c r="H106" i="33" s="1"/>
  <c r="I106" i="33" s="1"/>
  <c r="J106" i="33" s="1"/>
  <c r="K106" i="33" s="1"/>
  <c r="L106" i="33" s="1"/>
  <c r="M106" i="33" s="1"/>
  <c r="J34" i="33"/>
  <c r="F33" i="34"/>
  <c r="S33" i="34" s="1"/>
  <c r="H20" i="36"/>
  <c r="J20" i="36"/>
  <c r="W20" i="36" s="1"/>
  <c r="J27" i="36"/>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F39" i="39"/>
  <c r="S39" i="39" s="1"/>
  <c r="J39" i="39"/>
  <c r="AC39" i="39" s="1"/>
  <c r="E97" i="39"/>
  <c r="F97" i="39" s="1"/>
  <c r="G97" i="39" s="1"/>
  <c r="AZ386" i="3"/>
  <c r="C40" i="11"/>
  <c r="AZ280" i="3"/>
  <c r="AZ45" i="3"/>
  <c r="AZ50" i="3"/>
  <c r="AZ66" i="3"/>
  <c r="AZ77" i="3"/>
  <c r="H75" i="43"/>
  <c r="H74" i="43"/>
  <c r="H50" i="43"/>
  <c r="H49" i="43"/>
  <c r="H48" i="43"/>
  <c r="I20" i="43"/>
  <c r="C20" i="43" s="1"/>
  <c r="F23" i="39"/>
  <c r="AA23" i="39"/>
  <c r="H27" i="36"/>
  <c r="U27" i="36"/>
  <c r="F27" i="36"/>
  <c r="AA27" i="36"/>
  <c r="H33" i="34"/>
  <c r="U33" i="34"/>
  <c r="F32" i="37"/>
  <c r="AA32" i="37"/>
  <c r="F20" i="36"/>
  <c r="AA20" i="36" s="1"/>
  <c r="J33" i="34"/>
  <c r="H23" i="39"/>
  <c r="U23" i="39" s="1"/>
  <c r="D48" i="9"/>
  <c r="M52" i="9" s="1"/>
  <c r="H82" i="43"/>
  <c r="K9" i="1"/>
  <c r="M9" i="1" s="1"/>
  <c r="O9" i="1"/>
  <c r="P9" i="1"/>
  <c r="AE9" i="1"/>
  <c r="F34" i="80"/>
  <c r="F62" i="80" s="1"/>
  <c r="F34" i="79"/>
  <c r="F62" i="79" s="1"/>
  <c r="M20" i="79"/>
  <c r="M20" i="80"/>
  <c r="M8" i="1"/>
  <c r="O8" i="1"/>
  <c r="P8" i="1"/>
  <c r="U40" i="39"/>
  <c r="S40" i="39"/>
  <c r="S42" i="39"/>
  <c r="S31" i="39"/>
  <c r="W27" i="39"/>
  <c r="W23" i="39"/>
  <c r="C21" i="39"/>
  <c r="G21" i="39" s="1"/>
  <c r="AZ362" i="3"/>
  <c r="AC5" i="3"/>
  <c r="AZ327" i="3"/>
  <c r="AZ371" i="3"/>
  <c r="AZ329" i="3"/>
  <c r="AZ304" i="3"/>
  <c r="AC13" i="40"/>
  <c r="AA25" i="21"/>
  <c r="AC46" i="21"/>
  <c r="W44" i="21"/>
  <c r="AB37" i="34"/>
  <c r="W14" i="37"/>
  <c r="AA41" i="34"/>
  <c r="S44" i="34"/>
  <c r="U13" i="33"/>
  <c r="AB45" i="33"/>
  <c r="AA14" i="34"/>
  <c r="AB46" i="34"/>
  <c r="AB11" i="36"/>
  <c r="U46" i="33"/>
  <c r="AA13" i="35"/>
  <c r="U23" i="40"/>
  <c r="AA29" i="35"/>
  <c r="U33" i="35"/>
  <c r="W39" i="33"/>
  <c r="U33" i="33"/>
  <c r="W9" i="34"/>
  <c r="W28" i="35"/>
  <c r="BL586" i="3"/>
  <c r="AZ586" i="3" s="1"/>
  <c r="BL585" i="3"/>
  <c r="AZ585" i="3" s="1"/>
  <c r="F9" i="34"/>
  <c r="S9" i="34" s="1"/>
  <c r="J12" i="34"/>
  <c r="F12" i="34"/>
  <c r="AA12" i="34" s="1"/>
  <c r="H36" i="35"/>
  <c r="AB36" i="35" s="1"/>
  <c r="J36" i="35"/>
  <c r="W36" i="35" s="1"/>
  <c r="F9" i="36"/>
  <c r="AA9" i="36" s="1"/>
  <c r="J12" i="36"/>
  <c r="AC12" i="36" s="1"/>
  <c r="H12" i="36"/>
  <c r="H23" i="35"/>
  <c r="AB23" i="35" s="1"/>
  <c r="J23" i="35"/>
  <c r="J24" i="36"/>
  <c r="W24" i="36" s="1"/>
  <c r="H24" i="36"/>
  <c r="AB24" i="36" s="1"/>
  <c r="J39" i="40"/>
  <c r="W39" i="40" s="1"/>
  <c r="H39" i="40"/>
  <c r="G582" i="3"/>
  <c r="G551" i="3"/>
  <c r="G526" i="3"/>
  <c r="M20" i="15"/>
  <c r="F34" i="78"/>
  <c r="F62" i="78" s="1"/>
  <c r="M20" i="78"/>
  <c r="BA17" i="3"/>
  <c r="AZ17" i="3" s="1"/>
  <c r="BO5" i="3"/>
  <c r="F7" i="1"/>
  <c r="G7" i="1" s="1"/>
  <c r="G398" i="3"/>
  <c r="G399" i="3"/>
  <c r="BL399" i="3"/>
  <c r="BA400" i="3"/>
  <c r="AZ400" i="3" s="1"/>
  <c r="BL402" i="3"/>
  <c r="G405" i="3"/>
  <c r="BL405" i="3"/>
  <c r="AZ434" i="3"/>
  <c r="AZ405" i="3"/>
  <c r="M108" i="43"/>
  <c r="M100" i="43"/>
  <c r="I108" i="43"/>
  <c r="I100" i="43"/>
  <c r="G108" i="43"/>
  <c r="G100" i="43"/>
  <c r="E108" i="43"/>
  <c r="E100" i="43"/>
  <c r="BL406" i="3"/>
  <c r="BA407" i="3"/>
  <c r="AZ407" i="3" s="1"/>
  <c r="G410" i="3"/>
  <c r="G411" i="3"/>
  <c r="G412" i="3"/>
  <c r="BL412" i="3"/>
  <c r="BA413" i="3"/>
  <c r="AZ413" i="3" s="1"/>
  <c r="BA414" i="3"/>
  <c r="G417" i="3"/>
  <c r="BL417" i="3"/>
  <c r="BL419" i="3"/>
  <c r="BA420" i="3"/>
  <c r="BL422" i="3"/>
  <c r="BA423" i="3"/>
  <c r="BA424" i="3"/>
  <c r="G427" i="3"/>
  <c r="G428" i="3"/>
  <c r="BL428" i="3"/>
  <c r="BA429" i="3"/>
  <c r="BA430" i="3"/>
  <c r="G433" i="3"/>
  <c r="BL433" i="3"/>
  <c r="BL435" i="3"/>
  <c r="AZ435" i="3"/>
  <c r="BA436" i="3"/>
  <c r="AZ436" i="3"/>
  <c r="BL438" i="3"/>
  <c r="AZ438" i="3"/>
  <c r="BA439" i="3"/>
  <c r="BA440" i="3"/>
  <c r="AZ440" i="3" s="1"/>
  <c r="BL442" i="3"/>
  <c r="G445" i="3"/>
  <c r="BL445" i="3"/>
  <c r="AZ445" i="3" s="1"/>
  <c r="G448" i="3"/>
  <c r="G449" i="3"/>
  <c r="BL449" i="3"/>
  <c r="BL451" i="3"/>
  <c r="BA452" i="3"/>
  <c r="BL454" i="3"/>
  <c r="BA455" i="3"/>
  <c r="BA456" i="3"/>
  <c r="BL458" i="3"/>
  <c r="AZ458" i="3" s="1"/>
  <c r="G461" i="3"/>
  <c r="BL461" i="3"/>
  <c r="G464" i="3"/>
  <c r="G465" i="3"/>
  <c r="BL465" i="3"/>
  <c r="BA466" i="3"/>
  <c r="BA467" i="3"/>
  <c r="BL469" i="3"/>
  <c r="AZ469" i="3" s="1"/>
  <c r="BA470" i="3"/>
  <c r="AZ470" i="3" s="1"/>
  <c r="BA471" i="3"/>
  <c r="AZ471" i="3" s="1"/>
  <c r="BA472" i="3"/>
  <c r="AZ472" i="3" s="1"/>
  <c r="G475" i="3"/>
  <c r="G476" i="3"/>
  <c r="BL476" i="3"/>
  <c r="AZ476" i="3" s="1"/>
  <c r="G479" i="3"/>
  <c r="G480" i="3"/>
  <c r="BL480" i="3"/>
  <c r="G483" i="3"/>
  <c r="BA484" i="3"/>
  <c r="BA485" i="3"/>
  <c r="AZ485" i="3" s="1"/>
  <c r="BL487" i="3"/>
  <c r="BA488" i="3"/>
  <c r="BA489" i="3"/>
  <c r="BL491" i="3"/>
  <c r="BA492" i="3"/>
  <c r="AZ492" i="3" s="1"/>
  <c r="G313" i="3"/>
  <c r="BA315" i="3"/>
  <c r="AZ315" i="3" s="1"/>
  <c r="BL316" i="3"/>
  <c r="G318" i="3"/>
  <c r="G329" i="3"/>
  <c r="BA331" i="3"/>
  <c r="AZ331" i="3" s="1"/>
  <c r="BL332" i="3"/>
  <c r="AZ332" i="3" s="1"/>
  <c r="G334" i="3"/>
  <c r="BL346" i="3"/>
  <c r="AZ346" i="3" s="1"/>
  <c r="G349" i="3"/>
  <c r="BA350" i="3"/>
  <c r="BL353" i="3"/>
  <c r="G362" i="3"/>
  <c r="G366" i="3"/>
  <c r="BA368" i="3"/>
  <c r="AZ368" i="3" s="1"/>
  <c r="G378" i="3"/>
  <c r="BL383" i="3"/>
  <c r="AZ383" i="3" s="1"/>
  <c r="BA385" i="3"/>
  <c r="BA388" i="3"/>
  <c r="AZ388" i="3" s="1"/>
  <c r="BA392" i="3"/>
  <c r="AZ392" i="3" s="1"/>
  <c r="G395" i="3"/>
  <c r="BL395" i="3"/>
  <c r="G208" i="3"/>
  <c r="BL208" i="3"/>
  <c r="G211" i="3"/>
  <c r="BL211" i="3"/>
  <c r="AZ211" i="3" s="1"/>
  <c r="BA212" i="3"/>
  <c r="BL214" i="3"/>
  <c r="G217" i="3"/>
  <c r="BL217" i="3"/>
  <c r="G220" i="3"/>
  <c r="BL220" i="3"/>
  <c r="AZ220" i="3" s="1"/>
  <c r="BA221" i="3"/>
  <c r="BA222" i="3"/>
  <c r="AZ222" i="3" s="1"/>
  <c r="BA223" i="3"/>
  <c r="G226" i="3"/>
  <c r="BL226" i="3"/>
  <c r="AZ226" i="3" s="1"/>
  <c r="G229" i="3"/>
  <c r="G230" i="3"/>
  <c r="BL230" i="3"/>
  <c r="AZ230" i="3" s="1"/>
  <c r="BA231" i="3"/>
  <c r="BA232" i="3"/>
  <c r="AZ232" i="3" s="1"/>
  <c r="BA233" i="3"/>
  <c r="BL235" i="3"/>
  <c r="AZ235" i="3" s="1"/>
  <c r="BA236" i="3"/>
  <c r="AZ236" i="3" s="1"/>
  <c r="BA237" i="3"/>
  <c r="AZ237" i="3" s="1"/>
  <c r="G240" i="3"/>
  <c r="G241" i="3"/>
  <c r="G242" i="3"/>
  <c r="BL242" i="3"/>
  <c r="G245" i="3"/>
  <c r="G246" i="3"/>
  <c r="BL246" i="3"/>
  <c r="BA247" i="3"/>
  <c r="AZ247" i="3" s="1"/>
  <c r="BA248" i="3"/>
  <c r="BA249" i="3"/>
  <c r="AZ249" i="3" s="1"/>
  <c r="BL251" i="3"/>
  <c r="BA252" i="3"/>
  <c r="BA253" i="3"/>
  <c r="G256" i="3"/>
  <c r="G257" i="3"/>
  <c r="G258" i="3"/>
  <c r="BL258" i="3"/>
  <c r="AZ258" i="3" s="1"/>
  <c r="G261" i="3"/>
  <c r="G262" i="3"/>
  <c r="BL262" i="3"/>
  <c r="AZ262" i="3" s="1"/>
  <c r="G265" i="3"/>
  <c r="G266" i="3"/>
  <c r="BL266" i="3"/>
  <c r="AZ266" i="3" s="1"/>
  <c r="BA267" i="3"/>
  <c r="BA268" i="3"/>
  <c r="AZ268" i="3" s="1"/>
  <c r="BA269" i="3"/>
  <c r="BL271" i="3"/>
  <c r="BA272" i="3"/>
  <c r="BA273" i="3"/>
  <c r="BL275" i="3"/>
  <c r="BA276" i="3"/>
  <c r="G279" i="3"/>
  <c r="G280" i="3"/>
  <c r="G281" i="3"/>
  <c r="BL281" i="3"/>
  <c r="AZ281" i="3" s="1"/>
  <c r="BA282" i="3"/>
  <c r="AZ282" i="3" s="1"/>
  <c r="BA283" i="3"/>
  <c r="AZ283" i="3" s="1"/>
  <c r="G286" i="3"/>
  <c r="BL286" i="3"/>
  <c r="BL288" i="3"/>
  <c r="BA289" i="3"/>
  <c r="AZ289" i="3" s="1"/>
  <c r="BL291" i="3"/>
  <c r="AZ291" i="3" s="1"/>
  <c r="BA292" i="3"/>
  <c r="G295" i="3"/>
  <c r="G296" i="3"/>
  <c r="G297" i="3"/>
  <c r="BL297" i="3"/>
  <c r="BA298" i="3"/>
  <c r="AZ298" i="3" s="1"/>
  <c r="BA299" i="3"/>
  <c r="G302" i="3"/>
  <c r="G114" i="3"/>
  <c r="G115" i="3"/>
  <c r="BL117" i="3"/>
  <c r="BA118" i="3"/>
  <c r="BL119" i="3"/>
  <c r="AZ119" i="3" s="1"/>
  <c r="BA121" i="3"/>
  <c r="K100" i="43"/>
  <c r="G124" i="3"/>
  <c r="G127" i="3"/>
  <c r="G130" i="3"/>
  <c r="G131" i="3"/>
  <c r="BL133" i="3"/>
  <c r="BA134" i="3"/>
  <c r="AZ134" i="3"/>
  <c r="BL135" i="3"/>
  <c r="AZ135" i="3" s="1"/>
  <c r="BA137" i="3"/>
  <c r="BA138" i="3"/>
  <c r="AZ138" i="3" s="1"/>
  <c r="BL139" i="3"/>
  <c r="AZ139" i="3" s="1"/>
  <c r="BA141" i="3"/>
  <c r="BA142" i="3"/>
  <c r="AZ142" i="3" s="1"/>
  <c r="BL143" i="3"/>
  <c r="AZ143" i="3" s="1"/>
  <c r="BA145" i="3"/>
  <c r="BA146" i="3"/>
  <c r="AZ146" i="3" s="1"/>
  <c r="BA148" i="3"/>
  <c r="AZ148" i="3" s="1"/>
  <c r="BL149" i="3"/>
  <c r="G152" i="3"/>
  <c r="BL154" i="3"/>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BA188" i="3"/>
  <c r="AZ188" i="3" s="1"/>
  <c r="BL189" i="3"/>
  <c r="G192" i="3"/>
  <c r="BL194" i="3"/>
  <c r="AZ194" i="3" s="1"/>
  <c r="BA196" i="3"/>
  <c r="AZ196" i="3" s="1"/>
  <c r="BL197" i="3"/>
  <c r="G200" i="3"/>
  <c r="BL202" i="3"/>
  <c r="AZ202" i="3" s="1"/>
  <c r="BA204" i="3"/>
  <c r="AZ204" i="3" s="1"/>
  <c r="BA205" i="3"/>
  <c r="BA206" i="3"/>
  <c r="AZ206" i="3" s="1"/>
  <c r="BL18" i="3"/>
  <c r="G19" i="3"/>
  <c r="BL19" i="3"/>
  <c r="BL21" i="3"/>
  <c r="AZ21" i="3" s="1"/>
  <c r="BA22" i="3"/>
  <c r="BL24" i="3"/>
  <c r="BA25" i="3"/>
  <c r="AZ25" i="3" s="1"/>
  <c r="G28" i="3"/>
  <c r="G29" i="3"/>
  <c r="G30" i="3"/>
  <c r="BL30" i="3"/>
  <c r="BL32" i="3"/>
  <c r="BA34" i="3"/>
  <c r="BA36" i="3"/>
  <c r="AZ36" i="3" s="1"/>
  <c r="BA37" i="3"/>
  <c r="AZ37" i="3" s="1"/>
  <c r="BL39" i="3"/>
  <c r="BA40" i="3"/>
  <c r="AZ40" i="3" s="1"/>
  <c r="BL42" i="3"/>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BA78" i="3"/>
  <c r="AZ78" i="3"/>
  <c r="BA79" i="3"/>
  <c r="AZ79" i="3"/>
  <c r="BA81" i="3"/>
  <c r="AZ81" i="3"/>
  <c r="BA82" i="3"/>
  <c r="BA83" i="3"/>
  <c r="AZ83" i="3" s="1"/>
  <c r="BL85" i="3"/>
  <c r="BA87" i="3"/>
  <c r="AZ87" i="3"/>
  <c r="BL89" i="3"/>
  <c r="BA90" i="3"/>
  <c r="AZ90" i="3"/>
  <c r="G93" i="3"/>
  <c r="G94" i="3"/>
  <c r="G95" i="3"/>
  <c r="BL95" i="3"/>
  <c r="AZ95" i="3" s="1"/>
  <c r="BA96" i="3"/>
  <c r="BA97" i="3"/>
  <c r="AZ97" i="3" s="1"/>
  <c r="G100" i="3"/>
  <c r="BL100" i="3"/>
  <c r="AZ100" i="3" s="1"/>
  <c r="BL102" i="3"/>
  <c r="BA103" i="3"/>
  <c r="AZ103" i="3" s="1"/>
  <c r="BL105" i="3"/>
  <c r="G107" i="3"/>
  <c r="BL107" i="3"/>
  <c r="G109" i="3"/>
  <c r="G110" i="3"/>
  <c r="G111" i="3"/>
  <c r="BL111" i="3"/>
  <c r="I20" i="66"/>
  <c r="G1" i="78"/>
  <c r="A118" i="9"/>
  <c r="BL15" i="3"/>
  <c r="AZ15" i="3" s="1"/>
  <c r="BA18" i="3"/>
  <c r="AZ18" i="3" s="1"/>
  <c r="BI5" i="3"/>
  <c r="BM5" i="3"/>
  <c r="F29" i="6" s="1"/>
  <c r="G14" i="3"/>
  <c r="U9" i="39"/>
  <c r="W9" i="39"/>
  <c r="D93" i="9"/>
  <c r="K6" i="1"/>
  <c r="M6" i="1" s="1"/>
  <c r="AC26" i="33"/>
  <c r="W26" i="33"/>
  <c r="W27" i="34"/>
  <c r="AC27" i="34"/>
  <c r="AB34" i="36"/>
  <c r="U34" i="36"/>
  <c r="AB33" i="36"/>
  <c r="U33" i="36"/>
  <c r="AC39" i="40"/>
  <c r="AA39" i="34"/>
  <c r="BL14" i="3"/>
  <c r="U30" i="33"/>
  <c r="AC13" i="34"/>
  <c r="AA47" i="34"/>
  <c r="W28" i="37"/>
  <c r="S19" i="39"/>
  <c r="F12" i="33"/>
  <c r="S12" i="33" s="1"/>
  <c r="F39" i="40"/>
  <c r="AA39" i="40" s="1"/>
  <c r="BA14" i="3"/>
  <c r="AZ14" i="3"/>
  <c r="AZ367" i="3"/>
  <c r="AZ234" i="3"/>
  <c r="AZ157" i="3"/>
  <c r="AZ189" i="3"/>
  <c r="AZ35" i="3"/>
  <c r="S12" i="1"/>
  <c r="R12" i="1"/>
  <c r="B12" i="1"/>
  <c r="E12" i="1" s="1"/>
  <c r="S10" i="1"/>
  <c r="AR10" i="1" s="1"/>
  <c r="R10" i="1"/>
  <c r="B10" i="1"/>
  <c r="E10" i="1" s="1"/>
  <c r="K12" i="1"/>
  <c r="M12" i="1" s="1"/>
  <c r="O12" i="1"/>
  <c r="P12" i="1"/>
  <c r="S13" i="1"/>
  <c r="R13" i="1"/>
  <c r="S11" i="1"/>
  <c r="AQ11" i="1" s="1"/>
  <c r="R11" i="1"/>
  <c r="S9" i="1"/>
  <c r="AR9" i="1" s="1"/>
  <c r="R9" i="1"/>
  <c r="J51" i="67"/>
  <c r="C42" i="1"/>
  <c r="H100" i="43"/>
  <c r="C30" i="66"/>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F21" i="39"/>
  <c r="S21" i="39" s="1"/>
  <c r="W19" i="39"/>
  <c r="U19" i="39"/>
  <c r="AC15" i="39"/>
  <c r="S15" i="39"/>
  <c r="AB15" i="39"/>
  <c r="S9" i="39"/>
  <c r="AC13" i="39"/>
  <c r="S23" i="36"/>
  <c r="U13" i="36"/>
  <c r="AB27" i="36"/>
  <c r="U26" i="36"/>
  <c r="S33" i="36"/>
  <c r="S27" i="36"/>
  <c r="AA34" i="36"/>
  <c r="AC26" i="36"/>
  <c r="AA22" i="36"/>
  <c r="W14" i="36"/>
  <c r="U22" i="36"/>
  <c r="AA25" i="36"/>
  <c r="S24" i="36"/>
  <c r="U24" i="36"/>
  <c r="U23" i="36"/>
  <c r="U16" i="36"/>
  <c r="W10" i="36"/>
  <c r="AA25" i="35"/>
  <c r="S23" i="35"/>
  <c r="W24" i="35"/>
  <c r="AB13" i="35"/>
  <c r="U29" i="35"/>
  <c r="U28" i="35"/>
  <c r="AB27" i="35"/>
  <c r="U36" i="35"/>
  <c r="U32" i="35"/>
  <c r="AC30" i="35"/>
  <c r="S32" i="35"/>
  <c r="AA36" i="35"/>
  <c r="W32" i="35"/>
  <c r="S28" i="35"/>
  <c r="AB16" i="35"/>
  <c r="U22" i="35"/>
  <c r="AC20" i="35"/>
  <c r="S22" i="35"/>
  <c r="U14" i="35"/>
  <c r="AC10" i="35"/>
  <c r="AB10" i="35"/>
  <c r="S8" i="35"/>
  <c r="AC9" i="35"/>
  <c r="W9" i="35"/>
  <c r="W13" i="35"/>
  <c r="F9" i="35"/>
  <c r="H9" i="35"/>
  <c r="U9" i="35" s="1"/>
  <c r="J26" i="35"/>
  <c r="AC26" i="35" s="1"/>
  <c r="AB40" i="37"/>
  <c r="W27" i="37"/>
  <c r="AC9" i="37"/>
  <c r="AC29" i="37"/>
  <c r="U29" i="37"/>
  <c r="S32" i="37"/>
  <c r="AB31" i="37"/>
  <c r="W30" i="37"/>
  <c r="S36" i="37"/>
  <c r="AA38" i="37"/>
  <c r="U32" i="37"/>
  <c r="W38" i="37"/>
  <c r="AC35" i="37"/>
  <c r="S30" i="37"/>
  <c r="AC15" i="37"/>
  <c r="J17" i="37"/>
  <c r="W17" i="37" s="1"/>
  <c r="G73" i="37"/>
  <c r="F17" i="37"/>
  <c r="AA17" i="37"/>
  <c r="AB17" i="37"/>
  <c r="F75" i="37"/>
  <c r="F19" i="37"/>
  <c r="F79" i="37"/>
  <c r="G79" i="37" s="1"/>
  <c r="F23" i="37"/>
  <c r="S23" i="37"/>
  <c r="U23" i="37"/>
  <c r="U15" i="37"/>
  <c r="AC13" i="37"/>
  <c r="AA13" i="37"/>
  <c r="AA9" i="37"/>
  <c r="H10" i="37"/>
  <c r="U10" i="37" s="1"/>
  <c r="H60" i="37"/>
  <c r="F63" i="37"/>
  <c r="F11" i="37"/>
  <c r="S11" i="37"/>
  <c r="S27" i="34"/>
  <c r="W25" i="34"/>
  <c r="AB8" i="34"/>
  <c r="AA33" i="34"/>
  <c r="U44" i="34"/>
  <c r="U43" i="34"/>
  <c r="W41" i="34"/>
  <c r="U39" i="34"/>
  <c r="S43" i="34"/>
  <c r="AA45" i="34"/>
  <c r="W34" i="34"/>
  <c r="AA25" i="34"/>
  <c r="U28" i="34"/>
  <c r="S17" i="34"/>
  <c r="AA29" i="34"/>
  <c r="U27" i="34"/>
  <c r="S23" i="34"/>
  <c r="U15" i="34"/>
  <c r="S10" i="34"/>
  <c r="S13" i="34"/>
  <c r="H67" i="34"/>
  <c r="H10" i="34"/>
  <c r="U10" i="34" s="1"/>
  <c r="F11" i="34"/>
  <c r="S11" i="34"/>
  <c r="F70" i="34"/>
  <c r="W42"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W19" i="33"/>
  <c r="J17" i="33"/>
  <c r="W17" i="33" s="1"/>
  <c r="F79" i="33"/>
  <c r="S15" i="33"/>
  <c r="W15"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s="1"/>
  <c r="F34" i="67"/>
  <c r="F62" i="67" s="1"/>
  <c r="M20" i="67"/>
  <c r="F34" i="15"/>
  <c r="F62" i="15" s="1"/>
  <c r="G13" i="3"/>
  <c r="BA13" i="3"/>
  <c r="AZ13" i="3" s="1"/>
  <c r="BL17" i="3"/>
  <c r="BL13" i="3"/>
  <c r="J56" i="9"/>
  <c r="J57" i="9" s="1"/>
  <c r="J59" i="9" s="1"/>
  <c r="J61" i="9" s="1"/>
  <c r="A24" i="51"/>
  <c r="B18" i="72" s="1"/>
  <c r="U29" i="34"/>
  <c r="E5" i="6"/>
  <c r="D9" i="11" s="1"/>
  <c r="C9" i="11" s="1"/>
  <c r="P10" i="1"/>
  <c r="E32" i="6"/>
  <c r="L19" i="6"/>
  <c r="G1" i="68"/>
  <c r="K1" i="12"/>
  <c r="AR12" i="1"/>
  <c r="AQ12" i="1"/>
  <c r="T12" i="1"/>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C7" i="21"/>
  <c r="C58" i="21" s="1"/>
  <c r="D58" i="21" s="1"/>
  <c r="C7" i="40"/>
  <c r="C63" i="40" s="1"/>
  <c r="M47" i="9"/>
  <c r="G19" i="43"/>
  <c r="T35" i="4"/>
  <c r="A19" i="51" s="1"/>
  <c r="B14" i="72" s="1"/>
  <c r="C59" i="34"/>
  <c r="D59" i="34" s="1"/>
  <c r="E59" i="34" s="1"/>
  <c r="A4" i="51"/>
  <c r="B6" i="72" s="1"/>
  <c r="C94" i="9"/>
  <c r="C4" i="12"/>
  <c r="C92" i="9"/>
  <c r="H65" i="43"/>
  <c r="H63" i="43"/>
  <c r="H55" i="43"/>
  <c r="H51" i="43"/>
  <c r="H56" i="43"/>
  <c r="H76" i="43"/>
  <c r="H72" i="43"/>
  <c r="H77" i="43"/>
  <c r="L20" i="6"/>
  <c r="B6" i="1"/>
  <c r="E6" i="1"/>
  <c r="K11" i="1"/>
  <c r="M11" i="1"/>
  <c r="O11" i="1"/>
  <c r="P11" i="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U43" i="39"/>
  <c r="AB43" i="39"/>
  <c r="AA27" i="39"/>
  <c r="S27" i="39"/>
  <c r="W31" i="39"/>
  <c r="AC31" i="39"/>
  <c r="S23" i="39"/>
  <c r="AA45" i="39"/>
  <c r="AB39" i="39"/>
  <c r="W34" i="39"/>
  <c r="S8" i="39"/>
  <c r="S20" i="36"/>
  <c r="AC25" i="36"/>
  <c r="S28" i="36"/>
  <c r="W29" i="36"/>
  <c r="AC20" i="36"/>
  <c r="U25" i="36"/>
  <c r="AB28" i="36"/>
  <c r="AA13" i="36"/>
  <c r="W9" i="36"/>
  <c r="W22" i="36"/>
  <c r="S9" i="36"/>
  <c r="AB20" i="35"/>
  <c r="AC25" i="35"/>
  <c r="U25" i="35"/>
  <c r="S24" i="35"/>
  <c r="W33" i="35"/>
  <c r="AA30" i="35"/>
  <c r="S35" i="35"/>
  <c r="W35" i="35"/>
  <c r="AA16" i="35"/>
  <c r="AA35" i="37"/>
  <c r="W36" i="37"/>
  <c r="S27" i="37"/>
  <c r="S28" i="37"/>
  <c r="U36" i="37"/>
  <c r="S40" i="37"/>
  <c r="U38" i="37"/>
  <c r="AB37" i="37"/>
  <c r="S33" i="37"/>
  <c r="AC34" i="37"/>
  <c r="AB35" i="37"/>
  <c r="AA11" i="37"/>
  <c r="AA31" i="37"/>
  <c r="AA29" i="37"/>
  <c r="AA8" i="37"/>
  <c r="U8" i="37"/>
  <c r="AA40" i="34"/>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U32" i="34"/>
  <c r="AC43" i="34"/>
  <c r="W43" i="34"/>
  <c r="W23" i="34"/>
  <c r="AC23" i="34"/>
  <c r="AC35" i="34"/>
  <c r="W35" i="34"/>
  <c r="U12" i="34"/>
  <c r="AB12" i="34"/>
  <c r="AB28" i="33"/>
  <c r="AC37" i="33"/>
  <c r="W46" i="33"/>
  <c r="U39" i="33"/>
  <c r="U38" i="33"/>
  <c r="S33" i="33"/>
  <c r="AB34" i="33"/>
  <c r="U44" i="33"/>
  <c r="AB44" i="33"/>
  <c r="S30" i="33"/>
  <c r="AA30" i="33"/>
  <c r="AC14" i="33"/>
  <c r="W14" i="33"/>
  <c r="AC30" i="33"/>
  <c r="W30" i="33"/>
  <c r="AC13" i="33"/>
  <c r="U15" i="33"/>
  <c r="S11" i="33"/>
  <c r="U37" i="33"/>
  <c r="AC28" i="33"/>
  <c r="W8" i="33"/>
  <c r="S44" i="21"/>
  <c r="AB42" i="21"/>
  <c r="U28" i="21"/>
  <c r="AA11" i="21"/>
  <c r="I101" i="21"/>
  <c r="J101" i="21" s="1"/>
  <c r="K101" i="21" s="1"/>
  <c r="L101" i="21" s="1"/>
  <c r="M101" i="21" s="1"/>
  <c r="F33" i="21"/>
  <c r="J33" i="21"/>
  <c r="W33" i="21" s="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F29" i="21"/>
  <c r="S29" i="21" s="1"/>
  <c r="F13" i="21"/>
  <c r="AC38" i="21"/>
  <c r="H32" i="21"/>
  <c r="U32" i="21" s="1"/>
  <c r="H9" i="21"/>
  <c r="J9" i="21"/>
  <c r="AC9" i="21" s="1"/>
  <c r="J32" i="21"/>
  <c r="F32" i="21"/>
  <c r="S32" i="21" s="1"/>
  <c r="U17" i="21"/>
  <c r="S19" i="21"/>
  <c r="S9" i="21"/>
  <c r="AA9" i="21"/>
  <c r="K141" i="21"/>
  <c r="K144" i="21"/>
  <c r="K143" i="21"/>
  <c r="U27" i="21"/>
  <c r="AB44" i="21"/>
  <c r="AA30" i="21"/>
  <c r="W13" i="21"/>
  <c r="W42" i="21"/>
  <c r="AC45" i="21"/>
  <c r="F10" i="21"/>
  <c r="K14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B10" i="49"/>
  <c r="E7" i="49"/>
  <c r="D23" i="15"/>
  <c r="D22" i="15"/>
  <c r="B9" i="49"/>
  <c r="E4" i="4" s="1"/>
  <c r="B5" i="62" s="1"/>
  <c r="B73" i="72" s="1"/>
  <c r="E8" i="49"/>
  <c r="E5" i="49"/>
  <c r="B8" i="49"/>
  <c r="F28" i="80"/>
  <c r="C28" i="80" s="1"/>
  <c r="M18" i="80"/>
  <c r="F32" i="79"/>
  <c r="F60" i="79" s="1"/>
  <c r="F32" i="80"/>
  <c r="F60" i="80" s="1"/>
  <c r="F28" i="79"/>
  <c r="C28" i="79" s="1"/>
  <c r="M18" i="79"/>
  <c r="AC24" i="36"/>
  <c r="W12" i="36"/>
  <c r="S12" i="34"/>
  <c r="W17" i="21"/>
  <c r="AA11" i="34"/>
  <c r="C7" i="43"/>
  <c r="F53" i="9"/>
  <c r="F32" i="78"/>
  <c r="F60" i="78" s="1"/>
  <c r="M18" i="78"/>
  <c r="F28" i="78"/>
  <c r="U39" i="40"/>
  <c r="AB39" i="40"/>
  <c r="AC23" i="35"/>
  <c r="W23" i="35"/>
  <c r="U12" i="36"/>
  <c r="AB12" i="36"/>
  <c r="W12" i="34"/>
  <c r="AC12" i="34"/>
  <c r="J53" i="67"/>
  <c r="Q52" i="67" s="1"/>
  <c r="O6" i="1"/>
  <c r="P6" i="1"/>
  <c r="F30" i="68"/>
  <c r="C30" i="68" s="1"/>
  <c r="F30" i="11"/>
  <c r="C48" i="11" s="1"/>
  <c r="F28" i="67"/>
  <c r="C28" i="67" s="1"/>
  <c r="F31" i="12"/>
  <c r="F52" i="9"/>
  <c r="M18" i="67"/>
  <c r="F32" i="67"/>
  <c r="F60" i="67" s="1"/>
  <c r="F30" i="69"/>
  <c r="F32" i="15"/>
  <c r="F60" i="15" s="1"/>
  <c r="M18" i="15"/>
  <c r="F28" i="15"/>
  <c r="T11" i="1"/>
  <c r="D9" i="69"/>
  <c r="C9" i="69" s="1"/>
  <c r="D19" i="12"/>
  <c r="C19" i="12" s="1"/>
  <c r="AQ9" i="1"/>
  <c r="AR11" i="1"/>
  <c r="T9" i="1"/>
  <c r="D9" i="68"/>
  <c r="C9" i="68" s="1"/>
  <c r="S39" i="40"/>
  <c r="AA12" i="33"/>
  <c r="D68" i="9"/>
  <c r="F54" i="9"/>
  <c r="J32" i="39"/>
  <c r="AC32" i="39" s="1"/>
  <c r="H32" i="39"/>
  <c r="AA32" i="39"/>
  <c r="S32" i="39"/>
  <c r="AB9" i="35"/>
  <c r="AA9" i="35"/>
  <c r="S9" i="35"/>
  <c r="AC17" i="37"/>
  <c r="S17" i="37"/>
  <c r="J19" i="37"/>
  <c r="G75" i="37"/>
  <c r="S19" i="37"/>
  <c r="AA19" i="37"/>
  <c r="AA23" i="37"/>
  <c r="J23" i="37"/>
  <c r="W23" i="37" s="1"/>
  <c r="J10" i="37"/>
  <c r="W10" i="37" s="1"/>
  <c r="I60" i="37"/>
  <c r="G63" i="37"/>
  <c r="H63" i="37" s="1"/>
  <c r="I63" i="37" s="1"/>
  <c r="J63" i="37" s="1"/>
  <c r="K63" i="37" s="1"/>
  <c r="L63" i="37" s="1"/>
  <c r="M63" i="37" s="1"/>
  <c r="H11" i="37"/>
  <c r="AB10" i="37"/>
  <c r="G70" i="34"/>
  <c r="H70" i="34" s="1"/>
  <c r="H11" i="34"/>
  <c r="AB10" i="34"/>
  <c r="J10" i="34"/>
  <c r="AC10" i="34" s="1"/>
  <c r="I67" i="34"/>
  <c r="AB41" i="33"/>
  <c r="U41" i="33"/>
  <c r="H111" i="33"/>
  <c r="I111" i="33" s="1"/>
  <c r="J111" i="33" s="1"/>
  <c r="K111" i="33" s="1"/>
  <c r="L111" i="33" s="1"/>
  <c r="M111" i="33" s="1"/>
  <c r="J36" i="33"/>
  <c r="H36" i="33"/>
  <c r="AB36" i="33" s="1"/>
  <c r="S36" i="33"/>
  <c r="AA36" i="33"/>
  <c r="AC32" i="33"/>
  <c r="W32"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F23" i="33"/>
  <c r="S23" i="33" s="1"/>
  <c r="G85" i="33"/>
  <c r="W23" i="33"/>
  <c r="H19" i="33"/>
  <c r="AB19" i="33" s="1"/>
  <c r="G81" i="33"/>
  <c r="G79" i="33"/>
  <c r="H17" i="33"/>
  <c r="AB17" i="33" s="1"/>
  <c r="F17" i="33"/>
  <c r="AA17" i="33" s="1"/>
  <c r="AC17" i="33"/>
  <c r="AC10" i="33"/>
  <c r="W10" i="33"/>
  <c r="AC37" i="21"/>
  <c r="U33" i="21"/>
  <c r="S37" i="21"/>
  <c r="AA23" i="21"/>
  <c r="AB15" i="21"/>
  <c r="J23" i="21"/>
  <c r="AC23" i="21" s="1"/>
  <c r="F85" i="21"/>
  <c r="G85" i="21" s="1"/>
  <c r="H23" i="21"/>
  <c r="AB23" i="21" s="1"/>
  <c r="D6" i="52"/>
  <c r="O14" i="1"/>
  <c r="P14" i="1"/>
  <c r="O19" i="43"/>
  <c r="E52" i="37"/>
  <c r="F52" i="37" s="1"/>
  <c r="E58" i="21"/>
  <c r="F58" i="21" s="1"/>
  <c r="G58" i="21" s="1"/>
  <c r="H58" i="21" s="1"/>
  <c r="E48" i="35"/>
  <c r="F48" i="35" s="1"/>
  <c r="G48" i="35"/>
  <c r="H48" i="35" s="1"/>
  <c r="I48" i="35" s="1"/>
  <c r="F59" i="34"/>
  <c r="G59" i="34" s="1"/>
  <c r="H59" i="34" s="1"/>
  <c r="I59" i="34" s="1"/>
  <c r="C65" i="40"/>
  <c r="D63" i="40"/>
  <c r="D65" i="40" s="1"/>
  <c r="AP7" i="1"/>
  <c r="C36" i="69" s="1"/>
  <c r="AC33" i="21"/>
  <c r="S33" i="21"/>
  <c r="AA33" i="21"/>
  <c r="W32" i="21"/>
  <c r="AC32" i="21"/>
  <c r="AB9" i="21"/>
  <c r="U9" i="21"/>
  <c r="AA32" i="21"/>
  <c r="W9" i="21"/>
  <c r="AB32" i="21"/>
  <c r="AA10" i="21"/>
  <c r="S10" i="21"/>
  <c r="O7" i="1"/>
  <c r="C30" i="11"/>
  <c r="A18" i="62"/>
  <c r="B64" i="72" s="1"/>
  <c r="U32" i="39"/>
  <c r="AB32" i="39"/>
  <c r="W19" i="37"/>
  <c r="AC19" i="37"/>
  <c r="AC23" i="37"/>
  <c r="AB11" i="37"/>
  <c r="U11" i="37"/>
  <c r="J11" i="37"/>
  <c r="W11" i="37" s="1"/>
  <c r="AC10" i="37"/>
  <c r="U11" i="34"/>
  <c r="AB11" i="34"/>
  <c r="W10" i="34"/>
  <c r="I70" i="34"/>
  <c r="J70" i="34" s="1"/>
  <c r="K70" i="34" s="1"/>
  <c r="L70" i="34" s="1"/>
  <c r="M70" i="34" s="1"/>
  <c r="J11" i="34"/>
  <c r="AC36" i="33"/>
  <c r="W36" i="33"/>
  <c r="U36" i="33"/>
  <c r="W27" i="33"/>
  <c r="W25" i="33"/>
  <c r="AA23" i="33"/>
  <c r="U19" i="33"/>
  <c r="S17" i="33"/>
  <c r="U17" i="33"/>
  <c r="U23" i="21"/>
  <c r="W23" i="21"/>
  <c r="P7" i="1"/>
  <c r="E63" i="40"/>
  <c r="G39" i="43"/>
  <c r="I39" i="43" s="1"/>
  <c r="F1" i="67"/>
  <c r="AC11" i="37"/>
  <c r="W11" i="34"/>
  <c r="AC11" i="34"/>
  <c r="F34" i="11"/>
  <c r="C36" i="11" s="1"/>
  <c r="F11" i="12"/>
  <c r="C23" i="12" s="1"/>
  <c r="F34" i="68"/>
  <c r="C36" i="68" s="1"/>
  <c r="E17" i="12"/>
  <c r="B31" i="1"/>
  <c r="E19" i="69"/>
  <c r="E19" i="11"/>
  <c r="E19" i="68"/>
  <c r="C19" i="68"/>
  <c r="AG7" i="1"/>
  <c r="AG6" i="1"/>
  <c r="H109" i="9"/>
  <c r="M49" i="9"/>
  <c r="L68" i="9" s="1"/>
  <c r="M68" i="9" s="1"/>
  <c r="H110" i="9"/>
  <c r="D18" i="53"/>
  <c r="B35" i="72" s="1"/>
  <c r="D124" i="9"/>
  <c r="H14" i="74" s="1"/>
  <c r="B7" i="74" s="1"/>
  <c r="D16" i="53"/>
  <c r="B34" i="72" s="1"/>
  <c r="D10" i="52"/>
  <c r="D125" i="9"/>
  <c r="D11" i="52" s="1"/>
  <c r="H112" i="9"/>
  <c r="D21" i="53" s="1"/>
  <c r="B39" i="72" s="1"/>
  <c r="H111" i="9"/>
  <c r="D126" i="9" s="1"/>
  <c r="D59" i="9"/>
  <c r="M55" i="9" s="1"/>
  <c r="F6" i="67"/>
  <c r="M23" i="67"/>
  <c r="D2" i="35"/>
  <c r="AO10" i="1"/>
  <c r="F36" i="15"/>
  <c r="F20" i="31"/>
  <c r="M6" i="15"/>
  <c r="F42" i="15"/>
  <c r="F5" i="73"/>
  <c r="M8" i="67"/>
  <c r="F43" i="67"/>
  <c r="M9" i="15"/>
  <c r="F26" i="15"/>
  <c r="M24" i="15"/>
  <c r="J15" i="15"/>
  <c r="F9" i="78"/>
  <c r="F9" i="67"/>
  <c r="F8" i="15"/>
  <c r="E12" i="76"/>
  <c r="F40" i="67"/>
  <c r="F26" i="67"/>
  <c r="B12" i="76"/>
  <c r="F38" i="15"/>
  <c r="F37" i="15"/>
  <c r="M28" i="67"/>
  <c r="D2" i="21"/>
  <c r="D2" i="33"/>
  <c r="L47" i="67"/>
  <c r="M21" i="67"/>
  <c r="F4" i="73"/>
  <c r="M29" i="67"/>
  <c r="E13" i="76"/>
  <c r="B9" i="76"/>
  <c r="M27" i="15"/>
  <c r="L48" i="15"/>
  <c r="B13" i="76"/>
  <c r="F8" i="78"/>
  <c r="F43" i="15"/>
  <c r="F40" i="15"/>
  <c r="B10" i="76"/>
  <c r="E8" i="76"/>
  <c r="AO13" i="1"/>
  <c r="M29" i="15"/>
  <c r="F3" i="73"/>
  <c r="F13" i="67"/>
  <c r="E10" i="76"/>
  <c r="F37" i="67"/>
  <c r="F35" i="67"/>
  <c r="B8" i="76"/>
  <c r="C76" i="67"/>
  <c r="AO12" i="1"/>
  <c r="M22" i="67"/>
  <c r="B11" i="76"/>
  <c r="M28" i="15"/>
  <c r="C76" i="15"/>
  <c r="M26" i="67"/>
  <c r="E2" i="69"/>
  <c r="F38" i="67"/>
  <c r="F42" i="67"/>
  <c r="D2" i="37"/>
  <c r="J15" i="67"/>
  <c r="M6" i="67"/>
  <c r="F16" i="67"/>
  <c r="M24" i="67"/>
  <c r="F16" i="15"/>
  <c r="F7" i="67"/>
  <c r="L48" i="67"/>
  <c r="M8" i="15"/>
  <c r="E2" i="68"/>
  <c r="AO11" i="1"/>
  <c r="F7" i="15"/>
  <c r="L47" i="15"/>
  <c r="E11" i="76"/>
  <c r="M26" i="15"/>
  <c r="B7" i="76"/>
  <c r="F36" i="67"/>
  <c r="M23" i="15"/>
  <c r="F9" i="15"/>
  <c r="F41" i="67"/>
  <c r="D2" i="36"/>
  <c r="AO9" i="1"/>
  <c r="D2" i="34"/>
  <c r="F6" i="73"/>
  <c r="F7" i="73"/>
  <c r="M27" i="67"/>
  <c r="E9" i="76"/>
  <c r="F8" i="67"/>
  <c r="E7" i="76"/>
  <c r="M9" i="67"/>
  <c r="M22" i="15"/>
  <c r="E11" i="49" l="1"/>
  <c r="B4" i="49"/>
  <c r="E10" i="49"/>
  <c r="E16" i="49"/>
  <c r="E6" i="49"/>
  <c r="U21" i="39"/>
  <c r="AB21" i="39"/>
  <c r="AZ558" i="3"/>
  <c r="D58" i="33"/>
  <c r="C16" i="43"/>
  <c r="C5" i="43" s="1"/>
  <c r="S19" i="33"/>
  <c r="AA19" i="33"/>
  <c r="C31" i="12"/>
  <c r="C28" i="15"/>
  <c r="C13" i="12"/>
  <c r="AZ24" i="3"/>
  <c r="AZ276" i="3"/>
  <c r="AC33" i="34"/>
  <c r="W33" i="34"/>
  <c r="U20" i="36"/>
  <c r="AB20" i="36"/>
  <c r="H62" i="43"/>
  <c r="H61" i="43"/>
  <c r="H60" i="43"/>
  <c r="H59" i="43"/>
  <c r="H67" i="43"/>
  <c r="AB19" i="37"/>
  <c r="U19" i="37"/>
  <c r="AB32" i="40"/>
  <c r="U32" i="40"/>
  <c r="AB43" i="33"/>
  <c r="U43" i="33"/>
  <c r="U25" i="21"/>
  <c r="AB25" i="21"/>
  <c r="AZ535" i="3"/>
  <c r="AZ528" i="3"/>
  <c r="W45" i="33"/>
  <c r="AC45" i="33"/>
  <c r="W31" i="33"/>
  <c r="AC31" i="33"/>
  <c r="U29" i="33"/>
  <c r="AB29" i="33"/>
  <c r="S13" i="33"/>
  <c r="AA13" i="33"/>
  <c r="AA45" i="21"/>
  <c r="S45" i="21"/>
  <c r="W32" i="39"/>
  <c r="K120" i="9"/>
  <c r="AB10" i="33"/>
  <c r="U23" i="33"/>
  <c r="AB27" i="33"/>
  <c r="W35" i="33"/>
  <c r="W26" i="35"/>
  <c r="AA21" i="39"/>
  <c r="C24" i="12"/>
  <c r="C77" i="9"/>
  <c r="C74" i="9" s="1"/>
  <c r="C48" i="69"/>
  <c r="AA9" i="34"/>
  <c r="AC36" i="35"/>
  <c r="U23" i="35"/>
  <c r="S27" i="21"/>
  <c r="AA13" i="21"/>
  <c r="S13" i="21"/>
  <c r="U45" i="21"/>
  <c r="AB45" i="21"/>
  <c r="AA31" i="33"/>
  <c r="U14" i="34"/>
  <c r="S46" i="34"/>
  <c r="AA30" i="34"/>
  <c r="H64" i="43"/>
  <c r="H66" i="43"/>
  <c r="L27" i="6"/>
  <c r="AB35" i="34"/>
  <c r="AA12" i="37"/>
  <c r="U9" i="37"/>
  <c r="AA11" i="35"/>
  <c r="AA10" i="35"/>
  <c r="U10" i="36"/>
  <c r="S16" i="36"/>
  <c r="AB14" i="36"/>
  <c r="S29" i="36"/>
  <c r="AA26" i="36"/>
  <c r="AR13" i="1"/>
  <c r="AQ13" i="1"/>
  <c r="T13" i="1"/>
  <c r="AZ385" i="3"/>
  <c r="AZ414" i="3"/>
  <c r="BC5" i="3"/>
  <c r="W39" i="34"/>
  <c r="AC39" i="34"/>
  <c r="S35" i="33"/>
  <c r="AA35" i="33"/>
  <c r="AA20" i="35"/>
  <c r="S20" i="35"/>
  <c r="E65" i="40"/>
  <c r="F63" i="40"/>
  <c r="AQ10" i="1"/>
  <c r="T10" i="1"/>
  <c r="AZ42" i="3"/>
  <c r="AZ32" i="3"/>
  <c r="AZ137" i="3"/>
  <c r="AZ221" i="3"/>
  <c r="AZ467" i="3"/>
  <c r="W27" i="36"/>
  <c r="AC27" i="36"/>
  <c r="W34" i="33"/>
  <c r="AC34" i="33"/>
  <c r="AA15" i="37"/>
  <c r="S15" i="37"/>
  <c r="AC43" i="33"/>
  <c r="W43" i="33"/>
  <c r="AA37" i="37"/>
  <c r="S37" i="37"/>
  <c r="AC32" i="37"/>
  <c r="W32" i="37"/>
  <c r="AB24" i="35"/>
  <c r="U24" i="35"/>
  <c r="U41" i="34"/>
  <c r="AB41" i="34"/>
  <c r="AA14" i="36"/>
  <c r="S14" i="36"/>
  <c r="AA39" i="33"/>
  <c r="S39" i="33"/>
  <c r="AC25" i="21"/>
  <c r="W25" i="21"/>
  <c r="W32" i="34"/>
  <c r="AC32" i="34"/>
  <c r="S33" i="35"/>
  <c r="AA33" i="35"/>
  <c r="AA28" i="33"/>
  <c r="S28" i="33"/>
  <c r="U26" i="33"/>
  <c r="AB26" i="33"/>
  <c r="J39" i="37"/>
  <c r="H39" i="37"/>
  <c r="F39" i="37"/>
  <c r="AC40" i="39"/>
  <c r="W40" i="39"/>
  <c r="J12" i="39"/>
  <c r="F12" i="39"/>
  <c r="H12" i="39"/>
  <c r="AB12" i="39" s="1"/>
  <c r="J14" i="39"/>
  <c r="H14" i="39"/>
  <c r="F91" i="39"/>
  <c r="G91" i="39" s="1"/>
  <c r="H17" i="39"/>
  <c r="F17" i="39"/>
  <c r="J17" i="39"/>
  <c r="F95" i="39"/>
  <c r="G95" i="39" s="1"/>
  <c r="J21" i="39"/>
  <c r="AB40" i="40"/>
  <c r="U40" i="40"/>
  <c r="F38" i="40"/>
  <c r="J38" i="40"/>
  <c r="W40" i="40"/>
  <c r="AC40" i="40"/>
  <c r="AA40" i="33"/>
  <c r="S40" i="33"/>
  <c r="S38" i="34"/>
  <c r="AA38" i="34"/>
  <c r="W38" i="34"/>
  <c r="AC38" i="34"/>
  <c r="W42" i="34"/>
  <c r="AC42" i="34"/>
  <c r="AA31" i="35"/>
  <c r="S31" i="35"/>
  <c r="F26" i="35"/>
  <c r="H26" i="35"/>
  <c r="AB30" i="36"/>
  <c r="U30" i="36"/>
  <c r="F36" i="39"/>
  <c r="J36" i="39"/>
  <c r="H36" i="39"/>
  <c r="BA584" i="3"/>
  <c r="BA583" i="3"/>
  <c r="BL582" i="3"/>
  <c r="BA582" i="3"/>
  <c r="BA581" i="3"/>
  <c r="BL580" i="3"/>
  <c r="BA580" i="3"/>
  <c r="BL578" i="3"/>
  <c r="AZ578" i="3" s="1"/>
  <c r="BA577" i="3"/>
  <c r="BL576" i="3"/>
  <c r="BA576" i="3"/>
  <c r="BA575" i="3"/>
  <c r="BL574" i="3"/>
  <c r="BA574" i="3"/>
  <c r="AZ574" i="3" s="1"/>
  <c r="BL573" i="3"/>
  <c r="BA573" i="3"/>
  <c r="BL572" i="3"/>
  <c r="BA572" i="3"/>
  <c r="AZ572" i="3" s="1"/>
  <c r="BA570" i="3"/>
  <c r="AZ570" i="3" s="1"/>
  <c r="BA569" i="3"/>
  <c r="AZ569" i="3" s="1"/>
  <c r="BL568" i="3"/>
  <c r="BA568" i="3"/>
  <c r="AZ568" i="3" s="1"/>
  <c r="BA567" i="3"/>
  <c r="BL566" i="3"/>
  <c r="BA566" i="3"/>
  <c r="BL565" i="3"/>
  <c r="BA565" i="3"/>
  <c r="BL564" i="3"/>
  <c r="BA564" i="3"/>
  <c r="BL562" i="3"/>
  <c r="AZ562" i="3" s="1"/>
  <c r="BA561" i="3"/>
  <c r="BL560" i="3"/>
  <c r="BA560" i="3"/>
  <c r="BA559" i="3"/>
  <c r="AZ559" i="3" s="1"/>
  <c r="BA558" i="3"/>
  <c r="BA557" i="3"/>
  <c r="BL556" i="3"/>
  <c r="BA556" i="3"/>
  <c r="AZ556" i="3" s="1"/>
  <c r="BL555" i="3"/>
  <c r="BA555" i="3"/>
  <c r="BL554" i="3"/>
  <c r="BA554" i="3"/>
  <c r="AZ554" i="3" s="1"/>
  <c r="BL552" i="3"/>
  <c r="BA552" i="3"/>
  <c r="AZ552" i="3" s="1"/>
  <c r="BA551" i="3"/>
  <c r="BL550" i="3"/>
  <c r="AZ550" i="3" s="1"/>
  <c r="BL549" i="3"/>
  <c r="BA549" i="3"/>
  <c r="AZ549" i="3" s="1"/>
  <c r="BL548" i="3"/>
  <c r="BA548" i="3"/>
  <c r="BA547" i="3"/>
  <c r="BA545" i="3"/>
  <c r="BL544" i="3"/>
  <c r="BA544" i="3"/>
  <c r="AZ544" i="3" s="1"/>
  <c r="BL543" i="3"/>
  <c r="AZ543" i="3" s="1"/>
  <c r="BL542" i="3"/>
  <c r="BA542" i="3"/>
  <c r="BA541" i="3"/>
  <c r="BL540" i="3"/>
  <c r="BA540" i="3"/>
  <c r="AZ540" i="3" s="1"/>
  <c r="BA539" i="3"/>
  <c r="BL538" i="3"/>
  <c r="AZ538" i="3" s="1"/>
  <c r="BA537" i="3"/>
  <c r="AZ537" i="3" s="1"/>
  <c r="BL536" i="3"/>
  <c r="BA536" i="3"/>
  <c r="BL534" i="3"/>
  <c r="BA534" i="3"/>
  <c r="BA533" i="3"/>
  <c r="AZ533" i="3" s="1"/>
  <c r="BL532" i="3"/>
  <c r="BA532" i="3"/>
  <c r="AZ532" i="3" s="1"/>
  <c r="BA531" i="3"/>
  <c r="AZ531" i="3" s="1"/>
  <c r="BL530" i="3"/>
  <c r="BA530" i="3"/>
  <c r="BA529" i="3"/>
  <c r="BL528" i="3"/>
  <c r="BL527" i="3"/>
  <c r="AZ527" i="3" s="1"/>
  <c r="AZ521" i="3"/>
  <c r="BQ5" i="3"/>
  <c r="F28" i="6" s="1"/>
  <c r="BS5" i="3"/>
  <c r="BK5" i="3"/>
  <c r="BE5" i="3"/>
  <c r="BH5" i="3"/>
  <c r="BL526" i="3"/>
  <c r="BA526" i="3"/>
  <c r="BL524" i="3"/>
  <c r="AZ524" i="3" s="1"/>
  <c r="BL522" i="3"/>
  <c r="BA522" i="3"/>
  <c r="BA519" i="3"/>
  <c r="BA515" i="3"/>
  <c r="BA511" i="3"/>
  <c r="AZ511" i="3" s="1"/>
  <c r="BA505" i="3"/>
  <c r="BL500" i="3"/>
  <c r="BA500" i="3"/>
  <c r="BL498" i="3"/>
  <c r="AZ498" i="3" s="1"/>
  <c r="BL496" i="3"/>
  <c r="AZ496" i="3" s="1"/>
  <c r="BG5" i="3"/>
  <c r="BA494" i="3"/>
  <c r="AZ494" i="3" s="1"/>
  <c r="BJ5" i="3"/>
  <c r="P16" i="1"/>
  <c r="C11" i="12" s="1"/>
  <c r="C15" i="12" s="1"/>
  <c r="C28" i="78"/>
  <c r="AZ22" i="3"/>
  <c r="AZ118" i="3"/>
  <c r="AZ252" i="3"/>
  <c r="AZ461" i="3"/>
  <c r="AZ449" i="3"/>
  <c r="BN5" i="3"/>
  <c r="G29" i="6" s="1"/>
  <c r="E29" i="6" s="1"/>
  <c r="K15" i="1" s="1"/>
  <c r="AZ337" i="3"/>
  <c r="AZ345" i="3"/>
  <c r="BL495" i="3"/>
  <c r="AZ495" i="3" s="1"/>
  <c r="BL499" i="3"/>
  <c r="AZ499" i="3" s="1"/>
  <c r="BL505" i="3"/>
  <c r="AZ505" i="3" s="1"/>
  <c r="BL509" i="3"/>
  <c r="AZ509" i="3" s="1"/>
  <c r="BL513" i="3"/>
  <c r="AZ513" i="3" s="1"/>
  <c r="BL519" i="3"/>
  <c r="AZ519" i="3" s="1"/>
  <c r="BL525" i="3"/>
  <c r="BL547" i="3"/>
  <c r="AZ547" i="3" s="1"/>
  <c r="BL551" i="3"/>
  <c r="BL569" i="3"/>
  <c r="BL575" i="3"/>
  <c r="BL579" i="3"/>
  <c r="AZ579" i="3" s="1"/>
  <c r="BL583" i="3"/>
  <c r="G557" i="3"/>
  <c r="AB30" i="35"/>
  <c r="U30" i="35"/>
  <c r="AA35" i="39"/>
  <c r="S35" i="39"/>
  <c r="F28" i="34"/>
  <c r="J28" i="34"/>
  <c r="AB8" i="35"/>
  <c r="U8" i="35"/>
  <c r="F32" i="36"/>
  <c r="H32" i="36"/>
  <c r="J32" i="36"/>
  <c r="AB31" i="36"/>
  <c r="U31" i="36"/>
  <c r="BA525" i="3"/>
  <c r="BL520" i="3"/>
  <c r="AZ520" i="3" s="1"/>
  <c r="BL518" i="3"/>
  <c r="BA518" i="3"/>
  <c r="BL516" i="3"/>
  <c r="AZ516" i="3" s="1"/>
  <c r="BL514" i="3"/>
  <c r="BA514" i="3"/>
  <c r="AZ514" i="3" s="1"/>
  <c r="BA510" i="3"/>
  <c r="AZ510" i="3" s="1"/>
  <c r="BL508" i="3"/>
  <c r="AZ508" i="3" s="1"/>
  <c r="BL506" i="3"/>
  <c r="BA506" i="3"/>
  <c r="AZ506" i="3" s="1"/>
  <c r="BL504" i="3"/>
  <c r="AZ504" i="3" s="1"/>
  <c r="BL502" i="3"/>
  <c r="AZ502" i="3" s="1"/>
  <c r="BA501" i="3"/>
  <c r="BA497" i="3"/>
  <c r="AZ497" i="3" s="1"/>
  <c r="BP5" i="3"/>
  <c r="BR5" i="3"/>
  <c r="G28" i="6" s="1"/>
  <c r="G30" i="6" s="1"/>
  <c r="G31" i="6" s="1"/>
  <c r="BF5" i="3"/>
  <c r="BA493" i="3"/>
  <c r="AZ493" i="3" s="1"/>
  <c r="AZ379" i="3"/>
  <c r="AZ303" i="3"/>
  <c r="AZ389" i="3"/>
  <c r="AZ347" i="3"/>
  <c r="AZ344" i="3"/>
  <c r="AZ321" i="3"/>
  <c r="AZ179" i="3"/>
  <c r="AZ120" i="3"/>
  <c r="AZ394" i="3"/>
  <c r="AZ360" i="3"/>
  <c r="BL497" i="3"/>
  <c r="BL501" i="3"/>
  <c r="BL507" i="3"/>
  <c r="AZ507" i="3" s="1"/>
  <c r="BL511" i="3"/>
  <c r="BL515" i="3"/>
  <c r="BL523" i="3"/>
  <c r="AZ523" i="3" s="1"/>
  <c r="BL529" i="3"/>
  <c r="BL533" i="3"/>
  <c r="BL539" i="3"/>
  <c r="AZ539" i="3" s="1"/>
  <c r="BL545" i="3"/>
  <c r="AZ545" i="3" s="1"/>
  <c r="BL553" i="3"/>
  <c r="AZ553" i="3" s="1"/>
  <c r="BL561" i="3"/>
  <c r="AZ561" i="3" s="1"/>
  <c r="BL567" i="3"/>
  <c r="AZ567" i="3" s="1"/>
  <c r="BL571" i="3"/>
  <c r="AZ571" i="3" s="1"/>
  <c r="BL577" i="3"/>
  <c r="BL581" i="3"/>
  <c r="AZ581" i="3" s="1"/>
  <c r="BL557" i="3"/>
  <c r="AB31" i="34"/>
  <c r="U31" i="34"/>
  <c r="AC33" i="37"/>
  <c r="W33" i="37"/>
  <c r="W11" i="40"/>
  <c r="AC11" i="40"/>
  <c r="U11" i="21"/>
  <c r="AB11" i="21"/>
  <c r="AA34" i="21"/>
  <c r="S34" i="21"/>
  <c r="J29" i="21"/>
  <c r="H29" i="21"/>
  <c r="H31" i="21"/>
  <c r="F31" i="21"/>
  <c r="AA8" i="33"/>
  <c r="S8" i="33"/>
  <c r="AC33" i="33"/>
  <c r="W33" i="33"/>
  <c r="AA38" i="33"/>
  <c r="S38" i="33"/>
  <c r="AC8" i="34"/>
  <c r="W8" i="34"/>
  <c r="H12" i="35"/>
  <c r="F12" i="35"/>
  <c r="W27" i="35"/>
  <c r="AC27" i="35"/>
  <c r="U8" i="36"/>
  <c r="AB8" i="36"/>
  <c r="AB14" i="37"/>
  <c r="U14" i="37"/>
  <c r="J26" i="37"/>
  <c r="H26" i="37"/>
  <c r="F26" i="37"/>
  <c r="H25" i="37"/>
  <c r="J25" i="37"/>
  <c r="F25" i="37"/>
  <c r="U8" i="39"/>
  <c r="AB8" i="39"/>
  <c r="E124" i="39"/>
  <c r="F124" i="39" s="1"/>
  <c r="G124" i="39" s="1"/>
  <c r="H124" i="39" s="1"/>
  <c r="I124" i="39" s="1"/>
  <c r="J124" i="39" s="1"/>
  <c r="K124" i="39" s="1"/>
  <c r="L124" i="39" s="1"/>
  <c r="M124" i="39" s="1"/>
  <c r="F41" i="39"/>
  <c r="S9" i="40"/>
  <c r="AA9" i="40"/>
  <c r="AC32" i="40"/>
  <c r="W32" i="40"/>
  <c r="U41" i="21"/>
  <c r="AB41" i="21"/>
  <c r="G558" i="3"/>
  <c r="G556" i="3"/>
  <c r="G400" i="3"/>
  <c r="BL401" i="3"/>
  <c r="G402" i="3"/>
  <c r="BA403" i="3"/>
  <c r="BL403" i="3"/>
  <c r="BA404" i="3"/>
  <c r="AZ404" i="3" s="1"/>
  <c r="BA406" i="3"/>
  <c r="AZ406" i="3" s="1"/>
  <c r="BA408" i="3"/>
  <c r="AZ408" i="3" s="1"/>
  <c r="BA412" i="3"/>
  <c r="AZ412" i="3" s="1"/>
  <c r="BL414" i="3"/>
  <c r="BA415" i="3"/>
  <c r="AZ415" i="3" s="1"/>
  <c r="BA417" i="3"/>
  <c r="AZ417" i="3" s="1"/>
  <c r="BA419" i="3"/>
  <c r="AZ419" i="3" s="1"/>
  <c r="G420" i="3"/>
  <c r="BL421" i="3"/>
  <c r="G422" i="3"/>
  <c r="BL423" i="3"/>
  <c r="AZ423" i="3" s="1"/>
  <c r="G424" i="3"/>
  <c r="BL425" i="3"/>
  <c r="G426" i="3"/>
  <c r="BA427" i="3"/>
  <c r="AZ427" i="3" s="1"/>
  <c r="BL427" i="3"/>
  <c r="BL429" i="3"/>
  <c r="AZ429" i="3" s="1"/>
  <c r="G430" i="3"/>
  <c r="BL431" i="3"/>
  <c r="G432" i="3"/>
  <c r="G434" i="3"/>
  <c r="G438" i="3"/>
  <c r="G440" i="3"/>
  <c r="BL441" i="3"/>
  <c r="G442" i="3"/>
  <c r="BA443" i="3"/>
  <c r="BL443" i="3"/>
  <c r="BA444" i="3"/>
  <c r="AZ444" i="3" s="1"/>
  <c r="BA446" i="3"/>
  <c r="AZ446" i="3" s="1"/>
  <c r="BA449" i="3"/>
  <c r="BA451" i="3"/>
  <c r="AZ451" i="3" s="1"/>
  <c r="G452" i="3"/>
  <c r="BL453" i="3"/>
  <c r="G454" i="3"/>
  <c r="BL455" i="3"/>
  <c r="AZ455" i="3" s="1"/>
  <c r="G456" i="3"/>
  <c r="BA457" i="3"/>
  <c r="AZ457" i="3" s="1"/>
  <c r="BL457" i="3"/>
  <c r="BA459" i="3"/>
  <c r="AZ459" i="3" s="1"/>
  <c r="BA461" i="3"/>
  <c r="BL463" i="3"/>
  <c r="BA465" i="3"/>
  <c r="AZ465" i="3" s="1"/>
  <c r="G466" i="3"/>
  <c r="BL467" i="3"/>
  <c r="G468" i="3"/>
  <c r="G474" i="3"/>
  <c r="BL475" i="3"/>
  <c r="BL477" i="3"/>
  <c r="G478" i="3"/>
  <c r="BA479" i="3"/>
  <c r="BL479" i="3"/>
  <c r="BA481" i="3"/>
  <c r="BL481" i="3"/>
  <c r="BA482" i="3"/>
  <c r="AZ482" i="3" s="1"/>
  <c r="BA483" i="3"/>
  <c r="AZ483" i="3" s="1"/>
  <c r="BL484" i="3"/>
  <c r="AZ484" i="3" s="1"/>
  <c r="BA487" i="3"/>
  <c r="AZ487" i="3" s="1"/>
  <c r="G488" i="3"/>
  <c r="BL489" i="3"/>
  <c r="AZ489" i="3" s="1"/>
  <c r="G490" i="3"/>
  <c r="G492" i="3"/>
  <c r="BA303" i="3"/>
  <c r="BA307" i="3"/>
  <c r="AZ307" i="3" s="1"/>
  <c r="G315" i="3"/>
  <c r="BA316" i="3"/>
  <c r="AZ316" i="3" s="1"/>
  <c r="G327" i="3"/>
  <c r="BL328" i="3"/>
  <c r="AZ328" i="3" s="1"/>
  <c r="BA333" i="3"/>
  <c r="BL333" i="3"/>
  <c r="G351" i="3"/>
  <c r="BA352" i="3"/>
  <c r="AZ352" i="3" s="1"/>
  <c r="BA354" i="3"/>
  <c r="AZ354" i="3" s="1"/>
  <c r="BA370" i="3"/>
  <c r="AZ370" i="3" s="1"/>
  <c r="BA374" i="3"/>
  <c r="AZ374" i="3" s="1"/>
  <c r="G384" i="3"/>
  <c r="BL385" i="3"/>
  <c r="BA395" i="3"/>
  <c r="AZ395" i="3" s="1"/>
  <c r="G396" i="3"/>
  <c r="BA397" i="3"/>
  <c r="AZ397" i="3" s="1"/>
  <c r="BL397" i="3"/>
  <c r="BA209" i="3"/>
  <c r="AZ209" i="3" s="1"/>
  <c r="BL209" i="3"/>
  <c r="BA210" i="3"/>
  <c r="AZ210" i="3" s="1"/>
  <c r="BL212" i="3"/>
  <c r="AZ212" i="3" s="1"/>
  <c r="BA214" i="3"/>
  <c r="AZ214" i="3" s="1"/>
  <c r="G215" i="3"/>
  <c r="BA216" i="3"/>
  <c r="AZ216" i="3" s="1"/>
  <c r="BL216" i="3"/>
  <c r="BA218" i="3"/>
  <c r="AZ218" i="3" s="1"/>
  <c r="BL218" i="3"/>
  <c r="BA219" i="3"/>
  <c r="AZ219" i="3" s="1"/>
  <c r="BL221" i="3"/>
  <c r="BL223" i="3"/>
  <c r="AZ223" i="3" s="1"/>
  <c r="BL225" i="3"/>
  <c r="BL227" i="3"/>
  <c r="G228" i="3"/>
  <c r="BL229" i="3"/>
  <c r="G232" i="3"/>
  <c r="G234" i="3"/>
  <c r="BA238" i="3"/>
  <c r="AZ238" i="3" s="1"/>
  <c r="BA240" i="3"/>
  <c r="AZ240" i="3" s="1"/>
  <c r="BA242" i="3"/>
  <c r="AZ242" i="3" s="1"/>
  <c r="BL244" i="3"/>
  <c r="G247" i="3"/>
  <c r="G249" i="3"/>
  <c r="BL250" i="3"/>
  <c r="G251" i="3"/>
  <c r="BL252" i="3"/>
  <c r="G253" i="3"/>
  <c r="BA254" i="3"/>
  <c r="BL254" i="3"/>
  <c r="BA255" i="3"/>
  <c r="AZ255" i="3" s="1"/>
  <c r="BA257" i="3"/>
  <c r="AZ257" i="3" s="1"/>
  <c r="BA259" i="3"/>
  <c r="AZ259" i="3" s="1"/>
  <c r="BA261" i="3"/>
  <c r="AZ261" i="3" s="1"/>
  <c r="BA263" i="3"/>
  <c r="AZ263" i="3" s="1"/>
  <c r="BA265" i="3"/>
  <c r="AZ265" i="3" s="1"/>
  <c r="BL267" i="3"/>
  <c r="AZ267" i="3" s="1"/>
  <c r="BL269" i="3"/>
  <c r="AZ269" i="3" s="1"/>
  <c r="BL270" i="3"/>
  <c r="G271" i="3"/>
  <c r="BL272" i="3"/>
  <c r="AZ272" i="3" s="1"/>
  <c r="G273" i="3"/>
  <c r="BL274" i="3"/>
  <c r="G275" i="3"/>
  <c r="BL276" i="3"/>
  <c r="G277" i="3"/>
  <c r="G285" i="3"/>
  <c r="BA286" i="3"/>
  <c r="AZ286" i="3" s="1"/>
  <c r="G287" i="3"/>
  <c r="G289" i="3"/>
  <c r="BA290" i="3"/>
  <c r="BL290" i="3"/>
  <c r="BL292" i="3"/>
  <c r="AZ292" i="3" s="1"/>
  <c r="BA293" i="3"/>
  <c r="AZ293" i="3" s="1"/>
  <c r="BA295" i="3"/>
  <c r="AZ295" i="3" s="1"/>
  <c r="BA297" i="3"/>
  <c r="AZ297" i="3" s="1"/>
  <c r="BL299" i="3"/>
  <c r="AZ299" i="3" s="1"/>
  <c r="BA300" i="3"/>
  <c r="AZ300" i="3" s="1"/>
  <c r="BA114" i="3"/>
  <c r="AZ114" i="3" s="1"/>
  <c r="BA116" i="3"/>
  <c r="AZ116" i="3" s="1"/>
  <c r="BL118" i="3"/>
  <c r="G119" i="3"/>
  <c r="BA120" i="3"/>
  <c r="BL122" i="3"/>
  <c r="G123" i="3"/>
  <c r="BA124" i="3"/>
  <c r="AZ124" i="3" s="1"/>
  <c r="BA129" i="3"/>
  <c r="BL129" i="3"/>
  <c r="BL131" i="3"/>
  <c r="AZ131" i="3" s="1"/>
  <c r="G132" i="3"/>
  <c r="BA133" i="3"/>
  <c r="AZ133" i="3" s="1"/>
  <c r="G136" i="3"/>
  <c r="BL137" i="3"/>
  <c r="G140" i="3"/>
  <c r="BL141" i="3"/>
  <c r="AZ141" i="3" s="1"/>
  <c r="G144" i="3"/>
  <c r="BL145" i="3"/>
  <c r="AZ145" i="3" s="1"/>
  <c r="BL147" i="3"/>
  <c r="AZ147" i="3" s="1"/>
  <c r="BA150" i="3"/>
  <c r="BL150" i="3"/>
  <c r="BA153" i="3"/>
  <c r="AZ153" i="3" s="1"/>
  <c r="BA154" i="3"/>
  <c r="AZ154" i="3" s="1"/>
  <c r="BL158" i="3"/>
  <c r="G159" i="3"/>
  <c r="BA160" i="3"/>
  <c r="AZ160" i="3" s="1"/>
  <c r="G166" i="3"/>
  <c r="BA173" i="3"/>
  <c r="AZ173" i="3" s="1"/>
  <c r="G174" i="3"/>
  <c r="BA177" i="3"/>
  <c r="BL177" i="3"/>
  <c r="BL179" i="3"/>
  <c r="BA182" i="3"/>
  <c r="AZ182" i="3" s="1"/>
  <c r="BL182" i="3"/>
  <c r="BA185" i="3"/>
  <c r="AZ185" i="3" s="1"/>
  <c r="BA186" i="3"/>
  <c r="AZ186" i="3" s="1"/>
  <c r="BL190" i="3"/>
  <c r="G191" i="3"/>
  <c r="BA192" i="3"/>
  <c r="AZ192" i="3" s="1"/>
  <c r="G198" i="3"/>
  <c r="G206" i="3"/>
  <c r="BA207" i="3"/>
  <c r="BL207" i="3"/>
  <c r="BA20" i="3"/>
  <c r="BL20" i="3"/>
  <c r="BL22" i="3"/>
  <c r="BA23" i="3"/>
  <c r="AZ23" i="3" s="1"/>
  <c r="BA24" i="3"/>
  <c r="BA26" i="3"/>
  <c r="AZ26" i="3" s="1"/>
  <c r="BA28" i="3"/>
  <c r="AZ28" i="3" s="1"/>
  <c r="BA30" i="3"/>
  <c r="AZ30" i="3" s="1"/>
  <c r="BA32" i="3"/>
  <c r="G33" i="3"/>
  <c r="G35" i="3"/>
  <c r="C27" i="71"/>
  <c r="D27" i="71" s="1"/>
  <c r="D26" i="71"/>
  <c r="N100" i="43"/>
  <c r="U21" i="34"/>
  <c r="P61" i="15"/>
  <c r="D22" i="78"/>
  <c r="BA38" i="3"/>
  <c r="AZ38" i="3" s="1"/>
  <c r="BA39" i="3"/>
  <c r="AZ39" i="3" s="1"/>
  <c r="BA41" i="3"/>
  <c r="AZ41" i="3" s="1"/>
  <c r="BA42" i="3"/>
  <c r="BL44" i="3"/>
  <c r="G47" i="3"/>
  <c r="G58" i="3"/>
  <c r="BL59" i="3"/>
  <c r="G60" i="3"/>
  <c r="BL61" i="3"/>
  <c r="BL63" i="3"/>
  <c r="G64" i="3"/>
  <c r="G66" i="3"/>
  <c r="G71" i="3"/>
  <c r="BL72" i="3"/>
  <c r="G73" i="3"/>
  <c r="BL74" i="3"/>
  <c r="G77" i="3"/>
  <c r="G81" i="3"/>
  <c r="G83" i="3"/>
  <c r="BL84" i="3"/>
  <c r="G85" i="3"/>
  <c r="BA86" i="3"/>
  <c r="AZ86" i="3" s="1"/>
  <c r="BL86" i="3"/>
  <c r="BA88" i="3"/>
  <c r="AZ88" i="3" s="1"/>
  <c r="BA89" i="3"/>
  <c r="AZ89" i="3" s="1"/>
  <c r="BL92" i="3"/>
  <c r="BL94" i="3"/>
  <c r="G97" i="3"/>
  <c r="BA98" i="3"/>
  <c r="BL98" i="3"/>
  <c r="BA99" i="3"/>
  <c r="AZ99" i="3" s="1"/>
  <c r="BA101" i="3"/>
  <c r="AZ101" i="3" s="1"/>
  <c r="BA102" i="3"/>
  <c r="AZ102" i="3" s="1"/>
  <c r="BA105" i="3"/>
  <c r="AZ105" i="3" s="1"/>
  <c r="G106" i="3"/>
  <c r="G108" i="3"/>
  <c r="BA109" i="3"/>
  <c r="BL109" i="3"/>
  <c r="BA111" i="3"/>
  <c r="AZ111" i="3" s="1"/>
  <c r="G112" i="3"/>
  <c r="C54" i="71"/>
  <c r="D54" i="71" s="1"/>
  <c r="AB8" i="71"/>
  <c r="D18" i="71"/>
  <c r="AA12" i="71"/>
  <c r="Y9" i="71"/>
  <c r="Z9" i="71" s="1"/>
  <c r="F11" i="71"/>
  <c r="F12" i="71" s="1"/>
  <c r="V12" i="71" s="1"/>
  <c r="AB15" i="71"/>
  <c r="F19" i="71"/>
  <c r="F20" i="71" s="1"/>
  <c r="V20" i="71" s="1"/>
  <c r="AE10" i="43"/>
  <c r="J1" i="73"/>
  <c r="O16" i="1"/>
  <c r="C70" i="39"/>
  <c r="D68" i="39"/>
  <c r="AZ555" i="3"/>
  <c r="AZ565" i="3"/>
  <c r="AZ573" i="3"/>
  <c r="AZ577" i="3"/>
  <c r="D19" i="53"/>
  <c r="D17" i="53"/>
  <c r="B36" i="72" s="1"/>
  <c r="C30" i="69"/>
  <c r="H87" i="43"/>
  <c r="H86" i="43"/>
  <c r="AZ318" i="3"/>
  <c r="AZ382" i="3"/>
  <c r="AZ364" i="3"/>
  <c r="AZ320" i="3"/>
  <c r="AZ305" i="3"/>
  <c r="AZ378" i="3"/>
  <c r="AZ341" i="3"/>
  <c r="AZ309" i="3"/>
  <c r="AC12" i="37"/>
  <c r="AZ501" i="3"/>
  <c r="AZ515" i="3"/>
  <c r="AZ525" i="3"/>
  <c r="AZ541" i="3"/>
  <c r="AZ526" i="3"/>
  <c r="AZ566" i="3"/>
  <c r="AZ582" i="3"/>
  <c r="AZ584" i="3"/>
  <c r="J9" i="33"/>
  <c r="H9" i="33"/>
  <c r="F9" i="33"/>
  <c r="J12" i="33"/>
  <c r="H12" i="33"/>
  <c r="J23" i="36"/>
  <c r="F44" i="39"/>
  <c r="H38" i="40"/>
  <c r="F40" i="40"/>
  <c r="G562" i="3"/>
  <c r="G542" i="3"/>
  <c r="BL16" i="3"/>
  <c r="BA399" i="3"/>
  <c r="AZ399" i="3" s="1"/>
  <c r="BA401" i="3"/>
  <c r="AZ401" i="3" s="1"/>
  <c r="BA402" i="3"/>
  <c r="AZ402" i="3" s="1"/>
  <c r="G406" i="3"/>
  <c r="G408" i="3"/>
  <c r="G409" i="3"/>
  <c r="BL409" i="3"/>
  <c r="AZ409" i="3" s="1"/>
  <c r="BL410" i="3"/>
  <c r="AZ410" i="3" s="1"/>
  <c r="BL411" i="3"/>
  <c r="AZ411" i="3" s="1"/>
  <c r="G414" i="3"/>
  <c r="G416" i="3"/>
  <c r="BL416" i="3"/>
  <c r="BL418" i="3"/>
  <c r="AZ418" i="3" s="1"/>
  <c r="BL420" i="3"/>
  <c r="AZ420" i="3" s="1"/>
  <c r="BA421" i="3"/>
  <c r="AZ421" i="3" s="1"/>
  <c r="BA422" i="3"/>
  <c r="AZ422" i="3" s="1"/>
  <c r="BL424" i="3"/>
  <c r="AZ424" i="3" s="1"/>
  <c r="BA425" i="3"/>
  <c r="BA428" i="3"/>
  <c r="AZ428" i="3" s="1"/>
  <c r="BL430" i="3"/>
  <c r="AZ430" i="3" s="1"/>
  <c r="BA431" i="3"/>
  <c r="AZ431" i="3" s="1"/>
  <c r="BA433" i="3"/>
  <c r="AZ433" i="3" s="1"/>
  <c r="G436" i="3"/>
  <c r="BL437" i="3"/>
  <c r="AZ437" i="3" s="1"/>
  <c r="BL439" i="3"/>
  <c r="AZ439" i="3" s="1"/>
  <c r="BA441" i="3"/>
  <c r="AZ441" i="3" s="1"/>
  <c r="BA442" i="3"/>
  <c r="AZ442" i="3" s="1"/>
  <c r="G446" i="3"/>
  <c r="G447" i="3"/>
  <c r="BL447" i="3"/>
  <c r="BL448" i="3"/>
  <c r="BL450" i="3"/>
  <c r="AZ450" i="3" s="1"/>
  <c r="BL452" i="3"/>
  <c r="AZ452" i="3" s="1"/>
  <c r="BA453" i="3"/>
  <c r="BA454" i="3"/>
  <c r="AZ454" i="3" s="1"/>
  <c r="BL456" i="3"/>
  <c r="AZ456" i="3" s="1"/>
  <c r="G459" i="3"/>
  <c r="G460" i="3"/>
  <c r="BL460" i="3"/>
  <c r="AZ460" i="3" s="1"/>
  <c r="BL462" i="3"/>
  <c r="AZ462" i="3" s="1"/>
  <c r="BA463" i="3"/>
  <c r="AZ463" i="3" s="1"/>
  <c r="BA464" i="3"/>
  <c r="AZ464" i="3" s="1"/>
  <c r="BL466" i="3"/>
  <c r="AZ466" i="3" s="1"/>
  <c r="G470" i="3"/>
  <c r="G472" i="3"/>
  <c r="BL473" i="3"/>
  <c r="AZ473" i="3" s="1"/>
  <c r="BA474" i="3"/>
  <c r="AZ474" i="3" s="1"/>
  <c r="BA475" i="3"/>
  <c r="BA477" i="3"/>
  <c r="AZ477" i="3" s="1"/>
  <c r="BA480" i="3"/>
  <c r="AZ480" i="3" s="1"/>
  <c r="G484" i="3"/>
  <c r="G486" i="3"/>
  <c r="BL486" i="3"/>
  <c r="BL488" i="3"/>
  <c r="AZ488" i="3" s="1"/>
  <c r="BA490" i="3"/>
  <c r="AZ490" i="3" s="1"/>
  <c r="BA491" i="3"/>
  <c r="AZ491" i="3" s="1"/>
  <c r="BL314" i="3"/>
  <c r="AZ314" i="3" s="1"/>
  <c r="BA317" i="3"/>
  <c r="AZ317" i="3" s="1"/>
  <c r="G323" i="3"/>
  <c r="BL324" i="3"/>
  <c r="AZ324" i="3" s="1"/>
  <c r="G331" i="3"/>
  <c r="G343" i="3"/>
  <c r="BL348" i="3"/>
  <c r="AZ348" i="3" s="1"/>
  <c r="BL350" i="3"/>
  <c r="AZ350" i="3" s="1"/>
  <c r="BA353" i="3"/>
  <c r="AZ353" i="3" s="1"/>
  <c r="BL363" i="3"/>
  <c r="AZ363" i="3" s="1"/>
  <c r="BA366" i="3"/>
  <c r="AZ366" i="3" s="1"/>
  <c r="G369" i="3"/>
  <c r="G382" i="3"/>
  <c r="BL393" i="3"/>
  <c r="AZ393" i="3" s="1"/>
  <c r="BA396" i="3"/>
  <c r="AZ396" i="3" s="1"/>
  <c r="BA208" i="3"/>
  <c r="AZ208" i="3" s="1"/>
  <c r="G212" i="3"/>
  <c r="BL213" i="3"/>
  <c r="AZ213" i="3" s="1"/>
  <c r="BA215" i="3"/>
  <c r="AZ215" i="3" s="1"/>
  <c r="BA217" i="3"/>
  <c r="AZ217" i="3" s="1"/>
  <c r="G221" i="3"/>
  <c r="G223" i="3"/>
  <c r="BL224" i="3"/>
  <c r="AZ224" i="3" s="1"/>
  <c r="BA225" i="3"/>
  <c r="AZ225" i="3" s="1"/>
  <c r="AZ260" i="3"/>
  <c r="AZ301" i="3"/>
  <c r="BA227" i="3"/>
  <c r="AZ227" i="3" s="1"/>
  <c r="BA229" i="3"/>
  <c r="BL231" i="3"/>
  <c r="AZ231" i="3" s="1"/>
  <c r="BL233" i="3"/>
  <c r="AZ233" i="3" s="1"/>
  <c r="G236" i="3"/>
  <c r="G238" i="3"/>
  <c r="G239" i="3"/>
  <c r="BL239" i="3"/>
  <c r="BL241" i="3"/>
  <c r="AZ241" i="3" s="1"/>
  <c r="BL243" i="3"/>
  <c r="AZ243" i="3" s="1"/>
  <c r="BA244" i="3"/>
  <c r="AZ244" i="3" s="1"/>
  <c r="BA246" i="3"/>
  <c r="AZ246" i="3" s="1"/>
  <c r="BL248" i="3"/>
  <c r="AZ248" i="3" s="1"/>
  <c r="BA250" i="3"/>
  <c r="AZ250" i="3" s="1"/>
  <c r="BA251" i="3"/>
  <c r="AZ251" i="3" s="1"/>
  <c r="BL253" i="3"/>
  <c r="AZ253" i="3" s="1"/>
  <c r="BL256" i="3"/>
  <c r="AZ256" i="3" s="1"/>
  <c r="G259" i="3"/>
  <c r="G260" i="3"/>
  <c r="BL260" i="3"/>
  <c r="G263" i="3"/>
  <c r="G264" i="3"/>
  <c r="BL264" i="3"/>
  <c r="AZ264" i="3" s="1"/>
  <c r="G267" i="3"/>
  <c r="G269" i="3"/>
  <c r="BA270" i="3"/>
  <c r="AZ270" i="3" s="1"/>
  <c r="BA271" i="3"/>
  <c r="AZ271" i="3" s="1"/>
  <c r="BL273" i="3"/>
  <c r="AZ273" i="3" s="1"/>
  <c r="BA274" i="3"/>
  <c r="AZ274" i="3" s="1"/>
  <c r="BA275" i="3"/>
  <c r="AZ275" i="3" s="1"/>
  <c r="BL279" i="3"/>
  <c r="AZ279" i="3" s="1"/>
  <c r="G282" i="3"/>
  <c r="G284" i="3"/>
  <c r="BL284" i="3"/>
  <c r="AZ284" i="3" s="1"/>
  <c r="BA285" i="3"/>
  <c r="AZ285" i="3" s="1"/>
  <c r="BA287" i="3"/>
  <c r="AZ287" i="3" s="1"/>
  <c r="BA288" i="3"/>
  <c r="AZ288" i="3" s="1"/>
  <c r="G292" i="3"/>
  <c r="G294" i="3"/>
  <c r="BL294" i="3"/>
  <c r="AZ294" i="3" s="1"/>
  <c r="BL296" i="3"/>
  <c r="AZ296" i="3" s="1"/>
  <c r="G299" i="3"/>
  <c r="G301" i="3"/>
  <c r="BL301" i="3"/>
  <c r="BL302" i="3"/>
  <c r="AZ302" i="3" s="1"/>
  <c r="BL113" i="3"/>
  <c r="AZ113" i="3" s="1"/>
  <c r="G116" i="3"/>
  <c r="BA117" i="3"/>
  <c r="AZ117" i="3" s="1"/>
  <c r="G120" i="3"/>
  <c r="BL121" i="3"/>
  <c r="AZ121" i="3" s="1"/>
  <c r="BA122" i="3"/>
  <c r="AZ122" i="3" s="1"/>
  <c r="BL123" i="3"/>
  <c r="AZ123" i="3" s="1"/>
  <c r="G128" i="3"/>
  <c r="BA130" i="3"/>
  <c r="AZ130" i="3" s="1"/>
  <c r="BA132" i="3"/>
  <c r="AZ132" i="3" s="1"/>
  <c r="G135" i="3"/>
  <c r="BA136" i="3"/>
  <c r="AZ136" i="3" s="1"/>
  <c r="G139" i="3"/>
  <c r="BA140" i="3"/>
  <c r="AZ140" i="3" s="1"/>
  <c r="G143" i="3"/>
  <c r="BA144" i="3"/>
  <c r="AZ144" i="3" s="1"/>
  <c r="G147" i="3"/>
  <c r="BA149" i="3"/>
  <c r="AZ149" i="3" s="1"/>
  <c r="G154" i="3"/>
  <c r="G156" i="3"/>
  <c r="BA158" i="3"/>
  <c r="AZ158" i="3" s="1"/>
  <c r="BL159" i="3"/>
  <c r="AZ159" i="3" s="1"/>
  <c r="G163" i="3"/>
  <c r="BA165" i="3"/>
  <c r="AZ165" i="3" s="1"/>
  <c r="G170" i="3"/>
  <c r="G172" i="3"/>
  <c r="BA174" i="3"/>
  <c r="AZ174" i="3" s="1"/>
  <c r="BL175" i="3"/>
  <c r="AZ175" i="3" s="1"/>
  <c r="G179" i="3"/>
  <c r="BA181" i="3"/>
  <c r="AZ181" i="3" s="1"/>
  <c r="G186" i="3"/>
  <c r="G188" i="3"/>
  <c r="BA190" i="3"/>
  <c r="BL191" i="3"/>
  <c r="AZ191" i="3" s="1"/>
  <c r="G195" i="3"/>
  <c r="BA197" i="3"/>
  <c r="AZ197" i="3" s="1"/>
  <c r="G202" i="3"/>
  <c r="G204" i="3"/>
  <c r="BL205" i="3"/>
  <c r="AZ205" i="3" s="1"/>
  <c r="BA19" i="3"/>
  <c r="AZ19" i="3" s="1"/>
  <c r="G22" i="3"/>
  <c r="G24" i="3"/>
  <c r="G26" i="3"/>
  <c r="G27" i="3"/>
  <c r="BL27" i="3"/>
  <c r="AZ27" i="3" s="1"/>
  <c r="BL29" i="3"/>
  <c r="AZ29" i="3" s="1"/>
  <c r="BL31" i="3"/>
  <c r="AZ31" i="3" s="1"/>
  <c r="BA33" i="3"/>
  <c r="AZ33" i="3" s="1"/>
  <c r="BL34" i="3"/>
  <c r="AZ34" i="3" s="1"/>
  <c r="G37" i="3"/>
  <c r="G39" i="3"/>
  <c r="G41" i="3"/>
  <c r="G42" i="3"/>
  <c r="BL43" i="3"/>
  <c r="AZ43" i="3" s="1"/>
  <c r="BA44" i="3"/>
  <c r="BA46" i="3"/>
  <c r="AZ46" i="3" s="1"/>
  <c r="G50" i="3"/>
  <c r="G51" i="3"/>
  <c r="G53" i="3"/>
  <c r="G55" i="3"/>
  <c r="G57" i="3"/>
  <c r="BL57" i="3"/>
  <c r="AZ57" i="3" s="1"/>
  <c r="BA59" i="3"/>
  <c r="AZ59" i="3" s="1"/>
  <c r="BA61" i="3"/>
  <c r="AZ61" i="3" s="1"/>
  <c r="BA63" i="3"/>
  <c r="BA65" i="3"/>
  <c r="AZ65" i="3" s="1"/>
  <c r="G68" i="3"/>
  <c r="G70" i="3"/>
  <c r="BL70" i="3"/>
  <c r="AZ70" i="3" s="1"/>
  <c r="BA72" i="3"/>
  <c r="AZ72" i="3" s="1"/>
  <c r="BA74" i="3"/>
  <c r="BA76" i="3"/>
  <c r="AZ76" i="3" s="1"/>
  <c r="G79" i="3"/>
  <c r="BL80" i="3"/>
  <c r="AZ80" i="3" s="1"/>
  <c r="BL82" i="3"/>
  <c r="AZ82" i="3" s="1"/>
  <c r="BA84" i="3"/>
  <c r="AZ84" i="3" s="1"/>
  <c r="BA85" i="3"/>
  <c r="AZ85" i="3" s="1"/>
  <c r="G88" i="3"/>
  <c r="G89" i="3"/>
  <c r="G91" i="3"/>
  <c r="BL91" i="3"/>
  <c r="BA92" i="3"/>
  <c r="AZ92" i="3" s="1"/>
  <c r="BA94" i="3"/>
  <c r="AZ94" i="3" s="1"/>
  <c r="BL96" i="3"/>
  <c r="AZ96" i="3" s="1"/>
  <c r="G101" i="3"/>
  <c r="G102" i="3"/>
  <c r="G104" i="3"/>
  <c r="BL104" i="3"/>
  <c r="AZ104" i="3" s="1"/>
  <c r="BA107" i="3"/>
  <c r="AZ107" i="3" s="1"/>
  <c r="BA108" i="3"/>
  <c r="AZ108" i="3" s="1"/>
  <c r="BA110" i="3"/>
  <c r="AZ110" i="3" s="1"/>
  <c r="B75" i="43"/>
  <c r="B55" i="43"/>
  <c r="C16" i="71"/>
  <c r="D16" i="71" s="1"/>
  <c r="D15" i="71"/>
  <c r="D30" i="71"/>
  <c r="C31" i="71"/>
  <c r="AZ91" i="3"/>
  <c r="I10" i="66"/>
  <c r="AB21" i="21"/>
  <c r="AC21" i="37"/>
  <c r="C23" i="71"/>
  <c r="C24" i="71" s="1"/>
  <c r="D22" i="71"/>
  <c r="D38" i="71"/>
  <c r="C39" i="71"/>
  <c r="N4" i="71"/>
  <c r="AD3" i="71"/>
  <c r="AA15" i="71"/>
  <c r="P74" i="67"/>
  <c r="J4" i="71"/>
  <c r="N5" i="71"/>
  <c r="I8" i="1"/>
  <c r="D22" i="79"/>
  <c r="D24" i="79"/>
  <c r="D24" i="80"/>
  <c r="S21" i="21"/>
  <c r="S18" i="36"/>
  <c r="D44" i="71"/>
  <c r="D35" i="71"/>
  <c r="AA6" i="71"/>
  <c r="B5" i="71"/>
  <c r="B12" i="71"/>
  <c r="S12" i="71" s="1"/>
  <c r="X5" i="71"/>
  <c r="E11" i="71"/>
  <c r="E12" i="71" s="1"/>
  <c r="U12" i="71" s="1"/>
  <c r="X10" i="71"/>
  <c r="AB10" i="71"/>
  <c r="Y11" i="71"/>
  <c r="Z11" i="71" s="1"/>
  <c r="X11" i="71"/>
  <c r="AB12" i="71"/>
  <c r="AB14" i="71"/>
  <c r="Y15" i="71"/>
  <c r="Z15" i="71" s="1"/>
  <c r="AB16" i="71"/>
  <c r="B20" i="71"/>
  <c r="S20" i="71" s="1"/>
  <c r="E23" i="71"/>
  <c r="E24" i="71" s="1"/>
  <c r="U24" i="71" s="1"/>
  <c r="B35" i="71"/>
  <c r="B36" i="71" s="1"/>
  <c r="S36" i="71" s="1"/>
  <c r="E35" i="71"/>
  <c r="E36" i="71" s="1"/>
  <c r="U36" i="71" s="1"/>
  <c r="B43" i="71"/>
  <c r="B44" i="71" s="1"/>
  <c r="S44" i="71" s="1"/>
  <c r="AH10" i="43"/>
  <c r="AD10" i="43"/>
  <c r="Z10" i="43"/>
  <c r="AG10" i="43"/>
  <c r="AC10" i="43"/>
  <c r="H31" i="77"/>
  <c r="F81" i="39"/>
  <c r="G81" i="39" s="1"/>
  <c r="H81" i="39" s="1"/>
  <c r="I81" i="39" s="1"/>
  <c r="J81" i="39" s="1"/>
  <c r="K81" i="39" s="1"/>
  <c r="L81" i="39" s="1"/>
  <c r="M81" i="39" s="1"/>
  <c r="H11" i="39"/>
  <c r="F11" i="39"/>
  <c r="J59" i="34"/>
  <c r="K59" i="34" s="1"/>
  <c r="L59" i="34" s="1"/>
  <c r="M59" i="34" s="1"/>
  <c r="N59" i="34" s="1"/>
  <c r="O59" i="34" s="1"/>
  <c r="I14" i="74"/>
  <c r="B8" i="74" s="1"/>
  <c r="D127" i="9"/>
  <c r="D13" i="52" s="1"/>
  <c r="D12" i="52"/>
  <c r="I58" i="21"/>
  <c r="J58" i="21" s="1"/>
  <c r="K58" i="21" s="1"/>
  <c r="L58" i="21" s="1"/>
  <c r="M58" i="21" s="1"/>
  <c r="N58" i="21" s="1"/>
  <c r="O58" i="21" s="1"/>
  <c r="J48" i="35"/>
  <c r="K48" i="35" s="1"/>
  <c r="L48" i="35" s="1"/>
  <c r="M48" i="35" s="1"/>
  <c r="N48" i="35" s="1"/>
  <c r="O48" i="35" s="1"/>
  <c r="H7" i="35"/>
  <c r="G52" i="37"/>
  <c r="L67" i="9"/>
  <c r="M67" i="9" s="1"/>
  <c r="L63" i="9"/>
  <c r="M63" i="9" s="1"/>
  <c r="M69" i="9" s="1"/>
  <c r="N69" i="9" s="1"/>
  <c r="L64" i="9"/>
  <c r="M64" i="9" s="1"/>
  <c r="L66" i="9"/>
  <c r="M66" i="9" s="1"/>
  <c r="L65" i="9"/>
  <c r="M65" i="9" s="1"/>
  <c r="J7" i="34"/>
  <c r="G46" i="36"/>
  <c r="C48" i="68"/>
  <c r="F30" i="6"/>
  <c r="U12" i="39"/>
  <c r="AC11" i="39"/>
  <c r="U12" i="37"/>
  <c r="W40" i="37"/>
  <c r="AC28" i="21"/>
  <c r="AC30" i="34"/>
  <c r="W11" i="36"/>
  <c r="AB30" i="21"/>
  <c r="AB11" i="35"/>
  <c r="AA14" i="33"/>
  <c r="AA44" i="33"/>
  <c r="C15" i="39"/>
  <c r="C25" i="39"/>
  <c r="G25" i="39" s="1"/>
  <c r="U34" i="34"/>
  <c r="J12" i="35"/>
  <c r="AZ432" i="3"/>
  <c r="AZ478" i="3"/>
  <c r="AZ479" i="3"/>
  <c r="H34" i="35"/>
  <c r="J34" i="35"/>
  <c r="F34" i="35"/>
  <c r="AZ416" i="3"/>
  <c r="AZ447" i="3"/>
  <c r="AZ448" i="3"/>
  <c r="AZ486" i="3"/>
  <c r="AZ239" i="3"/>
  <c r="AZ290" i="3"/>
  <c r="AZ125" i="3"/>
  <c r="AZ129" i="3"/>
  <c r="AZ161" i="3"/>
  <c r="AZ177" i="3"/>
  <c r="AZ193" i="3"/>
  <c r="AZ207" i="3"/>
  <c r="AZ60" i="3"/>
  <c r="AZ64" i="3"/>
  <c r="AZ73" i="3"/>
  <c r="AZ98" i="3"/>
  <c r="AZ106" i="3"/>
  <c r="AZ112" i="3"/>
  <c r="K13" i="1"/>
  <c r="M13" i="1" s="1"/>
  <c r="G1" i="80"/>
  <c r="G1" i="79"/>
  <c r="D36" i="71"/>
  <c r="T36" i="71"/>
  <c r="E7" i="71"/>
  <c r="E6" i="71" s="1"/>
  <c r="E5" i="71" s="1"/>
  <c r="E4" i="71" s="1"/>
  <c r="V8" i="71"/>
  <c r="D12" i="71"/>
  <c r="T12" i="71"/>
  <c r="AC21" i="34"/>
  <c r="AB21" i="33"/>
  <c r="O46" i="71"/>
  <c r="O45" i="71"/>
  <c r="D46" i="71"/>
  <c r="D19" i="71"/>
  <c r="C20" i="71"/>
  <c r="T16" i="71"/>
  <c r="T8" i="71"/>
  <c r="C7" i="71"/>
  <c r="D8" i="71"/>
  <c r="U8" i="71" s="1"/>
  <c r="D23" i="71"/>
  <c r="C29" i="39"/>
  <c r="B66" i="43"/>
  <c r="D47" i="71"/>
  <c r="AA7" i="71"/>
  <c r="AA5" i="71"/>
  <c r="AB7" i="71"/>
  <c r="AB5" i="71"/>
  <c r="X8" i="71"/>
  <c r="X7" i="71"/>
  <c r="AB17" i="71"/>
  <c r="AA16" i="71"/>
  <c r="AB13" i="71"/>
  <c r="Y13" i="71"/>
  <c r="Z13" i="71" s="1"/>
  <c r="X12" i="71"/>
  <c r="X17" i="71"/>
  <c r="AA9" i="71"/>
  <c r="S48" i="71"/>
  <c r="B47" i="71"/>
  <c r="Q4" i="71"/>
  <c r="AB3" i="71" s="1"/>
  <c r="AH3" i="71"/>
  <c r="Y6" i="1"/>
  <c r="N7" i="1"/>
  <c r="N8" i="1" s="1"/>
  <c r="Y8" i="1" s="1"/>
  <c r="J51" i="80"/>
  <c r="C31" i="66"/>
  <c r="E26" i="66" s="1"/>
  <c r="G31" i="77"/>
  <c r="I16" i="3"/>
  <c r="D9" i="53"/>
  <c r="B25" i="72" s="1"/>
  <c r="B24" i="72"/>
  <c r="C30" i="9"/>
  <c r="C24" i="9"/>
  <c r="C25" i="9"/>
  <c r="C12" i="12"/>
  <c r="B20" i="31"/>
  <c r="F69" i="67"/>
  <c r="C34" i="67"/>
  <c r="F63" i="67"/>
  <c r="C62" i="67" s="1"/>
  <c r="J20" i="67"/>
  <c r="F66" i="67"/>
  <c r="L56" i="67"/>
  <c r="I54" i="67"/>
  <c r="J57" i="67"/>
  <c r="J55" i="67" s="1"/>
  <c r="J58" i="67" s="1"/>
  <c r="Q50" i="67" s="1"/>
  <c r="F71" i="15"/>
  <c r="F71" i="67"/>
  <c r="F68" i="15"/>
  <c r="F64" i="67"/>
  <c r="F51" i="15"/>
  <c r="I54" i="15"/>
  <c r="L56" i="15"/>
  <c r="J57" i="15"/>
  <c r="J55" i="15" s="1"/>
  <c r="J58" i="15" s="1"/>
  <c r="Q50" i="15" s="1"/>
  <c r="J53" i="15"/>
  <c r="J60" i="15"/>
  <c r="Q48" i="15" s="1"/>
  <c r="L60" i="15"/>
  <c r="J59" i="15"/>
  <c r="L57" i="15"/>
  <c r="M7" i="67"/>
  <c r="F50" i="67"/>
  <c r="M7" i="15"/>
  <c r="F50" i="15"/>
  <c r="F65" i="15"/>
  <c r="Q71" i="15"/>
  <c r="F70" i="67"/>
  <c r="M59" i="15"/>
  <c r="L58" i="15"/>
  <c r="N59" i="15"/>
  <c r="L59" i="15"/>
  <c r="F65" i="67"/>
  <c r="F51" i="67"/>
  <c r="Q71" i="67"/>
  <c r="C27" i="15"/>
  <c r="F51" i="78"/>
  <c r="F68" i="67"/>
  <c r="L58" i="67"/>
  <c r="L59" i="67"/>
  <c r="M59" i="67"/>
  <c r="N59" i="67"/>
  <c r="F64" i="15"/>
  <c r="C6" i="67"/>
  <c r="F66" i="15"/>
  <c r="C27" i="67"/>
  <c r="B12" i="70"/>
  <c r="B11" i="70"/>
  <c r="B9" i="70"/>
  <c r="B10" i="70"/>
  <c r="B13" i="70"/>
  <c r="I1" i="73"/>
  <c r="B39" i="1" s="1"/>
  <c r="K4" i="4"/>
  <c r="B46" i="48" s="1"/>
  <c r="B4" i="72" s="1"/>
  <c r="B4" i="62"/>
  <c r="B71" i="72" s="1"/>
  <c r="B23" i="49"/>
  <c r="B22" i="49"/>
  <c r="B7" i="49"/>
  <c r="B14" i="49"/>
  <c r="E22" i="49"/>
  <c r="B5" i="49"/>
  <c r="B13" i="49"/>
  <c r="B11" i="49"/>
  <c r="E21" i="49"/>
  <c r="E9" i="49"/>
  <c r="B6" i="49"/>
  <c r="E4" i="49"/>
  <c r="M24" i="78"/>
  <c r="J15" i="78"/>
  <c r="F13" i="15"/>
  <c r="M28" i="78"/>
  <c r="F59" i="67"/>
  <c r="L47" i="78"/>
  <c r="M26" i="78"/>
  <c r="F36" i="78"/>
  <c r="M22" i="78"/>
  <c r="F40" i="78"/>
  <c r="M8" i="78"/>
  <c r="F7" i="78"/>
  <c r="M29" i="78"/>
  <c r="F16" i="78"/>
  <c r="F13" i="78"/>
  <c r="M23" i="78"/>
  <c r="C16" i="67"/>
  <c r="F42" i="78"/>
  <c r="C16" i="15"/>
  <c r="C76" i="78"/>
  <c r="F41" i="78"/>
  <c r="M17" i="15"/>
  <c r="F26" i="78"/>
  <c r="F59" i="15"/>
  <c r="M9" i="78"/>
  <c r="M17" i="67"/>
  <c r="F37" i="78"/>
  <c r="C17" i="67"/>
  <c r="F43" i="78"/>
  <c r="F31" i="67"/>
  <c r="C14" i="67"/>
  <c r="F6" i="78"/>
  <c r="L48" i="78"/>
  <c r="F38" i="78"/>
  <c r="F69" i="78" l="1"/>
  <c r="C6" i="78"/>
  <c r="F66" i="78"/>
  <c r="F64" i="78"/>
  <c r="F71" i="78"/>
  <c r="C43" i="78"/>
  <c r="Q71" i="78"/>
  <c r="J53" i="78"/>
  <c r="L56" i="78"/>
  <c r="J57" i="78"/>
  <c r="J55" i="78" s="1"/>
  <c r="J58" i="78" s="1"/>
  <c r="Q50" i="78" s="1"/>
  <c r="J60" i="78"/>
  <c r="Q48" i="78" s="1"/>
  <c r="L57" i="78"/>
  <c r="I54" i="78"/>
  <c r="L60" i="78"/>
  <c r="Q66" i="78" s="1"/>
  <c r="J59" i="78"/>
  <c r="N59" i="78"/>
  <c r="L58" i="78"/>
  <c r="Q60" i="78" s="1"/>
  <c r="L59" i="78"/>
  <c r="Q74" i="78" s="1"/>
  <c r="M59" i="78"/>
  <c r="C27" i="78"/>
  <c r="F65" i="78"/>
  <c r="F50" i="78"/>
  <c r="C49" i="78" s="1"/>
  <c r="M7" i="78"/>
  <c r="AC25" i="37"/>
  <c r="W25" i="37"/>
  <c r="AA26" i="37"/>
  <c r="S26" i="37"/>
  <c r="AC26" i="37"/>
  <c r="W26" i="37"/>
  <c r="U12" i="35"/>
  <c r="AB12" i="35"/>
  <c r="AB31" i="21"/>
  <c r="U31" i="21"/>
  <c r="AC29" i="21"/>
  <c r="W29" i="21"/>
  <c r="AB32" i="36"/>
  <c r="U32" i="36"/>
  <c r="W28" i="34"/>
  <c r="AC28" i="34"/>
  <c r="E28" i="6"/>
  <c r="AB36" i="39"/>
  <c r="U36" i="39"/>
  <c r="S36" i="39"/>
  <c r="AA36" i="39"/>
  <c r="AA26" i="35"/>
  <c r="S26" i="35"/>
  <c r="AA38" i="40"/>
  <c r="S38" i="40"/>
  <c r="AA17" i="39"/>
  <c r="S17" i="39"/>
  <c r="AC14" i="39"/>
  <c r="W14" i="39"/>
  <c r="S12" i="39"/>
  <c r="AA12" i="39"/>
  <c r="S39" i="37"/>
  <c r="AA39" i="37"/>
  <c r="AC39" i="37"/>
  <c r="W39" i="37"/>
  <c r="E58" i="33"/>
  <c r="B4" i="71"/>
  <c r="AZ74" i="3"/>
  <c r="AZ63" i="3"/>
  <c r="AZ44" i="3"/>
  <c r="AZ190" i="3"/>
  <c r="AZ229" i="3"/>
  <c r="AZ475" i="3"/>
  <c r="AZ453" i="3"/>
  <c r="AZ425" i="3"/>
  <c r="AZ109" i="3"/>
  <c r="AZ20" i="3"/>
  <c r="AZ150" i="3"/>
  <c r="AZ254" i="3"/>
  <c r="AZ333" i="3"/>
  <c r="AZ481" i="3"/>
  <c r="AZ443" i="3"/>
  <c r="AZ403" i="3"/>
  <c r="S41" i="39"/>
  <c r="AA41" i="39"/>
  <c r="AA25" i="37"/>
  <c r="S25" i="37"/>
  <c r="U25" i="37"/>
  <c r="AB25" i="37"/>
  <c r="AB26" i="37"/>
  <c r="U26" i="37"/>
  <c r="S12" i="35"/>
  <c r="AA12" i="35"/>
  <c r="S31" i="21"/>
  <c r="AA31" i="21"/>
  <c r="U29" i="21"/>
  <c r="AB29" i="21"/>
  <c r="AZ557" i="3"/>
  <c r="AZ529" i="3"/>
  <c r="AZ518" i="3"/>
  <c r="W32" i="36"/>
  <c r="AC32" i="36"/>
  <c r="S32" i="36"/>
  <c r="AA32" i="36"/>
  <c r="AA28" i="34"/>
  <c r="S28" i="34"/>
  <c r="AZ583" i="3"/>
  <c r="AZ575" i="3"/>
  <c r="AZ500" i="3"/>
  <c r="AZ522" i="3"/>
  <c r="AZ530" i="3"/>
  <c r="AZ534" i="3"/>
  <c r="AZ536" i="3"/>
  <c r="AZ542" i="3"/>
  <c r="AZ548" i="3"/>
  <c r="AZ551" i="3"/>
  <c r="AZ560" i="3"/>
  <c r="AZ564" i="3"/>
  <c r="AZ576" i="3"/>
  <c r="AZ580" i="3"/>
  <c r="AC36" i="39"/>
  <c r="W36" i="39"/>
  <c r="AB26" i="35"/>
  <c r="U26" i="35"/>
  <c r="AC38" i="40"/>
  <c r="W38" i="40"/>
  <c r="W21" i="39"/>
  <c r="AC21" i="39"/>
  <c r="AC17" i="39"/>
  <c r="W17" i="39"/>
  <c r="AB17" i="39"/>
  <c r="U17" i="39"/>
  <c r="AB14" i="39"/>
  <c r="U14" i="39"/>
  <c r="W12" i="39"/>
  <c r="AC12" i="39"/>
  <c r="AB39" i="37"/>
  <c r="U39" i="37"/>
  <c r="F65" i="40"/>
  <c r="G63" i="40"/>
  <c r="F68" i="78"/>
  <c r="H7" i="34"/>
  <c r="F7" i="34"/>
  <c r="H8" i="1"/>
  <c r="G8" i="1" s="1"/>
  <c r="O4" i="71"/>
  <c r="Y3" i="71" s="1"/>
  <c r="Z3" i="71" s="1"/>
  <c r="AE3" i="71"/>
  <c r="AF3" i="71" s="1"/>
  <c r="X3" i="71"/>
  <c r="C32" i="71"/>
  <c r="D31" i="71"/>
  <c r="BL5" i="3"/>
  <c r="AB38" i="40"/>
  <c r="U38" i="40"/>
  <c r="AC23" i="36"/>
  <c r="W23" i="36"/>
  <c r="AC12" i="33"/>
  <c r="W12" i="33"/>
  <c r="U9" i="33"/>
  <c r="AB9" i="33"/>
  <c r="B38" i="72"/>
  <c r="D20" i="53"/>
  <c r="B40" i="72" s="1"/>
  <c r="C40" i="71"/>
  <c r="D39" i="71"/>
  <c r="I21" i="66"/>
  <c r="D1" i="66"/>
  <c r="E10" i="66" s="1"/>
  <c r="AA40" i="40"/>
  <c r="S40" i="40"/>
  <c r="AA44" i="39"/>
  <c r="S44" i="39"/>
  <c r="U12" i="33"/>
  <c r="AB12" i="33"/>
  <c r="AA9" i="33"/>
  <c r="S9" i="33"/>
  <c r="AC9" i="33"/>
  <c r="W9" i="33"/>
  <c r="E68" i="39"/>
  <c r="D70" i="39"/>
  <c r="AB11" i="39"/>
  <c r="U11" i="39"/>
  <c r="AA11" i="39"/>
  <c r="S11" i="39"/>
  <c r="C49" i="67"/>
  <c r="BB16" i="3"/>
  <c r="I5" i="3"/>
  <c r="H16" i="3"/>
  <c r="Y7" i="1"/>
  <c r="F20" i="6"/>
  <c r="E20" i="6" s="1"/>
  <c r="D7" i="71"/>
  <c r="C6" i="71"/>
  <c r="D20" i="71"/>
  <c r="T20" i="71"/>
  <c r="AC34" i="35"/>
  <c r="W34" i="35"/>
  <c r="W12" i="35"/>
  <c r="AC12" i="35"/>
  <c r="H46" i="36"/>
  <c r="F7" i="35"/>
  <c r="J7" i="35"/>
  <c r="F7" i="21"/>
  <c r="H7" i="21"/>
  <c r="C38" i="39"/>
  <c r="A3" i="3"/>
  <c r="J31" i="77"/>
  <c r="P23" i="43"/>
  <c r="P24" i="43"/>
  <c r="B66" i="40" s="1"/>
  <c r="P22" i="43"/>
  <c r="P21" i="43"/>
  <c r="B71" i="39" s="1"/>
  <c r="P25" i="43"/>
  <c r="N47" i="71"/>
  <c r="B46" i="71"/>
  <c r="D24" i="71"/>
  <c r="T24" i="71"/>
  <c r="F4" i="71"/>
  <c r="AA34" i="35"/>
  <c r="S34" i="35"/>
  <c r="AB34" i="35"/>
  <c r="U34" i="35"/>
  <c r="AC7" i="34"/>
  <c r="V49" i="34" s="1"/>
  <c r="I49" i="34" s="1"/>
  <c r="W7" i="34"/>
  <c r="H52" i="37"/>
  <c r="I52" i="37" s="1"/>
  <c r="J52" i="37" s="1"/>
  <c r="K52" i="37" s="1"/>
  <c r="L52" i="37" s="1"/>
  <c r="M52" i="37" s="1"/>
  <c r="N52" i="37" s="1"/>
  <c r="O52" i="37" s="1"/>
  <c r="J7" i="37"/>
  <c r="AB7" i="35"/>
  <c r="T38" i="35" s="1"/>
  <c r="G38" i="35" s="1"/>
  <c r="U7" i="35"/>
  <c r="J7" i="21"/>
  <c r="U7" i="34"/>
  <c r="AB7" i="34"/>
  <c r="T49" i="34" s="1"/>
  <c r="G49" i="34" s="1"/>
  <c r="S7" i="34"/>
  <c r="AA7" i="34"/>
  <c r="R49" i="34" s="1"/>
  <c r="L46" i="15"/>
  <c r="C15" i="67"/>
  <c r="C18" i="67"/>
  <c r="Q74" i="67"/>
  <c r="Q61" i="67"/>
  <c r="F1" i="78"/>
  <c r="Q52" i="78"/>
  <c r="Q74" i="15"/>
  <c r="Q61" i="15"/>
  <c r="Q73" i="15"/>
  <c r="Q60" i="15"/>
  <c r="J6" i="15"/>
  <c r="M11" i="80"/>
  <c r="M11" i="79"/>
  <c r="J10" i="79" s="1"/>
  <c r="F11" i="78"/>
  <c r="M11" i="15"/>
  <c r="J10" i="15" s="1"/>
  <c r="F11" i="67"/>
  <c r="F11" i="15"/>
  <c r="F11" i="80"/>
  <c r="F11" i="79"/>
  <c r="M11" i="78"/>
  <c r="J10" i="78" s="1"/>
  <c r="M11" i="67"/>
  <c r="J10" i="67" s="1"/>
  <c r="Q60" i="67"/>
  <c r="Q73" i="67"/>
  <c r="Q57" i="78"/>
  <c r="Q57" i="15"/>
  <c r="Q66" i="15"/>
  <c r="F1" i="15"/>
  <c r="Q52" i="15"/>
  <c r="C49" i="15"/>
  <c r="J6" i="67"/>
  <c r="F31" i="78"/>
  <c r="M8" i="79"/>
  <c r="F40" i="79"/>
  <c r="M6" i="79"/>
  <c r="M23" i="79"/>
  <c r="M23" i="80"/>
  <c r="AE8" i="1"/>
  <c r="D5" i="73"/>
  <c r="M26" i="80"/>
  <c r="L48" i="79"/>
  <c r="F37" i="79"/>
  <c r="M6" i="80"/>
  <c r="F40" i="80"/>
  <c r="M27" i="79"/>
  <c r="F26" i="80"/>
  <c r="M24" i="80"/>
  <c r="M27" i="80"/>
  <c r="F59" i="78"/>
  <c r="F36" i="80"/>
  <c r="F37" i="80"/>
  <c r="C16" i="78"/>
  <c r="J15" i="79"/>
  <c r="D7" i="73"/>
  <c r="F8" i="79"/>
  <c r="F9" i="80"/>
  <c r="L47" i="80"/>
  <c r="L48" i="80"/>
  <c r="M28" i="80"/>
  <c r="F42" i="80"/>
  <c r="M6" i="78"/>
  <c r="F26" i="79"/>
  <c r="F9" i="79"/>
  <c r="C76" i="80"/>
  <c r="M26" i="79"/>
  <c r="AE6" i="1"/>
  <c r="M28" i="79"/>
  <c r="J15" i="80"/>
  <c r="F16" i="79"/>
  <c r="D3" i="73"/>
  <c r="M22" i="80"/>
  <c r="D6" i="73"/>
  <c r="C76" i="79"/>
  <c r="M9" i="80"/>
  <c r="M8" i="80"/>
  <c r="F16" i="80"/>
  <c r="F36" i="79"/>
  <c r="F38" i="79"/>
  <c r="F13" i="80"/>
  <c r="F8" i="80"/>
  <c r="M9" i="79"/>
  <c r="M22" i="79"/>
  <c r="L47" i="79"/>
  <c r="F38" i="80"/>
  <c r="M24" i="79"/>
  <c r="D4" i="73"/>
  <c r="F42" i="79"/>
  <c r="F13" i="79"/>
  <c r="Q61" i="78" l="1"/>
  <c r="Q73" i="78"/>
  <c r="L46" i="78"/>
  <c r="E20" i="43"/>
  <c r="K1" i="73"/>
  <c r="G65" i="40"/>
  <c r="H63" i="40"/>
  <c r="K14" i="1"/>
  <c r="M14" i="1" s="1"/>
  <c r="E30" i="6"/>
  <c r="F58" i="33"/>
  <c r="F68" i="39"/>
  <c r="E70" i="39"/>
  <c r="D40" i="71"/>
  <c r="T40" i="71"/>
  <c r="D32" i="71"/>
  <c r="T32" i="71"/>
  <c r="F66" i="80"/>
  <c r="Q71" i="80"/>
  <c r="J59" i="80"/>
  <c r="L60" i="80"/>
  <c r="J57" i="80"/>
  <c r="J55" i="80" s="1"/>
  <c r="J58" i="80" s="1"/>
  <c r="Q50" i="80" s="1"/>
  <c r="I54" i="80"/>
  <c r="L56" i="80"/>
  <c r="J60" i="80"/>
  <c r="Q48" i="80" s="1"/>
  <c r="L57" i="80"/>
  <c r="J53" i="80"/>
  <c r="F65" i="80"/>
  <c r="F65" i="79"/>
  <c r="F66" i="79"/>
  <c r="F68" i="79"/>
  <c r="Q71" i="79"/>
  <c r="F64" i="79"/>
  <c r="F51" i="79"/>
  <c r="J6" i="78"/>
  <c r="J5" i="78" s="1"/>
  <c r="F68" i="80"/>
  <c r="F64" i="80"/>
  <c r="F51" i="80"/>
  <c r="C27" i="80"/>
  <c r="L59" i="80"/>
  <c r="N59" i="80"/>
  <c r="M59" i="80"/>
  <c r="L58" i="80"/>
  <c r="C27" i="79"/>
  <c r="N59" i="79"/>
  <c r="L59" i="79"/>
  <c r="L58" i="79"/>
  <c r="M59" i="79"/>
  <c r="L57" i="79"/>
  <c r="I54" i="79"/>
  <c r="J53" i="79"/>
  <c r="L56" i="79"/>
  <c r="L60" i="79"/>
  <c r="J57" i="79"/>
  <c r="J55" i="79" s="1"/>
  <c r="J58" i="79" s="1"/>
  <c r="Q50" i="79" s="1"/>
  <c r="J60" i="79"/>
  <c r="Q48" i="79" s="1"/>
  <c r="J59" i="79"/>
  <c r="AC7" i="37"/>
  <c r="V42" i="37" s="1"/>
  <c r="I42" i="37" s="1"/>
  <c r="W7" i="37"/>
  <c r="I53" i="34"/>
  <c r="J53" i="34" s="1"/>
  <c r="N45" i="71"/>
  <c r="N46" i="71"/>
  <c r="I4" i="6"/>
  <c r="G3" i="43" s="1"/>
  <c r="AB7" i="21"/>
  <c r="T48" i="21" s="1"/>
  <c r="G48" i="21" s="1"/>
  <c r="U7" i="21"/>
  <c r="AC7" i="35"/>
  <c r="V38" i="35" s="1"/>
  <c r="I38" i="35" s="1"/>
  <c r="W7" i="35"/>
  <c r="H7" i="37"/>
  <c r="E49" i="34"/>
  <c r="R50" i="34"/>
  <c r="G53" i="34"/>
  <c r="H53" i="34" s="1"/>
  <c r="G54" i="34"/>
  <c r="H54" i="34" s="1"/>
  <c r="W7" i="21"/>
  <c r="AC7" i="21"/>
  <c r="V48" i="21" s="1"/>
  <c r="I48" i="21" s="1"/>
  <c r="G43" i="35"/>
  <c r="H43" i="35" s="1"/>
  <c r="G42" i="35"/>
  <c r="H42" i="35" s="1"/>
  <c r="F7" i="37"/>
  <c r="H38" i="39"/>
  <c r="J38" i="39"/>
  <c r="F38" i="39"/>
  <c r="S7" i="21"/>
  <c r="AA7" i="21"/>
  <c r="R48" i="21" s="1"/>
  <c r="AA7" i="35"/>
  <c r="R38" i="35" s="1"/>
  <c r="S7" i="35"/>
  <c r="I46" i="36"/>
  <c r="C5" i="71"/>
  <c r="D6" i="71"/>
  <c r="K7" i="1"/>
  <c r="H5" i="3"/>
  <c r="G16" i="3"/>
  <c r="G5" i="3" s="1"/>
  <c r="B3" i="3" s="1"/>
  <c r="I3" i="6" s="1"/>
  <c r="BA16" i="3"/>
  <c r="BB5" i="3"/>
  <c r="F25" i="66"/>
  <c r="U6" i="1" s="1"/>
  <c r="J5" i="67"/>
  <c r="J24" i="67" s="1"/>
  <c r="C19" i="67"/>
  <c r="C20" i="67" s="1"/>
  <c r="C26" i="67" s="1"/>
  <c r="AG8" i="1"/>
  <c r="C53" i="80"/>
  <c r="C10" i="80"/>
  <c r="C10" i="67"/>
  <c r="C5" i="67" s="1"/>
  <c r="C53" i="67"/>
  <c r="C48" i="67" s="1"/>
  <c r="C53" i="78"/>
  <c r="C48" i="78" s="1"/>
  <c r="C10" i="78"/>
  <c r="C5" i="78" s="1"/>
  <c r="C53" i="79"/>
  <c r="C10" i="79"/>
  <c r="C10" i="15"/>
  <c r="C53" i="15"/>
  <c r="C48" i="15" s="1"/>
  <c r="J5" i="15"/>
  <c r="M17" i="78"/>
  <c r="G1" i="73"/>
  <c r="M29" i="80"/>
  <c r="F43" i="80"/>
  <c r="F7" i="79"/>
  <c r="F6" i="15"/>
  <c r="M29" i="79"/>
  <c r="M27" i="78"/>
  <c r="F7" i="80"/>
  <c r="F43" i="79"/>
  <c r="F41" i="15"/>
  <c r="B40" i="1" l="1"/>
  <c r="H65" i="40"/>
  <c r="I63" i="40"/>
  <c r="G58" i="33"/>
  <c r="O17" i="43"/>
  <c r="N17" i="43"/>
  <c r="P17" i="43"/>
  <c r="M17" i="43"/>
  <c r="F70" i="39"/>
  <c r="G68" i="39"/>
  <c r="L46" i="80"/>
  <c r="J18" i="67"/>
  <c r="J24" i="78"/>
  <c r="J18" i="78"/>
  <c r="C6" i="15"/>
  <c r="C5" i="15" s="1"/>
  <c r="C32" i="15" s="1"/>
  <c r="C43" i="79"/>
  <c r="F71" i="79"/>
  <c r="F50" i="79"/>
  <c r="M7" i="79"/>
  <c r="M7" i="80"/>
  <c r="F50" i="80"/>
  <c r="C49" i="80" s="1"/>
  <c r="C48" i="80" s="1"/>
  <c r="F71" i="80"/>
  <c r="U7" i="1"/>
  <c r="AZ16" i="3"/>
  <c r="AZ5" i="3" s="1"/>
  <c r="BA5" i="3"/>
  <c r="E27" i="6" s="1"/>
  <c r="E48" i="21"/>
  <c r="R49" i="21"/>
  <c r="W38" i="39"/>
  <c r="AC38" i="39"/>
  <c r="S7" i="37"/>
  <c r="AA7" i="37"/>
  <c r="R42" i="37" s="1"/>
  <c r="C49" i="34"/>
  <c r="C50" i="34"/>
  <c r="U7" i="37"/>
  <c r="AB7" i="37"/>
  <c r="T42" i="37" s="1"/>
  <c r="G42" i="37" s="1"/>
  <c r="I42" i="35"/>
  <c r="J42" i="35" s="1"/>
  <c r="G52" i="21"/>
  <c r="H52" i="21" s="1"/>
  <c r="G53" i="21"/>
  <c r="H53" i="21"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L46" i="79"/>
  <c r="Q61" i="79"/>
  <c r="Q74" i="79"/>
  <c r="Q73" i="80"/>
  <c r="Q60" i="80"/>
  <c r="C49" i="79"/>
  <c r="C48" i="79" s="1"/>
  <c r="F1" i="80"/>
  <c r="Q52" i="80"/>
  <c r="Q57" i="80"/>
  <c r="Q66" i="80"/>
  <c r="E12" i="6"/>
  <c r="E15" i="6"/>
  <c r="E10" i="6"/>
  <c r="E14" i="6"/>
  <c r="E8" i="6"/>
  <c r="E13" i="6"/>
  <c r="E11" i="6"/>
  <c r="M7" i="1"/>
  <c r="H16" i="1"/>
  <c r="K16" i="1"/>
  <c r="G16" i="1"/>
  <c r="Q16" i="1"/>
  <c r="C34" i="69"/>
  <c r="C4" i="71"/>
  <c r="D4" i="71" s="1"/>
  <c r="D5" i="71"/>
  <c r="M20" i="43" s="1"/>
  <c r="C19" i="43" s="1"/>
  <c r="J46" i="36"/>
  <c r="R39" i="35"/>
  <c r="E38" i="35"/>
  <c r="I43" i="35" s="1"/>
  <c r="J43" i="35" s="1"/>
  <c r="AA38" i="39"/>
  <c r="S38" i="39"/>
  <c r="AB38" i="39"/>
  <c r="U38" i="39"/>
  <c r="I52" i="21"/>
  <c r="J52" i="21" s="1"/>
  <c r="I53" i="21"/>
  <c r="J53" i="21" s="1"/>
  <c r="E54" i="34"/>
  <c r="F54" i="34" s="1"/>
  <c r="E53" i="34"/>
  <c r="F53" i="34" s="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s="1"/>
  <c r="AD11" i="43"/>
  <c r="AD13" i="43" s="1"/>
  <c r="Z11" i="43"/>
  <c r="Z13" i="43" s="1"/>
  <c r="F22" i="43"/>
  <c r="F101" i="43"/>
  <c r="E22" i="43"/>
  <c r="D101" i="43"/>
  <c r="I101" i="43"/>
  <c r="AI11" i="43"/>
  <c r="AI13" i="43" s="1"/>
  <c r="AE11" i="43"/>
  <c r="AE13" i="43" s="1"/>
  <c r="AA11" i="43"/>
  <c r="AA13" i="43" s="1"/>
  <c r="J22" i="43"/>
  <c r="B113" i="43"/>
  <c r="C101" i="43"/>
  <c r="N104" i="46"/>
  <c r="H101" i="43"/>
  <c r="AJ11" i="43"/>
  <c r="AJ13" i="43" s="1"/>
  <c r="AF11" i="43"/>
  <c r="AF13" i="43" s="1"/>
  <c r="AB11" i="43"/>
  <c r="AB13" i="43" s="1"/>
  <c r="Z7" i="43"/>
  <c r="K101" i="43"/>
  <c r="N101" i="43"/>
  <c r="H22" i="43"/>
  <c r="M101" i="43"/>
  <c r="E101" i="43"/>
  <c r="AG11" i="43"/>
  <c r="AG13" i="43" s="1"/>
  <c r="AC11" i="43"/>
  <c r="AC13" i="43" s="1"/>
  <c r="Y11" i="43"/>
  <c r="Y13" i="43" s="1"/>
  <c r="I54" i="34"/>
  <c r="J54" i="34" s="1"/>
  <c r="I46" i="37"/>
  <c r="J46" i="37" s="1"/>
  <c r="Q66" i="79"/>
  <c r="Q57" i="79"/>
  <c r="F1" i="79"/>
  <c r="Q52" i="79"/>
  <c r="Q60" i="79"/>
  <c r="Q73" i="79"/>
  <c r="Q61" i="80"/>
  <c r="Q74" i="80"/>
  <c r="F69" i="15"/>
  <c r="J26" i="67"/>
  <c r="J29" i="67" s="1"/>
  <c r="C66" i="15"/>
  <c r="C60" i="15"/>
  <c r="C32" i="78"/>
  <c r="C38" i="78"/>
  <c r="C60" i="67"/>
  <c r="C66" i="67"/>
  <c r="J24" i="15"/>
  <c r="J18" i="15"/>
  <c r="J26" i="15"/>
  <c r="J29" i="15" s="1"/>
  <c r="C60" i="78"/>
  <c r="C66" i="78"/>
  <c r="C32" i="67"/>
  <c r="C38" i="67"/>
  <c r="M17" i="79"/>
  <c r="M17" i="80"/>
  <c r="AE7" i="1"/>
  <c r="F59" i="80"/>
  <c r="F6" i="79"/>
  <c r="F6" i="80"/>
  <c r="F59" i="79"/>
  <c r="C16" i="80"/>
  <c r="F31" i="15"/>
  <c r="C16" i="79"/>
  <c r="H58" i="33" l="1"/>
  <c r="I65" i="40"/>
  <c r="J63" i="40"/>
  <c r="F24" i="79"/>
  <c r="C24" i="79" s="1"/>
  <c r="F24" i="15"/>
  <c r="C24" i="15" s="1"/>
  <c r="F22" i="69"/>
  <c r="F24" i="67"/>
  <c r="F24" i="80"/>
  <c r="C24" i="80" s="1"/>
  <c r="F24" i="78"/>
  <c r="C24" i="78" s="1"/>
  <c r="F22" i="11"/>
  <c r="F25" i="12"/>
  <c r="C26" i="12" s="1"/>
  <c r="D25" i="12" s="1"/>
  <c r="F22" i="68"/>
  <c r="H6" i="3"/>
  <c r="H68" i="39"/>
  <c r="G70" i="39"/>
  <c r="C38" i="15"/>
  <c r="C66" i="80"/>
  <c r="C60" i="80"/>
  <c r="C6" i="79"/>
  <c r="C5" i="79" s="1"/>
  <c r="C6" i="80"/>
  <c r="C5" i="80" s="1"/>
  <c r="C33" i="43"/>
  <c r="C35" i="43"/>
  <c r="C36" i="43"/>
  <c r="T11" i="43"/>
  <c r="V11" i="43" s="1"/>
  <c r="T16" i="43"/>
  <c r="V16" i="43" s="1"/>
  <c r="T14" i="43"/>
  <c r="V14" i="43" s="1"/>
  <c r="T12" i="43"/>
  <c r="V12" i="43" s="1"/>
  <c r="T9" i="43"/>
  <c r="V9" i="43" s="1"/>
  <c r="T8" i="43"/>
  <c r="V8" i="43" s="1"/>
  <c r="T15" i="43"/>
  <c r="V15" i="43" s="1"/>
  <c r="T13" i="43"/>
  <c r="V13" i="43" s="1"/>
  <c r="T10" i="43"/>
  <c r="V10" i="43" s="1"/>
  <c r="C39" i="43"/>
  <c r="E39" i="43" s="1"/>
  <c r="C37" i="43"/>
  <c r="C34" i="43"/>
  <c r="C38" i="43"/>
  <c r="C60" i="79"/>
  <c r="C66" i="79"/>
  <c r="E107" i="43"/>
  <c r="E109" i="43"/>
  <c r="E102" i="43"/>
  <c r="E104" i="43"/>
  <c r="E105" i="43"/>
  <c r="E106" i="43"/>
  <c r="E103" i="43"/>
  <c r="I115" i="43"/>
  <c r="J115" i="43" s="1"/>
  <c r="K115" i="43" s="1"/>
  <c r="L115" i="43" s="1"/>
  <c r="M115" i="43" s="1"/>
  <c r="B116" i="43"/>
  <c r="C116" i="43" s="1"/>
  <c r="B118" i="43"/>
  <c r="C118" i="43" s="1"/>
  <c r="D116" i="43"/>
  <c r="E116" i="43" s="1"/>
  <c r="F116" i="43" s="1"/>
  <c r="G116" i="43" s="1"/>
  <c r="H116" i="43" s="1"/>
  <c r="D118" i="43"/>
  <c r="E118" i="43" s="1"/>
  <c r="F118" i="43" s="1"/>
  <c r="D115" i="43"/>
  <c r="E115" i="43" s="1"/>
  <c r="F115" i="43" s="1"/>
  <c r="G115" i="43" s="1"/>
  <c r="H115" i="43" s="1"/>
  <c r="D117" i="43"/>
  <c r="E117" i="43" s="1"/>
  <c r="F117" i="43" s="1"/>
  <c r="G117" i="43" s="1"/>
  <c r="H117" i="43" s="1"/>
  <c r="I118" i="43"/>
  <c r="J118" i="43" s="1"/>
  <c r="K118" i="43" s="1"/>
  <c r="L118" i="43" s="1"/>
  <c r="M118" i="43" s="1"/>
  <c r="I117" i="43"/>
  <c r="J117" i="43" s="1"/>
  <c r="K117" i="43" s="1"/>
  <c r="L117" i="43" s="1"/>
  <c r="M117" i="43" s="1"/>
  <c r="G118" i="43"/>
  <c r="H118" i="43" s="1"/>
  <c r="B115" i="43"/>
  <c r="C115" i="43" s="1"/>
  <c r="B117" i="43"/>
  <c r="C117" i="43" s="1"/>
  <c r="I116" i="43"/>
  <c r="J116" i="43" s="1"/>
  <c r="K116" i="43" s="1"/>
  <c r="L116" i="43" s="1"/>
  <c r="M116" i="43" s="1"/>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B2" i="35" s="1"/>
  <c r="B3" i="35" s="1"/>
  <c r="C38" i="35"/>
  <c r="F27" i="69"/>
  <c r="F27" i="68"/>
  <c r="F28" i="12"/>
  <c r="C29" i="12" s="1"/>
  <c r="D28" i="12" s="1"/>
  <c r="F27" i="11"/>
  <c r="E61" i="39"/>
  <c r="E56" i="40"/>
  <c r="F27" i="6"/>
  <c r="F31" i="6" s="1"/>
  <c r="E51" i="40"/>
  <c r="E56" i="39"/>
  <c r="E16" i="6"/>
  <c r="E62" i="39"/>
  <c r="E57" i="40"/>
  <c r="G46" i="37"/>
  <c r="H46" i="37" s="1"/>
  <c r="G47" i="37"/>
  <c r="H47" i="37" s="1"/>
  <c r="R43" i="37"/>
  <c r="E42" i="37"/>
  <c r="C48" i="21"/>
  <c r="C49" i="21"/>
  <c r="K24" i="6"/>
  <c r="M24" i="6" s="1"/>
  <c r="I24" i="6" s="1"/>
  <c r="S24" i="6" s="1"/>
  <c r="K21" i="6"/>
  <c r="K25" i="6"/>
  <c r="M25" i="6" s="1"/>
  <c r="I25" i="6" s="1"/>
  <c r="S25" i="6" s="1"/>
  <c r="K23" i="6"/>
  <c r="M23" i="6" s="1"/>
  <c r="I23" i="6" s="1"/>
  <c r="S23" i="6" s="1"/>
  <c r="K26" i="6"/>
  <c r="M26" i="6" s="1"/>
  <c r="I26" i="6" s="1"/>
  <c r="S26" i="6" s="1"/>
  <c r="K22" i="6"/>
  <c r="M22" i="6" s="1"/>
  <c r="I22" i="6" s="1"/>
  <c r="S22" i="6" s="1"/>
  <c r="K19" i="6"/>
  <c r="E31" i="6"/>
  <c r="K20" i="6"/>
  <c r="J6" i="79"/>
  <c r="J5" i="79" s="1"/>
  <c r="K103" i="43"/>
  <c r="K104" i="43"/>
  <c r="K102" i="43"/>
  <c r="K109" i="43"/>
  <c r="K107" i="43"/>
  <c r="K105" i="43"/>
  <c r="K106" i="43"/>
  <c r="L109" i="43"/>
  <c r="L107" i="43"/>
  <c r="L102" i="43"/>
  <c r="L104" i="43"/>
  <c r="L106" i="43"/>
  <c r="L103" i="43"/>
  <c r="L105" i="43"/>
  <c r="AC6" i="3"/>
  <c r="E6" i="3" s="1"/>
  <c r="E43" i="35"/>
  <c r="F43" i="35" s="1"/>
  <c r="E42" i="35"/>
  <c r="F42" i="35" s="1"/>
  <c r="K46" i="36"/>
  <c r="C35" i="69"/>
  <c r="C38" i="69"/>
  <c r="H10" i="40"/>
  <c r="F10" i="39"/>
  <c r="J10" i="40"/>
  <c r="F10" i="40"/>
  <c r="J10" i="39"/>
  <c r="H10" i="39"/>
  <c r="M16" i="1"/>
  <c r="E58" i="40"/>
  <c r="E63" i="39"/>
  <c r="E59" i="40"/>
  <c r="E64" i="39"/>
  <c r="E65" i="39"/>
  <c r="E60" i="40"/>
  <c r="E52" i="21"/>
  <c r="F52" i="21" s="1"/>
  <c r="E53" i="21"/>
  <c r="F53" i="21" s="1"/>
  <c r="E3" i="6"/>
  <c r="AY6" i="3"/>
  <c r="J6" i="80"/>
  <c r="J10" i="80"/>
  <c r="F31" i="80"/>
  <c r="F41" i="79"/>
  <c r="F31" i="79"/>
  <c r="F41" i="80"/>
  <c r="C24" i="67" l="1"/>
  <c r="C23" i="67"/>
  <c r="J65" i="40"/>
  <c r="K63" i="40"/>
  <c r="C26" i="68"/>
  <c r="D22" i="68" s="1"/>
  <c r="C24" i="68"/>
  <c r="C44" i="68"/>
  <c r="D41" i="68" s="1"/>
  <c r="C44" i="11"/>
  <c r="D41" i="11" s="1"/>
  <c r="C26" i="11"/>
  <c r="D22" i="11" s="1"/>
  <c r="C23" i="11"/>
  <c r="C26" i="69"/>
  <c r="D22" i="69" s="1"/>
  <c r="C44" i="69"/>
  <c r="D41" i="69" s="1"/>
  <c r="I58" i="33"/>
  <c r="F69" i="80"/>
  <c r="H70" i="39"/>
  <c r="I68" i="39"/>
  <c r="F69" i="79"/>
  <c r="D3" i="34"/>
  <c r="B2" i="34" s="1"/>
  <c r="B3" i="34" s="1"/>
  <c r="B14" i="74"/>
  <c r="B1" i="74" s="1"/>
  <c r="D37" i="11"/>
  <c r="C37" i="11" s="1"/>
  <c r="M18" i="9"/>
  <c r="B118" i="9" s="1"/>
  <c r="D14" i="12"/>
  <c r="D3" i="21"/>
  <c r="L18" i="9"/>
  <c r="E6" i="6"/>
  <c r="D3" i="33"/>
  <c r="D19" i="11"/>
  <c r="C19" i="11" s="1"/>
  <c r="D3" i="37"/>
  <c r="C17" i="4"/>
  <c r="B4" i="52" s="1"/>
  <c r="B43" i="72" s="1"/>
  <c r="U10" i="39"/>
  <c r="AB10" i="39"/>
  <c r="AA10" i="40"/>
  <c r="S10" i="40"/>
  <c r="S10" i="39"/>
  <c r="AA10" i="39"/>
  <c r="J5" i="80"/>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C34" i="68"/>
  <c r="W10" i="39"/>
  <c r="AC10" i="39"/>
  <c r="AC10" i="40"/>
  <c r="W10" i="40"/>
  <c r="U10" i="40"/>
  <c r="AB10" i="40"/>
  <c r="L46" i="36"/>
  <c r="S7" i="1"/>
  <c r="M20" i="6"/>
  <c r="I20" i="6" s="1"/>
  <c r="S20" i="6" s="1"/>
  <c r="S6" i="1"/>
  <c r="M19" i="6"/>
  <c r="K27" i="6"/>
  <c r="C43" i="37"/>
  <c r="B2" i="37" s="1"/>
  <c r="B3" i="37" s="1"/>
  <c r="C42" i="37"/>
  <c r="C47" i="11"/>
  <c r="D45" i="11" s="1"/>
  <c r="C29" i="11"/>
  <c r="D27" i="11" s="1"/>
  <c r="C29" i="68"/>
  <c r="D27" i="68" s="1"/>
  <c r="C47" i="68"/>
  <c r="D45" i="68" s="1"/>
  <c r="D113" i="43"/>
  <c r="G34" i="43"/>
  <c r="I34" i="43" s="1"/>
  <c r="E34" i="43"/>
  <c r="E36" i="43"/>
  <c r="G36" i="43"/>
  <c r="I36" i="43" s="1"/>
  <c r="G33" i="43"/>
  <c r="I33" i="43" s="1"/>
  <c r="E33" i="43"/>
  <c r="C32" i="80"/>
  <c r="C38" i="80"/>
  <c r="J24" i="79"/>
  <c r="J26" i="79"/>
  <c r="J29" i="79" s="1"/>
  <c r="J18" i="79"/>
  <c r="S8" i="1"/>
  <c r="M21" i="6"/>
  <c r="I21" i="6" s="1"/>
  <c r="S21" i="6" s="1"/>
  <c r="B2" i="21"/>
  <c r="B3" i="21" s="1"/>
  <c r="E47" i="37"/>
  <c r="F47" i="37" s="1"/>
  <c r="E46" i="37"/>
  <c r="F46" i="37" s="1"/>
  <c r="I47" i="37"/>
  <c r="J47" i="37" s="1"/>
  <c r="E66" i="39"/>
  <c r="C47" i="69"/>
  <c r="D45" i="69" s="1"/>
  <c r="C29" i="69"/>
  <c r="D27" i="69" s="1"/>
  <c r="S5" i="43"/>
  <c r="T5" i="43" s="1"/>
  <c r="V5" i="43" s="1"/>
  <c r="S6" i="43"/>
  <c r="T6" i="43" s="1"/>
  <c r="V6" i="43" s="1"/>
  <c r="S3" i="43"/>
  <c r="T3" i="43" s="1"/>
  <c r="V3" i="43" s="1"/>
  <c r="S7" i="43"/>
  <c r="T7" i="43" s="1"/>
  <c r="V7" i="43" s="1"/>
  <c r="C23" i="43"/>
  <c r="C21" i="43" s="1"/>
  <c r="S4" i="43"/>
  <c r="T4" i="43" s="1"/>
  <c r="V4" i="43" s="1"/>
  <c r="S2" i="43"/>
  <c r="T2" i="43" s="1"/>
  <c r="V2" i="43" s="1"/>
  <c r="G38" i="43"/>
  <c r="I38" i="43" s="1"/>
  <c r="E38" i="43"/>
  <c r="G37" i="43"/>
  <c r="I37" i="43" s="1"/>
  <c r="E37" i="43"/>
  <c r="G35" i="43"/>
  <c r="I35" i="43" s="1"/>
  <c r="E35" i="43"/>
  <c r="C32" i="79"/>
  <c r="C38" i="79"/>
  <c r="C17" i="80"/>
  <c r="C17" i="79"/>
  <c r="C17" i="15"/>
  <c r="C17" i="78"/>
  <c r="C29" i="67" l="1"/>
  <c r="C13" i="67" s="1"/>
  <c r="J58" i="33"/>
  <c r="K65" i="40"/>
  <c r="L63" i="40"/>
  <c r="J68" i="39"/>
  <c r="I70" i="39"/>
  <c r="B2" i="79"/>
  <c r="B3" i="79" s="1"/>
  <c r="Q56" i="79"/>
  <c r="Q62" i="79" s="1"/>
  <c r="Q65" i="79"/>
  <c r="Q75" i="79" s="1"/>
  <c r="Q47" i="79"/>
  <c r="Q53" i="79" s="1"/>
  <c r="I19" i="6"/>
  <c r="H19" i="6" s="1"/>
  <c r="M27" i="6"/>
  <c r="C38" i="68"/>
  <c r="C35" i="68"/>
  <c r="C38" i="11"/>
  <c r="C35" i="11"/>
  <c r="H20" i="6"/>
  <c r="M19" i="9"/>
  <c r="C118" i="9" s="1"/>
  <c r="D19" i="6"/>
  <c r="D26" i="6"/>
  <c r="C18" i="4"/>
  <c r="D8" i="6"/>
  <c r="D23" i="6"/>
  <c r="D14" i="6"/>
  <c r="D5" i="6"/>
  <c r="D12" i="6"/>
  <c r="D11" i="6"/>
  <c r="D13" i="6"/>
  <c r="D28" i="6"/>
  <c r="E61" i="40"/>
  <c r="H22" i="6"/>
  <c r="H21" i="6"/>
  <c r="H24" i="6"/>
  <c r="C14" i="74"/>
  <c r="B2" i="74" s="1"/>
  <c r="D25" i="6"/>
  <c r="D15" i="6"/>
  <c r="D22" i="6"/>
  <c r="D21" i="6"/>
  <c r="D24" i="6"/>
  <c r="D20" i="6"/>
  <c r="R20" i="6" s="1"/>
  <c r="R7" i="1" s="1"/>
  <c r="D6" i="6"/>
  <c r="D9" i="6"/>
  <c r="D10" i="6"/>
  <c r="L19" i="9"/>
  <c r="D29" i="6"/>
  <c r="H25" i="6"/>
  <c r="R25" i="6" s="1"/>
  <c r="H23" i="6"/>
  <c r="H26" i="6"/>
  <c r="J26" i="80"/>
  <c r="J29" i="80" s="1"/>
  <c r="J24" i="80"/>
  <c r="J18" i="80"/>
  <c r="C20" i="11"/>
  <c r="C25" i="11" s="1"/>
  <c r="C24" i="11"/>
  <c r="D17" i="12"/>
  <c r="C17" i="12" s="1"/>
  <c r="C14" i="12"/>
  <c r="C16" i="12" s="1"/>
  <c r="C29" i="43"/>
  <c r="E8" i="70"/>
  <c r="AQ8" i="1"/>
  <c r="T8" i="1"/>
  <c r="AR8" i="1"/>
  <c r="AR6" i="1"/>
  <c r="E6" i="70"/>
  <c r="AQ6" i="1"/>
  <c r="S16" i="1"/>
  <c r="T6" i="1"/>
  <c r="AQ7" i="1"/>
  <c r="AR7" i="1"/>
  <c r="T7" i="1"/>
  <c r="E7" i="70"/>
  <c r="M46" i="36"/>
  <c r="N46" i="36" s="1"/>
  <c r="O46" i="36" s="1"/>
  <c r="J7" i="36" s="1"/>
  <c r="F50" i="11"/>
  <c r="F50" i="68"/>
  <c r="F50" i="69"/>
  <c r="D10" i="11"/>
  <c r="C10" i="11" s="1"/>
  <c r="D10" i="68"/>
  <c r="D20" i="12"/>
  <c r="C20" i="12" s="1"/>
  <c r="D10" i="69"/>
  <c r="C7" i="74"/>
  <c r="C8" i="74"/>
  <c r="M21" i="79"/>
  <c r="M21" i="80"/>
  <c r="C14" i="79"/>
  <c r="F35" i="80"/>
  <c r="C14" i="15"/>
  <c r="F35" i="79"/>
  <c r="C14" i="78"/>
  <c r="C14" i="80"/>
  <c r="Q49" i="67" l="1"/>
  <c r="J14" i="67"/>
  <c r="J13" i="67" s="1"/>
  <c r="J23" i="67" s="1"/>
  <c r="C33" i="67"/>
  <c r="C31" i="67" s="1"/>
  <c r="C36" i="67"/>
  <c r="J59" i="67"/>
  <c r="J60" i="67" s="1"/>
  <c r="Q48" i="67" s="1"/>
  <c r="J19" i="67"/>
  <c r="J17" i="67" s="1"/>
  <c r="C57" i="67"/>
  <c r="C61" i="67" s="1"/>
  <c r="C59" i="67" s="1"/>
  <c r="J22" i="67"/>
  <c r="K58" i="33"/>
  <c r="L58" i="33" s="1"/>
  <c r="M58" i="33" s="1"/>
  <c r="N58" i="33" s="1"/>
  <c r="O58" i="33" s="1"/>
  <c r="J7" i="33"/>
  <c r="F7" i="33"/>
  <c r="F7" i="36"/>
  <c r="R24" i="6"/>
  <c r="R22" i="6"/>
  <c r="C64" i="67"/>
  <c r="Q70" i="67"/>
  <c r="C37" i="67"/>
  <c r="C56" i="67"/>
  <c r="C65" i="67" s="1"/>
  <c r="C75" i="67"/>
  <c r="L65" i="40"/>
  <c r="M63" i="40"/>
  <c r="H7" i="33"/>
  <c r="C33" i="11"/>
  <c r="C42" i="11" s="1"/>
  <c r="K68" i="39"/>
  <c r="J70" i="39"/>
  <c r="C22" i="11"/>
  <c r="C15" i="15"/>
  <c r="C18" i="15"/>
  <c r="C15" i="78"/>
  <c r="C18" i="78"/>
  <c r="C34" i="79"/>
  <c r="F63" i="79"/>
  <c r="C62" i="79" s="1"/>
  <c r="J20" i="80"/>
  <c r="J20" i="79"/>
  <c r="F63" i="80"/>
  <c r="C62" i="80" s="1"/>
  <c r="C34" i="80"/>
  <c r="C18" i="80"/>
  <c r="C15" i="80"/>
  <c r="C15" i="79"/>
  <c r="C18" i="79"/>
  <c r="S7" i="36"/>
  <c r="AA7" i="36"/>
  <c r="R36" i="36" s="1"/>
  <c r="T16" i="1"/>
  <c r="R21" i="6"/>
  <c r="R8" i="1" s="1"/>
  <c r="D7" i="74"/>
  <c r="D8" i="74"/>
  <c r="D30" i="6"/>
  <c r="R23" i="6"/>
  <c r="A7" i="51"/>
  <c r="B7" i="72" s="1"/>
  <c r="A10" i="51"/>
  <c r="B9" i="72" s="1"/>
  <c r="C4" i="52"/>
  <c r="B45" i="72" s="1"/>
  <c r="D27" i="6"/>
  <c r="D31" i="6" s="1"/>
  <c r="R19" i="6"/>
  <c r="R6" i="1" s="1"/>
  <c r="S19" i="6"/>
  <c r="S27" i="6" s="1"/>
  <c r="I27" i="6"/>
  <c r="D19" i="69"/>
  <c r="C10" i="69"/>
  <c r="C8" i="69" s="1"/>
  <c r="C5" i="69" s="1"/>
  <c r="C10" i="68"/>
  <c r="B29" i="1" s="1"/>
  <c r="C8" i="68" s="1"/>
  <c r="H9" i="68" s="1"/>
  <c r="D19" i="68"/>
  <c r="D37" i="68" s="1"/>
  <c r="C37" i="68" s="1"/>
  <c r="C33" i="68" s="1"/>
  <c r="W7" i="36"/>
  <c r="AC7" i="36"/>
  <c r="V36" i="36" s="1"/>
  <c r="I36" i="36" s="1"/>
  <c r="E2" i="70"/>
  <c r="E29" i="43"/>
  <c r="C26" i="43" s="1"/>
  <c r="C30" i="43"/>
  <c r="E30" i="43" s="1"/>
  <c r="C27" i="43" s="1"/>
  <c r="C28" i="11"/>
  <c r="C27" i="11" s="1"/>
  <c r="H27" i="6"/>
  <c r="D16" i="6"/>
  <c r="R26" i="6"/>
  <c r="R27" i="6" s="1"/>
  <c r="C39" i="11"/>
  <c r="H7" i="36"/>
  <c r="F35" i="78"/>
  <c r="M21" i="78"/>
  <c r="M21" i="15"/>
  <c r="F35" i="15"/>
  <c r="E6" i="76"/>
  <c r="C30" i="67" l="1"/>
  <c r="C39" i="67" s="1"/>
  <c r="C80" i="67" s="1"/>
  <c r="C79" i="67" s="1"/>
  <c r="L46" i="67"/>
  <c r="AB7" i="33"/>
  <c r="T48" i="33" s="1"/>
  <c r="G48" i="33" s="1"/>
  <c r="G52" i="33" s="1"/>
  <c r="H52" i="33" s="1"/>
  <c r="U7" i="33"/>
  <c r="C58" i="67"/>
  <c r="C67" i="67" s="1"/>
  <c r="C68" i="67" s="1"/>
  <c r="W7" i="33"/>
  <c r="AC7" i="33"/>
  <c r="V48" i="33" s="1"/>
  <c r="I48" i="33" s="1"/>
  <c r="M65" i="40"/>
  <c r="N63" i="40"/>
  <c r="S7" i="33"/>
  <c r="AA7" i="33"/>
  <c r="R48" i="33" s="1"/>
  <c r="J16" i="67"/>
  <c r="J25" i="67" s="1"/>
  <c r="K70" i="39"/>
  <c r="L68" i="39"/>
  <c r="C19" i="80"/>
  <c r="C20" i="80" s="1"/>
  <c r="C26" i="80" s="1"/>
  <c r="C19" i="15"/>
  <c r="C20" i="15" s="1"/>
  <c r="C26" i="15" s="1"/>
  <c r="C31" i="11"/>
  <c r="C19" i="79"/>
  <c r="C20" i="79" s="1"/>
  <c r="C26" i="79" s="1"/>
  <c r="C19" i="78"/>
  <c r="C20" i="78" s="1"/>
  <c r="C26" i="78" s="1"/>
  <c r="E2" i="76"/>
  <c r="J20" i="15"/>
  <c r="F63" i="15"/>
  <c r="C62" i="15" s="1"/>
  <c r="C34" i="15"/>
  <c r="C34" i="78"/>
  <c r="F63" i="78"/>
  <c r="C62" i="78" s="1"/>
  <c r="J20" i="78"/>
  <c r="C39" i="68"/>
  <c r="C42" i="68"/>
  <c r="C46" i="11"/>
  <c r="C45" i="11" s="1"/>
  <c r="C43" i="11"/>
  <c r="C41" i="11" s="1"/>
  <c r="U7" i="36"/>
  <c r="AB7" i="36"/>
  <c r="T36" i="36" s="1"/>
  <c r="G36" i="36" s="1"/>
  <c r="B2" i="43"/>
  <c r="I40" i="36"/>
  <c r="J40" i="36" s="1"/>
  <c r="C23" i="69"/>
  <c r="R16" i="1"/>
  <c r="D37" i="69"/>
  <c r="C37" i="69" s="1"/>
  <c r="C33" i="69" s="1"/>
  <c r="C19" i="69"/>
  <c r="C24" i="69" s="1"/>
  <c r="I5" i="6"/>
  <c r="I6" i="6"/>
  <c r="E36" i="36"/>
  <c r="R37" i="36"/>
  <c r="C18" i="12"/>
  <c r="C21" i="12" s="1"/>
  <c r="B6" i="76"/>
  <c r="L51" i="67"/>
  <c r="Q69" i="67" l="1"/>
  <c r="Q68" i="67" s="1"/>
  <c r="C40" i="67"/>
  <c r="C43" i="67" s="1"/>
  <c r="Q67" i="67"/>
  <c r="L57" i="67"/>
  <c r="L60" i="67" s="1"/>
  <c r="E48" i="33"/>
  <c r="R49" i="33"/>
  <c r="G53" i="33"/>
  <c r="H53" i="33" s="1"/>
  <c r="I52" i="33"/>
  <c r="J52" i="33" s="1"/>
  <c r="C71" i="67"/>
  <c r="O63" i="40"/>
  <c r="O65" i="40" s="1"/>
  <c r="N65" i="40"/>
  <c r="C49" i="11"/>
  <c r="C51" i="11" s="1"/>
  <c r="C52" i="11" s="1"/>
  <c r="B2" i="11" s="1"/>
  <c r="B3" i="11" s="1"/>
  <c r="L70" i="39"/>
  <c r="M68" i="39"/>
  <c r="C23" i="15"/>
  <c r="C29" i="15" s="1"/>
  <c r="C36" i="15" s="1"/>
  <c r="C23" i="80"/>
  <c r="C29" i="80" s="1"/>
  <c r="C13" i="80" s="1"/>
  <c r="B2" i="76"/>
  <c r="B3" i="76" s="1"/>
  <c r="B3" i="43"/>
  <c r="G40" i="36"/>
  <c r="H40" i="36" s="1"/>
  <c r="G41" i="36"/>
  <c r="H41" i="36" s="1"/>
  <c r="C23" i="79"/>
  <c r="C29" i="79" s="1"/>
  <c r="C23" i="78"/>
  <c r="C29" i="78" s="1"/>
  <c r="C22" i="12"/>
  <c r="C30" i="12" s="1"/>
  <c r="C28" i="12" s="1"/>
  <c r="E40" i="36"/>
  <c r="F40" i="36" s="1"/>
  <c r="E41" i="36"/>
  <c r="F41" i="36" s="1"/>
  <c r="C39" i="69"/>
  <c r="C43" i="69" s="1"/>
  <c r="C42" i="69"/>
  <c r="C36" i="36"/>
  <c r="C37" i="36"/>
  <c r="B2" i="36" s="1"/>
  <c r="B3" i="36" s="1"/>
  <c r="C20" i="69"/>
  <c r="I41" i="36"/>
  <c r="J41" i="36" s="1"/>
  <c r="C46" i="68"/>
  <c r="C45" i="68" s="1"/>
  <c r="C43" i="68"/>
  <c r="C41" i="68" s="1"/>
  <c r="Q47" i="67" l="1"/>
  <c r="Q53" i="67" s="1"/>
  <c r="C45" i="67"/>
  <c r="C46" i="67" s="1"/>
  <c r="C83" i="67"/>
  <c r="C82" i="67" s="1"/>
  <c r="Q65" i="67"/>
  <c r="J19" i="15"/>
  <c r="J17" i="15" s="1"/>
  <c r="Q56" i="67"/>
  <c r="D2" i="67"/>
  <c r="B3" i="67" s="1"/>
  <c r="F7" i="40"/>
  <c r="H7" i="40"/>
  <c r="E53" i="33"/>
  <c r="F53" i="33" s="1"/>
  <c r="E52" i="33"/>
  <c r="F52" i="33" s="1"/>
  <c r="J7" i="40"/>
  <c r="I53" i="33"/>
  <c r="J53" i="33" s="1"/>
  <c r="C49" i="33"/>
  <c r="B2" i="33" s="1"/>
  <c r="B3" i="33" s="1"/>
  <c r="C48" i="33"/>
  <c r="Q66" i="67"/>
  <c r="Q75" i="67" s="1"/>
  <c r="Q57" i="67"/>
  <c r="Q49" i="15"/>
  <c r="C13" i="15"/>
  <c r="C75" i="15" s="1"/>
  <c r="C33" i="15"/>
  <c r="C31" i="15" s="1"/>
  <c r="M70" i="39"/>
  <c r="N68" i="39"/>
  <c r="C56" i="11"/>
  <c r="C57" i="11" s="1"/>
  <c r="Q49" i="80"/>
  <c r="C57" i="15"/>
  <c r="C64" i="15" s="1"/>
  <c r="J14" i="15"/>
  <c r="J22" i="15" s="1"/>
  <c r="C33" i="80"/>
  <c r="C31" i="80" s="1"/>
  <c r="C57" i="80"/>
  <c r="C61" i="80" s="1"/>
  <c r="C59" i="80" s="1"/>
  <c r="J19" i="80"/>
  <c r="J17" i="80" s="1"/>
  <c r="C41" i="69"/>
  <c r="C36" i="80"/>
  <c r="J14" i="80"/>
  <c r="J22" i="80" s="1"/>
  <c r="C49" i="68"/>
  <c r="C51" i="68" s="1"/>
  <c r="C46" i="69"/>
  <c r="C45" i="69" s="1"/>
  <c r="C27" i="12"/>
  <c r="C25" i="12" s="1"/>
  <c r="C32" i="12" s="1"/>
  <c r="B2" i="12" s="1"/>
  <c r="B3" i="12" s="1"/>
  <c r="C64" i="80"/>
  <c r="C61" i="15"/>
  <c r="C59" i="15" s="1"/>
  <c r="J13" i="15"/>
  <c r="J23" i="15" s="1"/>
  <c r="C57" i="78"/>
  <c r="Q49" i="78"/>
  <c r="C36" i="78"/>
  <c r="C33" i="78"/>
  <c r="C31" i="78" s="1"/>
  <c r="J14" i="78"/>
  <c r="C13" i="78"/>
  <c r="J19" i="78"/>
  <c r="J17" i="78" s="1"/>
  <c r="C28" i="69"/>
  <c r="C27" i="69" s="1"/>
  <c r="C25" i="69"/>
  <c r="C22" i="69" s="1"/>
  <c r="C75" i="80"/>
  <c r="C37" i="80"/>
  <c r="C56" i="80"/>
  <c r="C65" i="80" s="1"/>
  <c r="Q70" i="80"/>
  <c r="J14" i="79"/>
  <c r="C57" i="79"/>
  <c r="C33" i="79"/>
  <c r="C31" i="79" s="1"/>
  <c r="C36" i="79"/>
  <c r="C13" i="79"/>
  <c r="Q49" i="79"/>
  <c r="J19" i="79"/>
  <c r="J17" i="79" s="1"/>
  <c r="Q62" i="67" l="1"/>
  <c r="B2" i="67"/>
  <c r="AB7" i="40"/>
  <c r="T42" i="40" s="1"/>
  <c r="G42" i="40" s="1"/>
  <c r="U7" i="40"/>
  <c r="W7" i="40"/>
  <c r="AC7" i="40"/>
  <c r="V42" i="40" s="1"/>
  <c r="I42" i="40" s="1"/>
  <c r="AA7" i="40"/>
  <c r="R42" i="40" s="1"/>
  <c r="S7" i="40"/>
  <c r="J13" i="80"/>
  <c r="J23" i="80" s="1"/>
  <c r="C37" i="15"/>
  <c r="C30" i="15" s="1"/>
  <c r="C39" i="15" s="1"/>
  <c r="C80" i="15" s="1"/>
  <c r="C79" i="15" s="1"/>
  <c r="Q70" i="15"/>
  <c r="C56" i="15"/>
  <c r="C65" i="15" s="1"/>
  <c r="C58" i="15" s="1"/>
  <c r="C67" i="15" s="1"/>
  <c r="C68" i="15" s="1"/>
  <c r="N70" i="39"/>
  <c r="O68" i="39"/>
  <c r="O70" i="39" s="1"/>
  <c r="H7" i="39" s="1"/>
  <c r="F7" i="39"/>
  <c r="J7" i="39"/>
  <c r="J16" i="15"/>
  <c r="J25" i="15" s="1"/>
  <c r="C30" i="80"/>
  <c r="C39" i="80" s="1"/>
  <c r="Q69" i="80" s="1"/>
  <c r="Q68" i="80" s="1"/>
  <c r="J16" i="80"/>
  <c r="J25" i="80" s="1"/>
  <c r="C49" i="69"/>
  <c r="C51" i="69" s="1"/>
  <c r="C64" i="79"/>
  <c r="C61" i="79"/>
  <c r="C59" i="79" s="1"/>
  <c r="C37" i="78"/>
  <c r="C30" i="78" s="1"/>
  <c r="C39" i="78" s="1"/>
  <c r="Q70" i="78"/>
  <c r="C56" i="78"/>
  <c r="C65" i="78" s="1"/>
  <c r="C83" i="78"/>
  <c r="C82" i="78" s="1"/>
  <c r="C75" i="78"/>
  <c r="C75" i="79"/>
  <c r="C56" i="79"/>
  <c r="C65" i="79" s="1"/>
  <c r="C83" i="79"/>
  <c r="C82" i="79" s="1"/>
  <c r="C37" i="79"/>
  <c r="C30" i="79" s="1"/>
  <c r="C39" i="79" s="1"/>
  <c r="Q70" i="79"/>
  <c r="J13" i="79"/>
  <c r="J23" i="79" s="1"/>
  <c r="J22" i="79"/>
  <c r="C31" i="69"/>
  <c r="J22" i="78"/>
  <c r="J13" i="78"/>
  <c r="J23" i="78" s="1"/>
  <c r="C61" i="78"/>
  <c r="C59" i="78" s="1"/>
  <c r="C64" i="78"/>
  <c r="C58" i="80"/>
  <c r="C67" i="80" s="1"/>
  <c r="C68" i="80" s="1"/>
  <c r="L51" i="15"/>
  <c r="I46" i="40" l="1"/>
  <c r="J46" i="40" s="1"/>
  <c r="R43" i="40"/>
  <c r="E42" i="40"/>
  <c r="G47" i="40"/>
  <c r="H47" i="40" s="1"/>
  <c r="G46" i="40"/>
  <c r="H46" i="40" s="1"/>
  <c r="C80" i="78"/>
  <c r="C79" i="78" s="1"/>
  <c r="C40" i="15"/>
  <c r="Q47" i="15" s="1"/>
  <c r="Q53" i="15" s="1"/>
  <c r="Q69" i="15"/>
  <c r="Q68" i="15" s="1"/>
  <c r="C40" i="80"/>
  <c r="B2" i="80" s="1"/>
  <c r="C52" i="69"/>
  <c r="B2" i="69" s="1"/>
  <c r="B3" i="69" s="1"/>
  <c r="AC7" i="39"/>
  <c r="V47" i="39" s="1"/>
  <c r="I47" i="39" s="1"/>
  <c r="I51" i="39" s="1"/>
  <c r="J51" i="39" s="1"/>
  <c r="W7" i="39"/>
  <c r="AB7" i="39"/>
  <c r="T47" i="39" s="1"/>
  <c r="G47" i="39" s="1"/>
  <c r="U7" i="39"/>
  <c r="AA7" i="39"/>
  <c r="R47" i="39" s="1"/>
  <c r="S7" i="39"/>
  <c r="C80" i="80"/>
  <c r="C79" i="80" s="1"/>
  <c r="C58" i="78"/>
  <c r="C67" i="78" s="1"/>
  <c r="C68" i="78" s="1"/>
  <c r="C46" i="78" s="1"/>
  <c r="J16" i="78"/>
  <c r="J25" i="78" s="1"/>
  <c r="J26" i="78" s="1"/>
  <c r="J29" i="78" s="1"/>
  <c r="Q56" i="78" s="1"/>
  <c r="Q62" i="78" s="1"/>
  <c r="J16" i="79"/>
  <c r="J25" i="79" s="1"/>
  <c r="Q67" i="15"/>
  <c r="C71" i="15"/>
  <c r="C46" i="15"/>
  <c r="Q69" i="79"/>
  <c r="Q68" i="79" s="1"/>
  <c r="C46" i="80"/>
  <c r="C71" i="80"/>
  <c r="B2" i="15"/>
  <c r="C80" i="79"/>
  <c r="C79" i="79" s="1"/>
  <c r="Q69" i="78"/>
  <c r="Q68" i="78" s="1"/>
  <c r="C58" i="79"/>
  <c r="C67" i="79" s="1"/>
  <c r="C68" i="79" s="1"/>
  <c r="L51" i="80"/>
  <c r="L51" i="79"/>
  <c r="L51" i="78"/>
  <c r="AO7" i="1"/>
  <c r="AO6" i="1"/>
  <c r="B7" i="70" l="1"/>
  <c r="E46" i="40"/>
  <c r="F46" i="40" s="1"/>
  <c r="E47" i="40"/>
  <c r="F47" i="40" s="1"/>
  <c r="I47" i="40"/>
  <c r="J47" i="40" s="1"/>
  <c r="C43" i="40"/>
  <c r="C42" i="40"/>
  <c r="Q56" i="15"/>
  <c r="Q62" i="15" s="1"/>
  <c r="Q65" i="80"/>
  <c r="Q75" i="80" s="1"/>
  <c r="C43" i="15"/>
  <c r="C43" i="80"/>
  <c r="C83" i="15"/>
  <c r="C82" i="15" s="1"/>
  <c r="Q65" i="15"/>
  <c r="Q75" i="15" s="1"/>
  <c r="Q47" i="80"/>
  <c r="Q53" i="80" s="1"/>
  <c r="C83" i="80"/>
  <c r="C82" i="80" s="1"/>
  <c r="Q56" i="80"/>
  <c r="Q62" i="80" s="1"/>
  <c r="C57" i="69"/>
  <c r="C56" i="69" s="1"/>
  <c r="Q47" i="78"/>
  <c r="Q53" i="78" s="1"/>
  <c r="Q67" i="80"/>
  <c r="G52" i="39"/>
  <c r="H52" i="39" s="1"/>
  <c r="G51" i="39"/>
  <c r="H51" i="39" s="1"/>
  <c r="R48" i="39"/>
  <c r="E47" i="39"/>
  <c r="Q65" i="78"/>
  <c r="Q75" i="78" s="1"/>
  <c r="B2" i="78"/>
  <c r="C71" i="78"/>
  <c r="Q67" i="78"/>
  <c r="B6" i="70"/>
  <c r="Q67" i="79"/>
  <c r="C71" i="79"/>
  <c r="C46" i="79"/>
  <c r="B3" i="80"/>
  <c r="B3" i="15"/>
  <c r="AO8" i="1"/>
  <c r="B2" i="70" l="1"/>
  <c r="B57" i="40"/>
  <c r="F57" i="40" s="1"/>
  <c r="B56" i="40"/>
  <c r="F56" i="40" s="1"/>
  <c r="B53" i="40"/>
  <c r="F53" i="40" s="1"/>
  <c r="B52" i="40"/>
  <c r="F52" i="40" s="1"/>
  <c r="B55" i="40"/>
  <c r="F55" i="40" s="1"/>
  <c r="B59" i="40"/>
  <c r="F59" i="40" s="1"/>
  <c r="B54" i="40"/>
  <c r="F54" i="40" s="1"/>
  <c r="B58" i="40"/>
  <c r="F58" i="40" s="1"/>
  <c r="B51" i="40"/>
  <c r="F51" i="40" s="1"/>
  <c r="B60" i="40"/>
  <c r="F60" i="40" s="1"/>
  <c r="F61" i="40"/>
  <c r="B2" i="40" s="1"/>
  <c r="B3" i="40" s="1"/>
  <c r="E52" i="39"/>
  <c r="F52" i="39" s="1"/>
  <c r="E51" i="39"/>
  <c r="F51" i="39" s="1"/>
  <c r="I52" i="39"/>
  <c r="J52" i="39" s="1"/>
  <c r="C48" i="39"/>
  <c r="C47" i="39"/>
  <c r="B8" i="70"/>
  <c r="B3" i="78"/>
  <c r="D19" i="9"/>
  <c r="B63" i="39" l="1"/>
  <c r="F63" i="39" s="1"/>
  <c r="B57" i="39"/>
  <c r="F57" i="39" s="1"/>
  <c r="B59" i="39"/>
  <c r="F59" i="39" s="1"/>
  <c r="B62" i="39"/>
  <c r="F62" i="39" s="1"/>
  <c r="B61" i="39"/>
  <c r="F61" i="39" s="1"/>
  <c r="B64" i="39"/>
  <c r="F64" i="39" s="1"/>
  <c r="B60" i="39"/>
  <c r="F60" i="39" s="1"/>
  <c r="B65" i="39"/>
  <c r="F65" i="39" s="1"/>
  <c r="B58" i="39"/>
  <c r="F58" i="39" s="1"/>
  <c r="B56" i="39"/>
  <c r="F56" i="39" s="1"/>
  <c r="D21" i="9"/>
  <c r="D102" i="9"/>
  <c r="B3" i="70"/>
  <c r="D20" i="9"/>
  <c r="F66" i="39" l="1"/>
  <c r="B2" i="39" s="1"/>
  <c r="D103" i="9"/>
  <c r="B3" i="39" l="1"/>
  <c r="C6" i="68"/>
  <c r="C7" i="68" s="1"/>
  <c r="C5" i="68" s="1"/>
  <c r="C23" i="68" s="1"/>
  <c r="C20" i="68" l="1"/>
  <c r="C25" i="68" s="1"/>
  <c r="C22" i="68" s="1"/>
  <c r="C28" i="68" l="1"/>
  <c r="C27" i="68" s="1"/>
  <c r="C31" i="68" s="1"/>
  <c r="C52" i="68" s="1"/>
  <c r="C57" i="68" s="1"/>
  <c r="C56" i="68" s="1"/>
  <c r="B2" i="68" l="1"/>
  <c r="C19" i="9"/>
  <c r="C102" i="9" l="1"/>
  <c r="G19" i="9"/>
  <c r="C32" i="9" s="1"/>
  <c r="C21" i="9"/>
  <c r="D22" i="9"/>
  <c r="B3" i="68"/>
  <c r="G21" i="9"/>
  <c r="C20" i="9"/>
  <c r="D34" i="9"/>
  <c r="D35" i="9"/>
  <c r="C103" i="9" l="1"/>
  <c r="G20" i="9"/>
  <c r="H118" i="9"/>
  <c r="C35" i="9"/>
  <c r="F118" i="9" s="1"/>
  <c r="C34" i="9" l="1"/>
  <c r="D118" i="9" s="1"/>
  <c r="D4" i="52" s="1"/>
  <c r="B47" i="72" s="1"/>
  <c r="F119" i="9"/>
  <c r="F5" i="52" s="1"/>
  <c r="B53" i="72" s="1"/>
  <c r="F4" i="52"/>
  <c r="B51" i="72" s="1"/>
  <c r="G118" i="9"/>
  <c r="G4" i="52" s="1"/>
  <c r="B52" i="72" s="1"/>
  <c r="H101" i="9"/>
  <c r="J102" i="9" s="1"/>
  <c r="H4" i="52"/>
  <c r="C104" i="9"/>
  <c r="I118" i="9"/>
  <c r="D14" i="74"/>
  <c r="H119" i="9"/>
  <c r="H5" i="52" s="1"/>
  <c r="D119" i="9" l="1"/>
  <c r="D5" i="52" s="1"/>
  <c r="B49" i="72" s="1"/>
  <c r="I4" i="52"/>
  <c r="C105" i="9"/>
  <c r="H102" i="9"/>
  <c r="D7" i="53" s="1"/>
  <c r="B21" i="72" s="1"/>
  <c r="E118" i="9"/>
  <c r="E4" i="52" s="1"/>
  <c r="B48" i="72" s="1"/>
  <c r="E14" i="74"/>
  <c r="F14" i="74"/>
  <c r="B5" i="74"/>
  <c r="D5" i="53"/>
  <c r="H107" i="9"/>
  <c r="M48" i="9"/>
  <c r="D45" i="9"/>
  <c r="C64" i="9" l="1"/>
  <c r="C63" i="9" s="1"/>
  <c r="C67" i="9" s="1"/>
  <c r="C68" i="9" s="1"/>
  <c r="D54" i="9" s="1"/>
  <c r="C78" i="9"/>
  <c r="C73" i="9" s="1"/>
  <c r="D52" i="9"/>
  <c r="C85" i="9"/>
  <c r="D53" i="9"/>
  <c r="C93" i="9"/>
  <c r="C86" i="9" s="1"/>
  <c r="C72" i="9"/>
  <c r="D55" i="9"/>
  <c r="M53" i="9" s="1"/>
  <c r="C5" i="74"/>
  <c r="D5" i="74"/>
  <c r="D6" i="53"/>
  <c r="B22" i="72" s="1"/>
  <c r="B20" i="72"/>
  <c r="D13" i="53"/>
  <c r="H108" i="9"/>
  <c r="D15" i="53" s="1"/>
  <c r="B31" i="72" s="1"/>
  <c r="D122" i="9"/>
  <c r="C79" i="9" l="1"/>
  <c r="C80" i="9" s="1"/>
  <c r="E80" i="9" s="1"/>
  <c r="E81" i="9" s="1"/>
  <c r="G14" i="74"/>
  <c r="B6" i="74" s="1"/>
  <c r="D123" i="9"/>
  <c r="D9" i="52" s="1"/>
  <c r="D8" i="52"/>
  <c r="D14" i="53"/>
  <c r="B32" i="72" s="1"/>
  <c r="B30" i="72"/>
  <c r="C95" i="9"/>
  <c r="C81" i="9" l="1"/>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<sst xmlns="http://schemas.openxmlformats.org/spreadsheetml/2006/main" count="8663" uniqueCount="3166">
  <si>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</si>
  <si>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</si>
  <si>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</si>
  <si>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</si>
  <si>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</si>
  <si>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</si>
  <si>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</si>
  <si>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</si>
  <si>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</si>
  <si>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</si>
  <si>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</si>
  <si>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</si>
  <si>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</si>
  <si>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</si>
  <si>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</si>
  <si>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</si>
  <si>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</si>
  <si>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</si>
  <si>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</si>
  <si>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</si>
  <si>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</si>
  <si>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</si>
  <si>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</si>
  <si>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</si>
  <si>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</si>
  <si>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</si>
  <si>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</si>
  <si>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</si>
  <si>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</si>
  <si>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</si>
  <si>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</si>
  <si>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</si>
  <si>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</si>
  <si>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</si>
  <si>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</si>
  <si>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</si>
  <si>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</si>
  <si>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</si>
  <si>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</si>
  <si>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</si>
  <si>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</si>
  <si>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</si>
  <si>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</si>
  <si>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</si>
  <si>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</si>
  <si>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</si>
  <si>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</si>
  <si>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</si>
  <si>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</si>
  <si>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</si>
  <si>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</si>
  <si>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</si>
  <si>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</si>
  <si>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</si>
  <si>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</si>
  <si>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</si>
  <si>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</si>
  <si>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</si>
  <si>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</si>
  <si>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</si>
  <si>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</si>
  <si>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</si>
  <si>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</si>
  <si>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</si>
  <si>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</si>
  <si>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</si>
  <si>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</si>
  <si>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</si>
  <si>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</si>
  <si>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</si>
  <si>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</si>
  <si>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</si>
  <si>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</si>
  <si>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</si>
  <si>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</si>
  <si>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</si>
  <si>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</si>
  <si>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</si>
  <si>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</si>
  <si>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</si>
  <si>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</si>
  <si>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</si>
  <si>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</si>
  <si>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</si>
  <si>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</si>
  <si>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</si>
  <si>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</si>
  <si>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</si>
  <si>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</si>
  <si>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</si>
  <si>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</si>
  <si>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</si>
  <si>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</si>
  <si>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</si>
  <si>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</si>
  <si>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</si>
  <si>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</si>
  <si>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</si>
  <si>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</si>
  <si>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</si>
  <si>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</si>
  <si>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</si>
  <si>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</si>
  <si>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</si>
  <si>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</si>
  <si>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</si>
  <si>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</si>
  <si>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</si>
  <si>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</si>
  <si>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</si>
  <si>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</si>
  <si>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</si>
  <si>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</si>
  <si>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</si>
  <si>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</si>
  <si>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</si>
  <si>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</si>
  <si>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</si>
  <si>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</si>
  <si>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</si>
  <si>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</si>
  <si>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</si>
  <si>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</si>
  <si>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</si>
  <si>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</si>
  <si>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</si>
  <si>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</si>
  <si>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</si>
  <si>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</si>
  <si>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</si>
  <si>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</si>
  <si>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</si>
  <si>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</si>
  <si>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</si>
  <si>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</si>
  <si>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</si>
  <si>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</si>
  <si>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</si>
  <si>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</si>
  <si>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</si>
  <si>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</si>
  <si>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</si>
  <si>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</si>
  <si>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</si>
  <si>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</si>
  <si>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</si>
  <si>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</si>
  <si>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</si>
  <si>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</si>
  <si>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</si>
  <si>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</si>
  <si>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</si>
  <si>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</si>
  <si>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</si>
  <si>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</si>
  <si>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</si>
  <si>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</si>
  <si>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</si>
  <si>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</si>
  <si>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</si>
  <si>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</si>
  <si>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</si>
  <si>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</si>
  <si>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</si>
  <si>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</si>
  <si>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</si>
  <si>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</si>
  <si>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</si>
  <si>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</si>
  <si>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</si>
  <si>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</si>
  <si>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</si>
  <si>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</si>
  <si>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</si>
  <si>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</si>
  <si>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</si>
  <si>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</si>
  <si>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</si>
  <si>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</si>
  <si>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</si>
  <si>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</si>
  <si>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</si>
  <si>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</si>
  <si>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</si>
  <si>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</si>
  <si>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</si>
  <si>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</si>
  <si>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</si>
  <si>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</si>
  <si>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</si>
  <si>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</si>
  <si>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</si>
  <si>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</si>
  <si>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</si>
  <si>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</si>
  <si>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</si>
  <si>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</si>
  <si>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</si>
  <si>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</si>
  <si>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</si>
  <si>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</si>
  <si>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</si>
  <si>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</si>
  <si>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</si>
  <si>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</si>
  <si>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</si>
  <si>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</si>
  <si>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</si>
  <si>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</si>
  <si>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</si>
  <si>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</si>
  <si>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</si>
  <si>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</si>
  <si>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</si>
  <si>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</si>
  <si>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</si>
  <si>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</si>
  <si>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</si>
  <si>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</si>
  <si>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</si>
  <si>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</si>
  <si>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</si>
  <si>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</si>
  <si>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</si>
  <si>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</si>
  <si>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</si>
  <si>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</si>
  <si>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</si>
  <si>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</si>
  <si>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</si>
  <si>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</si>
  <si>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</si>
  <si>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</si>
  <si>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</si>
  <si>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</si>
  <si>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</si>
  <si>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</si>
  <si>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</si>
  <si>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</si>
  <si>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</si>
  <si>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</si>
  <si>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</si>
  <si>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</si>
  <si>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</si>
  <si>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</si>
  <si>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</si>
  <si>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</si>
  <si>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</si>
  <si>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</si>
  <si>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</si>
  <si>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</si>
  <si>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</si>
  <si>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</si>
  <si>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</si>
  <si>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</si>
  <si>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</si>
  <si>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</si>
  <si>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</si>
  <si>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</si>
  <si>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</si>
  <si>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</si>
  <si>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</si>
  <si>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</si>
  <si>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</si>
  <si>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</si>
  <si>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</si>
  <si>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</si>
  <si>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</si>
  <si>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</si>
  <si>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</si>
  <si>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</si>
  <si>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</si>
  <si>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</si>
  <si>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</si>
  <si>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</si>
  <si>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</si>
  <si>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</si>
  <si>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</si>
  <si>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</si>
  <si>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</si>
  <si>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</si>
  <si>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</si>
  <si>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</si>
  <si>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</si>
  <si>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</si>
  <si>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</si>
  <si>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</si>
  <si>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</si>
  <si>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</si>
  <si>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</si>
  <si>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</si>
  <si>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</si>
  <si>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</si>
  <si>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</si>
  <si>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</si>
  <si>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</si>
  <si>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</si>
  <si>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</si>
  <si>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</si>
  <si>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</si>
  <si>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</si>
  <si>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</si>
  <si>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</si>
  <si>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</si>
  <si>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</si>
  <si>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</si>
  <si>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</si>
  <si>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</si>
  <si>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</si>
  <si>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</si>
  <si>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</si>
  <si>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</si>
  <si>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</si>
  <si>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</si>
  <si>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</si>
  <si>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</si>
  <si>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</si>
  <si>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</si>
  <si>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</si>
  <si>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</si>
  <si>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</si>
  <si>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</si>
  <si>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</si>
  <si>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</si>
  <si>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</si>
  <si>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</si>
  <si>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</si>
  <si>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</si>
  <si>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</si>
  <si>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</si>
  <si>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</si>
  <si>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</si>
  <si>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</si>
  <si>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</si>
  <si>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</si>
  <si>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</si>
  <si>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</si>
  <si>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</si>
  <si>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</si>
  <si>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</si>
  <si>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</si>
  <si>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</si>
  <si>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</si>
  <si>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</si>
  <si>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</si>
  <si>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</si>
  <si>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</si>
  <si>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</si>
  <si>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</si>
  <si>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</si>
  <si>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</si>
  <si>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</si>
  <si>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</si>
  <si>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</si>
  <si>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</si>
  <si>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</si>
  <si>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</si>
  <si>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</si>
  <si>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</si>
  <si>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</si>
  <si>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</si>
  <si>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</si>
  <si>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</si>
  <si>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</si>
  <si>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</si>
  <si>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</si>
  <si>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</si>
  <si>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</si>
  <si>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</si>
  <si>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</si>
  <si>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</si>
  <si>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</si>
  <si>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</si>
  <si>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</si>
  <si>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</si>
  <si>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</si>
  <si>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</si>
  <si>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</si>
  <si>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</si>
  <si>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</si>
  <si>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</si>
  <si>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</si>
  <si>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</si>
  <si>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</si>
  <si>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</si>
  <si>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</si>
  <si>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</si>
  <si>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</si>
  <si>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</si>
  <si>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</si>
  <si>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</si>
  <si>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</si>
  <si>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</si>
  <si>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</si>
  <si>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</si>
  <si>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</si>
  <si>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</si>
  <si>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</si>
  <si>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</si>
  <si>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</si>
  <si>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</si>
  <si>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</si>
  <si>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</si>
  <si>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</si>
  <si>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</si>
  <si>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</si>
  <si>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</si>
  <si>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</si>
  <si>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</si>
  <si>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</si>
  <si>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</si>
  <si>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</si>
  <si>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</si>
  <si>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</si>
  <si>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</si>
  <si>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</si>
  <si>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</si>
  <si>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</si>
  <si>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</si>
  <si>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</si>
  <si>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</si>
  <si>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</si>
  <si>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</si>
  <si>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</si>
  <si>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</si>
  <si>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</si>
  <si>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</si>
  <si>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</si>
  <si>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</si>
  <si>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</si>
  <si>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</si>
  <si>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</si>
  <si>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</si>
  <si>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</si>
  <si>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</si>
  <si>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</si>
  <si>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</si>
  <si>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</si>
  <si>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</si>
  <si>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</si>
  <si>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</si>
  <si>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</si>
  <si>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</si>
  <si>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</si>
  <si>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</si>
  <si>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</si>
  <si>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</si>
  <si>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</si>
  <si>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</si>
  <si>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</si>
  <si>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</si>
  <si>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</si>
  <si>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</si>
  <si>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</si>
  <si>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</si>
  <si>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</si>
  <si>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</si>
  <si>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</si>
  <si>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</si>
  <si>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</si>
  <si>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</si>
  <si>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</si>
  <si>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</si>
  <si>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</si>
  <si>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</si>
  <si>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</si>
  <si>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</si>
  <si>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</si>
  <si>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</si>
  <si>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</si>
  <si>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</si>
  <si>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</si>
  <si>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</si>
  <si>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</si>
  <si>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</si>
  <si>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</si>
  <si>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</si>
  <si>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</si>
  <si>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</si>
  <si>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</si>
  <si>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</si>
  <si>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</si>
  <si>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</si>
  <si>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</si>
  <si>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</si>
  <si>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</si>
  <si>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</si>
  <si>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</si>
  <si>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</si>
  <si>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</si>
  <si>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</si>
  <si>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</si>
  <si>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</si>
  <si>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</si>
  <si>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</si>
  <si>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</si>
  <si>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</si>
  <si>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</si>
  <si>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</si>
  <si>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</si>
  <si>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</si>
  <si>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</si>
  <si>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</si>
  <si>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</si>
  <si>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</si>
  <si>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</si>
  <si>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</si>
  <si>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</si>
  <si>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</si>
  <si>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</si>
  <si>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</si>
  <si>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</si>
  <si>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</si>
  <si>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</si>
  <si>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</si>
  <si>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</si>
  <si>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</si>
  <si>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</si>
  <si>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</si>
  <si>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</si>
  <si>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</si>
  <si>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</si>
  <si>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</si>
  <si>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</si>
  <si>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</si>
  <si>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</si>
  <si>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</si>
  <si>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</si>
  <si>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</si>
  <si>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</si>
  <si>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</si>
  <si>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</si>
  <si>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</si>
  <si>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</si>
  <si>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</si>
  <si>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</si>
  <si>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</si>
  <si>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</si>
  <si>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</si>
  <si>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</si>
  <si>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</si>
  <si>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</si>
  <si>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</si>
  <si>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</si>
  <si>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</si>
  <si>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</si>
  <si>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</si>
  <si>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</si>
  <si>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</si>
  <si>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</si>
  <si>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</si>
  <si>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</si>
  <si>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</si>
  <si>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</si>
  <si>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</si>
  <si>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</si>
  <si>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</si>
  <si>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</si>
  <si>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</si>
  <si>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</si>
  <si>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</si>
  <si>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</si>
  <si>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</si>
  <si>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</si>
  <si>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</si>
  <si>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</si>
  <si>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</si>
  <si>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</si>
  <si>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</si>
  <si>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</si>
  <si>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</si>
  <si>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</si>
  <si>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</si>
  <si>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</si>
  <si>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</si>
  <si>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</si>
  <si>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</si>
  <si>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</si>
  <si>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</si>
  <si>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</si>
  <si>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</si>
  <si>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</si>
  <si>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</si>
  <si>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</si>
  <si>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</si>
  <si>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</si>
  <si>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</si>
  <si>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</si>
  <si>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</si>
  <si>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</si>
  <si>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</si>
  <si>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</si>
  <si>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</si>
  <si>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</si>
  <si>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</si>
  <si>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</si>
  <si>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</si>
  <si>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</si>
  <si>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</si>
  <si>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</si>
  <si>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</si>
  <si>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</si>
  <si>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</si>
  <si>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</si>
  <si>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</si>
  <si>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</si>
  <si>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</si>
  <si>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</si>
  <si>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</si>
  <si>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</si>
  <si>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</si>
  <si>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</si>
  <si>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</si>
  <si>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</si>
  <si>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</si>
  <si>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</si>
  <si>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</si>
  <si>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</si>
  <si>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</si>
  <si>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</si>
  <si>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</si>
  <si>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</si>
  <si>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</si>
  <si>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</si>
  <si>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</si>
  <si>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</si>
  <si>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</si>
  <si>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</si>
  <si>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</si>
  <si>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</si>
  <si>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</si>
  <si>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</si>
  <si>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</si>
  <si>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</si>
  <si>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</si>
  <si>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</si>
  <si>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</si>
  <si>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</si>
  <si>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</si>
  <si>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</si>
  <si>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</si>
  <si>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</si>
  <si>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</si>
  <si>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</si>
  <si>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</si>
  <si>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</si>
  <si>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</si>
  <si>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</si>
  <si>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</si>
  <si>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</si>
  <si>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</si>
  <si>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</si>
  <si>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</si>
  <si>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</si>
  <si>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</si>
  <si>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</si>
  <si>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</si>
  <si>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</si>
  <si>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</si>
  <si>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</si>
  <si>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</si>
  <si>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</si>
  <si>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</si>
  <si>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</si>
  <si>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</si>
  <si>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</si>
  <si>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</si>
  <si>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</si>
  <si>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</si>
  <si>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</si>
  <si>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</si>
  <si>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</si>
  <si>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</si>
  <si>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</si>
  <si>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</si>
  <si>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</si>
  <si>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</si>
  <si>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</si>
  <si>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</si>
  <si>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</si>
  <si>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</si>
  <si>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</si>
  <si>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</si>
  <si>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</si>
  <si>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</si>
  <si>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</si>
  <si>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</si>
  <si>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</si>
  <si>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</si>
  <si>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</si>
  <si>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</si>
  <si>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</si>
  <si>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</si>
  <si>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</si>
  <si>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</si>
  <si>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</si>
  <si>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</si>
  <si>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</si>
  <si>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</si>
  <si>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</si>
  <si>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</si>
  <si>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</si>
  <si>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</si>
  <si>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</si>
  <si>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</si>
  <si>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</si>
  <si>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</si>
  <si>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</si>
  <si>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</si>
  <si>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</si>
  <si>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</si>
  <si>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</si>
  <si>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</si>
  <si>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</si>
  <si>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</si>
  <si>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</si>
  <si>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</si>
  <si>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</si>
  <si>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</si>
  <si>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</si>
  <si>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</si>
  <si>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</si>
  <si>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</si>
  <si>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</si>
  <si>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</si>
  <si>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</si>
  <si>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</si>
  <si>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</si>
  <si>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</si>
  <si>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</si>
  <si>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</si>
  <si>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</si>
  <si>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</si>
  <si>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</si>
  <si>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</si>
  <si>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</si>
  <si>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</si>
  <si>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</si>
  <si>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</si>
  <si>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</si>
  <si>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</si>
  <si>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</si>
  <si>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</si>
  <si>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</si>
  <si>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</si>
  <si>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</si>
  <si>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</si>
  <si>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</si>
  <si>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</si>
  <si>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</si>
  <si>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</si>
  <si>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</si>
  <si>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</si>
  <si>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</si>
  <si>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</si>
  <si>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</si>
  <si>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</si>
  <si>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</si>
  <si>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</si>
  <si>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</si>
  <si>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</si>
  <si>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</si>
  <si>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</si>
  <si>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</si>
  <si>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</si>
  <si>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</si>
  <si>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</si>
  <si>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</si>
  <si>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</si>
  <si>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</si>
  <si>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</si>
  <si>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</si>
  <si>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</si>
  <si>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</si>
  <si>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</si>
  <si>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</si>
  <si>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</si>
  <si>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</si>
  <si>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</si>
  <si>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</si>
  <si>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</si>
  <si>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</si>
  <si>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</si>
  <si>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</si>
  <si>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</si>
  <si>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</si>
  <si>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</si>
  <si>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</si>
  <si>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</si>
  <si>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</si>
  <si>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</si>
  <si>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</si>
  <si>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</si>
  <si>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</si>
  <si>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</si>
  <si>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</si>
  <si>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</si>
  <si>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</si>
  <si>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</si>
  <si>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</si>
  <si>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</si>
  <si>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</si>
  <si>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</si>
  <si>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</si>
  <si>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</si>
  <si>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</si>
  <si>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</si>
  <si>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</si>
  <si>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</si>
  <si>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</si>
  <si>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</si>
  <si>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</si>
  <si>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</si>
  <si>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</si>
  <si>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</si>
  <si>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</si>
  <si>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</si>
  <si>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</si>
  <si>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</si>
  <si>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</si>
  <si>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</si>
  <si>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</si>
  <si>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</si>
  <si>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</si>
  <si>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</si>
  <si>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</si>
  <si>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</si>
  <si>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</si>
  <si>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</si>
  <si>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</si>
  <si>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</si>
  <si>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</si>
  <si>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</si>
  <si>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</si>
  <si>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</si>
  <si>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</si>
  <si>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</si>
  <si>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</si>
  <si>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</si>
  <si>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</si>
  <si>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</si>
  <si>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</si>
  <si>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</si>
  <si>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</si>
  <si>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</si>
  <si>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</si>
  <si>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</si>
  <si>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</si>
  <si>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</si>
  <si>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</si>
  <si>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</si>
  <si>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</si>
  <si>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</si>
  <si>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</si>
  <si>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</si>
  <si>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</si>
  <si>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</si>
  <si>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</si>
  <si>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</si>
  <si>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</si>
  <si>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</si>
  <si>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</si>
  <si>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</si>
  <si>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</si>
  <si>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</si>
  <si>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</si>
  <si>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</si>
  <si>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</si>
  <si>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</si>
  <si>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</si>
  <si>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</si>
  <si>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</si>
  <si>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</si>
  <si>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</si>
  <si>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</si>
  <si>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</si>
  <si>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</si>
  <si>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</si>
  <si>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</si>
  <si>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</si>
  <si>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</si>
  <si>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</si>
  <si>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</si>
  <si>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</si>
  <si>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</si>
  <si>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</si>
  <si>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</si>
  <si>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</si>
  <si>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</si>
  <si>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</si>
  <si>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</si>
  <si>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</si>
  <si>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</si>
  <si>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</si>
  <si>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</si>
  <si>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</si>
  <si>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</si>
  <si>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</si>
  <si>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</si>
  <si>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</si>
  <si>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</si>
  <si>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</si>
  <si>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</si>
  <si>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</si>
  <si>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</si>
  <si>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</si>
  <si>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</si>
  <si>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</si>
  <si>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</si>
  <si>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</si>
  <si>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</si>
  <si>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</si>
  <si>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</si>
  <si>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</si>
  <si>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</si>
  <si>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</si>
  <si>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</si>
  <si>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</si>
  <si>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</si>
  <si>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</si>
  <si>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</si>
  <si>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</si>
  <si>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</si>
  <si>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</si>
  <si>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</si>
  <si>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</si>
  <si>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</si>
  <si>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</si>
  <si>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</si>
  <si>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</si>
  <si>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</si>
  <si>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</si>
  <si>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</si>
  <si>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</si>
  <si>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</si>
  <si>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</si>
  <si>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</si>
  <si>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</si>
  <si>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</si>
  <si>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</si>
  <si>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</si>
  <si>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</si>
  <si>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</si>
  <si>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</si>
  <si>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</si>
  <si>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</si>
  <si>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</si>
  <si>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</si>
  <si>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</si>
  <si>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</si>
  <si>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</si>
  <si>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</si>
  <si>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</si>
  <si>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</si>
  <si>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</si>
  <si>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</si>
  <si>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</si>
  <si>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</si>
  <si>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</si>
  <si>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</si>
  <si>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</si>
  <si>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</si>
  <si>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</si>
  <si>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</si>
  <si>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</si>
  <si>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</si>
  <si>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</si>
  <si>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</si>
  <si>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</si>
  <si>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</si>
  <si>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</si>
  <si>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</si>
  <si>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</si>
  <si>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</si>
  <si>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</si>
  <si>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</si>
  <si>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</si>
  <si>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</si>
  <si>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</si>
  <si>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</si>
  <si>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</si>
  <si>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</si>
  <si>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</si>
  <si>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</si>
  <si>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</si>
  <si>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</si>
  <si>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</si>
  <si>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</si>
  <si>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</si>
  <si>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</si>
  <si>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</si>
  <si>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</si>
  <si>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</si>
  <si>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</si>
  <si>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</si>
  <si>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</si>
  <si>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</si>
  <si>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</si>
  <si>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</si>
  <si>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</si>
  <si>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</si>
  <si>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</si>
  <si>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</si>
  <si>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</si>
  <si>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</si>
  <si>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</si>
  <si>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</si>
  <si>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</si>
  <si>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</si>
  <si>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</si>
  <si>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</si>
  <si>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</si>
  <si>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</si>
  <si>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</si>
  <si>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</si>
  <si>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</si>
  <si>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</si>
  <si>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</si>
  <si>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</si>
  <si>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</si>
  <si>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</si>
  <si>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</si>
  <si>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</si>
  <si>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</si>
  <si>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</si>
  <si>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</si>
  <si>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</si>
  <si>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</si>
  <si>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</si>
  <si>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</si>
  <si>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</si>
  <si>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</si>
  <si>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</si>
  <si>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</si>
  <si>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</si>
  <si>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</si>
  <si>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</si>
  <si>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</si>
  <si>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</si>
  <si>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</si>
  <si>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</si>
  <si>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</si>
  <si>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</si>
  <si>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</si>
  <si>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</si>
  <si>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</si>
  <si>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</si>
  <si>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</si>
  <si>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</si>
  <si>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</si>
  <si>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</si>
  <si>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</si>
  <si>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</si>
  <si>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</si>
  <si>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</si>
  <si>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</si>
  <si>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</si>
  <si>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</si>
  <si>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</si>
  <si>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</si>
  <si>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</si>
  <si>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</si>
  <si>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</si>
  <si>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</si>
  <si>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</si>
  <si>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</si>
  <si>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</si>
  <si>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</si>
  <si>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</si>
  <si>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</si>
  <si>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</si>
  <si>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</si>
  <si>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</si>
  <si>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</si>
  <si>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</si>
  <si>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</si>
  <si>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</si>
  <si>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</si>
  <si>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</si>
  <si>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</si>
  <si>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</si>
  <si>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</si>
  <si>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</si>
  <si>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</si>
  <si>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</si>
  <si>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</si>
  <si>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</si>
  <si>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</si>
  <si>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</si>
  <si>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</si>
  <si>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</si>
  <si>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</si>
  <si>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</si>
  <si>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</si>
  <si>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</si>
  <si>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</si>
  <si>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</si>
  <si>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</si>
  <si>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</si>
  <si>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</si>
  <si>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</si>
  <si>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</si>
  <si>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</si>
  <si>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</si>
  <si>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</si>
  <si>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</si>
  <si>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</si>
  <si>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</si>
  <si>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</si>
  <si>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</si>
  <si>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</si>
  <si>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</si>
  <si>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</si>
  <si>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</si>
  <si>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</si>
  <si>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</si>
  <si>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</si>
  <si>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</si>
  <si>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</si>
  <si>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</si>
  <si>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</si>
  <si>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</si>
  <si>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</si>
  <si>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</si>
  <si>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</si>
  <si>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</si>
  <si>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</si>
  <si>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</si>
  <si>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</si>
  <si>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</si>
  <si>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</si>
  <si>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</si>
  <si>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</si>
  <si>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</si>
  <si>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</si>
  <si>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</si>
  <si>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</si>
  <si>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</si>
  <si>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</si>
  <si>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</si>
  <si>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</si>
  <si>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</si>
  <si>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</si>
  <si>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</si>
  <si>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</si>
  <si>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</si>
  <si>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</si>
  <si>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</si>
  <si>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</si>
  <si>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</si>
  <si>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</si>
  <si>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</si>
  <si>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</si>
  <si>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</si>
  <si>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</si>
  <si>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</si>
  <si>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</si>
  <si>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</si>
  <si>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</si>
  <si>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</si>
  <si>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</si>
  <si>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</si>
  <si>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</si>
  <si>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</si>
  <si>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</si>
  <si>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</si>
  <si>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</si>
  <si>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</si>
  <si>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</si>
  <si>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</si>
  <si>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</si>
  <si>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</si>
  <si>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</si>
  <si>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</si>
  <si>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</si>
  <si>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</si>
  <si>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</si>
  <si>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</si>
  <si>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</si>
  <si>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</si>
  <si>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</si>
  <si>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</si>
  <si>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</si>
  <si>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</si>
  <si>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</si>
  <si>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</si>
  <si>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</si>
  <si>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</si>
  <si>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</si>
  <si>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</si>
  <si>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</si>
  <si>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</si>
  <si>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</si>
  <si>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</si>
  <si>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</si>
  <si>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</si>
  <si>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</si>
  <si>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</si>
  <si>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</si>
  <si>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</si>
  <si>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</si>
  <si>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</si>
  <si>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</si>
  <si>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</si>
  <si>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</si>
  <si>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</si>
  <si>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</si>
  <si>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</si>
  <si>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</si>
  <si>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</si>
  <si>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</si>
  <si>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</si>
  <si>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</si>
  <si>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</si>
  <si>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</si>
  <si>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</si>
  <si>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</si>
  <si>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</si>
  <si>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</si>
  <si>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</si>
  <si>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</si>
  <si>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</si>
  <si>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</si>
  <si>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</si>
  <si>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</si>
  <si>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</si>
  <si>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</si>
  <si>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</si>
  <si>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</si>
  <si>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</si>
  <si>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</si>
  <si>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</si>
  <si>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</si>
  <si>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</si>
  <si>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</si>
  <si>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</si>
  <si>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</si>
  <si>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</si>
  <si>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</si>
  <si>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</si>
  <si>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</si>
  <si>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</si>
  <si>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</si>
  <si>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</si>
  <si>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</si>
  <si>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</si>
  <si>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</si>
  <si>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</si>
  <si>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</si>
  <si>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</si>
  <si>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</si>
  <si>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</si>
  <si>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</si>
  <si>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</si>
  <si>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</si>
  <si>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</si>
  <si>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</si>
  <si>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</si>
  <si>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</si>
  <si>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</si>
  <si>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</si>
  <si>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</si>
  <si>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</si>
  <si>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</si>
  <si>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</si>
  <si>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</si>
  <si>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</si>
  <si>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</si>
  <si>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</si>
  <si>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</si>
  <si>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</si>
  <si>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</si>
  <si>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</si>
  <si>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</si>
  <si>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</si>
  <si>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</si>
  <si>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</si>
  <si>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</si>
  <si>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</si>
  <si>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</si>
  <si>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</si>
  <si>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</si>
  <si>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</si>
  <si>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</si>
  <si>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</si>
  <si>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</si>
  <si>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</si>
  <si>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</si>
  <si>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</si>
  <si>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</si>
  <si>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</si>
  <si>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</si>
  <si>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</si>
  <si>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</si>
  <si>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</si>
  <si>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</si>
  <si>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</si>
  <si>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</si>
  <si>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</si>
  <si>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</si>
  <si>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</si>
  <si>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</si>
  <si>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</si>
  <si>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</si>
  <si>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</si>
  <si>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</si>
  <si>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</si>
  <si>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</si>
  <si>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</si>
  <si>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</si>
  <si>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</si>
  <si>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</si>
  <si>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</si>
  <si>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</si>
  <si>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</si>
  <si>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</si>
  <si>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</si>
  <si>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</si>
  <si>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</si>
  <si>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</si>
  <si>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</si>
  <si>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</si>
  <si>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</si>
  <si>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</si>
  <si>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</si>
  <si>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</si>
  <si>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</si>
  <si>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</si>
  <si>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</si>
  <si>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</si>
  <si>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</si>
  <si>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</si>
  <si>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</si>
  <si>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</si>
  <si>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</si>
  <si>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</si>
  <si>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</si>
  <si>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</si>
  <si>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</si>
  <si>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</si>
  <si>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</si>
  <si>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</si>
  <si>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</si>
  <si>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</si>
  <si>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</si>
  <si>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</si>
  <si>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</si>
  <si>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</si>
  <si>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</si>
  <si>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</si>
  <si>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</si>
  <si>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</si>
  <si>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</si>
  <si>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</si>
  <si>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</si>
  <si>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</si>
  <si>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</si>
  <si>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</si>
  <si>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</si>
  <si>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</si>
  <si>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</si>
  <si>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</si>
  <si>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</si>
  <si>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</si>
  <si>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</si>
  <si>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</si>
  <si>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</si>
  <si>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</si>
  <si>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</si>
  <si>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</si>
  <si>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</si>
  <si>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</si>
  <si>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</si>
  <si>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</si>
  <si>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</si>
  <si>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</si>
  <si>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</si>
  <si>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</si>
  <si>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</si>
  <si>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</si>
  <si>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</si>
  <si>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</si>
  <si>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</si>
  <si>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</si>
  <si>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</si>
  <si>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</si>
  <si>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</si>
  <si>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</si>
  <si>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</si>
  <si>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</si>
  <si>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</si>
  <si>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</si>
  <si>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</si>
  <si>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</si>
  <si>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</si>
  <si>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</si>
  <si>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</si>
  <si>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</si>
  <si>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</si>
  <si>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</si>
  <si>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</si>
  <si>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</si>
  <si>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</si>
  <si>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</si>
  <si>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</si>
  <si>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</si>
  <si>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</si>
  <si>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</si>
  <si>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</si>
  <si>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</si>
  <si>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</si>
  <si>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</si>
  <si>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</si>
  <si>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</si>
  <si>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</si>
  <si>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</si>
  <si>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</si>
  <si>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</si>
  <si>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</si>
  <si>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</si>
  <si>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</si>
  <si>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</si>
  <si>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</si>
  <si>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</si>
  <si>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</si>
  <si>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</si>
  <si>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</si>
  <si>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</si>
  <si>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</si>
  <si>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</si>
  <si>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</si>
  <si>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</si>
  <si>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</si>
  <si>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</si>
  <si>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</si>
  <si>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</si>
  <si>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</si>
  <si>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</si>
  <si>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</si>
  <si>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</si>
  <si>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</si>
  <si>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</si>
  <si>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</si>
  <si>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</si>
  <si>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</si>
  <si>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</si>
  <si>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</si>
  <si>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</si>
  <si>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</si>
  <si>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</si>
  <si>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</si>
  <si>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</si>
  <si>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</si>
  <si>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</si>
  <si>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</si>
  <si>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</si>
  <si>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</si>
  <si>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</si>
  <si>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</si>
  <si>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</si>
  <si>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</si>
  <si>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</si>
  <si>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</si>
  <si>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</si>
  <si>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</si>
  <si>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</si>
  <si>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</si>
  <si>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</si>
  <si>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</si>
  <si>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</si>
  <si>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</si>
  <si>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</si>
  <si>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</si>
  <si>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</si>
  <si>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</si>
  <si>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</si>
  <si>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</si>
  <si>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</si>
  <si>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</si>
  <si>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</si>
  <si>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</si>
  <si>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</si>
  <si>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</si>
  <si>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</si>
  <si>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</si>
  <si>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</si>
  <si>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</si>
  <si>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</si>
  <si>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</si>
  <si>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</si>
  <si>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</si>
  <si>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</si>
  <si>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</si>
  <si>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</si>
  <si>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</si>
  <si>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</si>
  <si>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</si>
  <si>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</si>
  <si>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</si>
  <si>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</si>
  <si>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</si>
  <si>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</si>
  <si>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</si>
  <si>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</si>
  <si>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</si>
  <si>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</si>
  <si>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</si>
  <si>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</si>
  <si>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</si>
  <si>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</si>
  <si>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</si>
  <si>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</si>
  <si>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</si>
  <si>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</si>
  <si>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</si>
  <si>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</si>
  <si>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</si>
  <si>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</si>
  <si>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</si>
  <si>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</si>
  <si>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</si>
  <si>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</si>
  <si>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</si>
  <si>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</si>
  <si>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</si>
  <si>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</si>
  <si>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</si>
  <si>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</si>
  <si>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</si>
  <si>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</si>
  <si>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</si>
  <si>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</si>
  <si>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</si>
  <si>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</si>
  <si>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</si>
  <si>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</si>
  <si>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</si>
  <si>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</si>
  <si>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</si>
  <si>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</si>
  <si>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</si>
  <si>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</si>
  <si>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</si>
  <si>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</si>
  <si>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</si>
  <si>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</si>
  <si>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</si>
  <si>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</si>
  <si>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</si>
  <si>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</si>
  <si>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</si>
  <si>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</si>
  <si>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</si>
  <si>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</si>
  <si>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</si>
  <si>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</si>
  <si>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</si>
  <si>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</si>
  <si>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</si>
  <si>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</si>
  <si>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</si>
  <si>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</si>
  <si>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</si>
  <si>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</si>
  <si>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</si>
  <si>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</si>
  <si>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</si>
  <si>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</si>
  <si>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</si>
  <si>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</si>
  <si>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</si>
  <si>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</si>
  <si>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</si>
  <si>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</si>
  <si>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</si>
  <si>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</si>
  <si>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</si>
  <si>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</si>
  <si>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</si>
  <si>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</si>
  <si>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</si>
  <si>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</si>
  <si>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</si>
  <si>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</si>
  <si>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</si>
  <si>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</si>
  <si>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</si>
  <si>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</si>
  <si>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</si>
  <si>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</si>
  <si>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</si>
  <si>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</si>
  <si>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</si>
  <si>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</si>
  <si>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</si>
  <si>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</si>
  <si>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</si>
  <si>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</si>
  <si>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</si>
  <si>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</si>
  <si>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</si>
  <si>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</si>
  <si>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</si>
  <si>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</si>
  <si>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</si>
  <si>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</si>
  <si>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</si>
  <si>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</si>
  <si>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</si>
  <si>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</si>
  <si>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</si>
  <si>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</si>
  <si>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</si>
  <si>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</si>
  <si>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</si>
  <si>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</si>
  <si>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</si>
  <si>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</si>
  <si>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</si>
  <si>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</si>
  <si>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</si>
  <si>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</si>
  <si>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</si>
  <si>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</si>
  <si>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</si>
  <si>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</si>
  <si>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</si>
  <si>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</si>
  <si>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</si>
  <si>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</si>
  <si>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</si>
  <si>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</si>
  <si>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</si>
  <si>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</si>
  <si>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</si>
  <si>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</si>
  <si>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</si>
  <si>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</si>
  <si>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</si>
  <si>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</si>
  <si>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</si>
  <si>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</si>
  <si>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</si>
  <si>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</si>
  <si>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</si>
  <si>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</si>
  <si>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</si>
  <si>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</si>
  <si>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</si>
  <si>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</si>
  <si>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</si>
  <si>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</si>
  <si>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</si>
  <si>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</si>
  <si>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</si>
  <si>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</si>
  <si>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</si>
  <si>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</si>
  <si>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</si>
  <si>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</si>
  <si>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</si>
  <si>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</si>
  <si>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</si>
  <si>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</si>
  <si>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</si>
  <si>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</si>
  <si>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</si>
  <si>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</si>
  <si>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</si>
  <si>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</si>
  <si>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</si>
  <si>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</si>
  <si>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</si>
  <si>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</si>
  <si>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</si>
  <si>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</si>
  <si>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</si>
  <si>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</si>
  <si>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</si>
  <si>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</si>
  <si>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</si>
  <si>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</si>
  <si>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</si>
  <si>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</si>
  <si>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</si>
  <si>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</si>
  <si>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</si>
  <si>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</si>
  <si>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</si>
  <si>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</si>
  <si>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</si>
  <si>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</si>
  <si>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</si>
  <si>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</si>
  <si>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</si>
  <si>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</si>
  <si>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</si>
  <si>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</si>
  <si>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</si>
  <si>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</si>
  <si>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</si>
  <si>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</si>
  <si>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</si>
  <si>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</si>
  <si>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</si>
  <si>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</si>
  <si>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</si>
  <si>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</si>
  <si>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</si>
  <si>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</si>
  <si>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</si>
  <si>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</si>
  <si>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</si>
  <si>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</si>
  <si>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</si>
  <si>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</si>
  <si>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</si>
  <si>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</si>
  <si>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</si>
  <si>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</si>
  <si>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</si>
  <si>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</si>
  <si>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</si>
  <si>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</si>
  <si>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</si>
  <si>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</si>
  <si>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</si>
  <si>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</si>
  <si>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</si>
  <si>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</si>
  <si>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</si>
  <si>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</si>
  <si>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</si>
  <si>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</si>
  <si>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</si>
  <si>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</si>
  <si>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</si>
  <si>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</si>
  <si>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</si>
  <si>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</si>
  <si>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</si>
  <si>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</si>
  <si>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</si>
  <si>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</si>
  <si>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</si>
  <si>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</si>
  <si>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</si>
  <si>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</si>
  <si>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</si>
  <si>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</si>
  <si>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</si>
  <si>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</si>
  <si>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</si>
  <si>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</si>
  <si>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</si>
  <si>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</si>
  <si>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</si>
  <si>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</si>
  <si>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</si>
  <si>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</si>
  <si>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</si>
  <si>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</si>
  <si>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</si>
  <si>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</si>
  <si>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</si>
  <si>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</si>
  <si>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</si>
  <si>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</si>
  <si>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</si>
  <si>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</si>
  <si>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</si>
  <si>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</si>
  <si>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</si>
  <si>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</si>
  <si>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</si>
  <si>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</si>
  <si>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</si>
  <si>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</si>
  <si>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</si>
  <si>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</si>
  <si>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</si>
  <si>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</si>
  <si>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</si>
  <si>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</si>
  <si>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</si>
  <si>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</si>
  <si>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</si>
  <si>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</si>
  <si>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</si>
  <si>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</si>
  <si>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</si>
  <si>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</si>
  <si>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</si>
  <si>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</si>
  <si>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</si>
  <si>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</si>
  <si>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</si>
  <si>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</si>
  <si>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</si>
  <si>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</si>
  <si>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</si>
  <si>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</si>
  <si>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</si>
  <si>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</si>
  <si>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</si>
  <si>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</si>
  <si>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</si>
  <si>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</si>
  <si>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</si>
  <si>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</si>
  <si>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</si>
  <si>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</si>
  <si>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</si>
  <si>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</si>
  <si>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</si>
  <si>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</si>
  <si>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</si>
  <si>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</si>
  <si>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</si>
  <si>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</si>
  <si>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</si>
  <si>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</si>
  <si>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</si>
  <si>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</si>
  <si>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</si>
  <si>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</si>
  <si>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</si>
  <si>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</si>
  <si>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</si>
  <si>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</si>
  <si>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</si>
  <si>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</si>
  <si>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</si>
  <si>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</si>
  <si>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</si>
  <si>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</si>
  <si>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</si>
  <si>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</si>
  <si>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</si>
  <si>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</si>
  <si>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</si>
  <si>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</si>
  <si>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</si>
  <si>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</si>
  <si>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</si>
  <si>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</si>
  <si>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</si>
  <si>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</si>
  <si>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</si>
  <si>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</si>
  <si>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</si>
  <si>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</si>
  <si>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</si>
  <si>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</si>
  <si>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</si>
  <si>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</si>
  <si>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</si>
  <si>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</si>
  <si>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</si>
  <si>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</si>
  <si>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</si>
  <si>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</si>
  <si>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</si>
  <si>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</si>
  <si>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</si>
  <si>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</si>
  <si>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</si>
  <si>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</si>
  <si>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</si>
  <si>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</si>
  <si>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</si>
  <si>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</si>
  <si>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</si>
  <si>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</si>
  <si>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</si>
  <si>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</si>
  <si>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</si>
  <si>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</si>
  <si>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</si>
  <si>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</si>
  <si>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</si>
  <si>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</si>
  <si>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</si>
  <si>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</si>
  <si>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</si>
  <si>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</si>
  <si>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</si>
  <si>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</si>
  <si>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</si>
  <si>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</si>
  <si>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</si>
  <si>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</si>
  <si>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</si>
  <si>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</si>
  <si>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</si>
  <si>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</si>
  <si>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</si>
  <si>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</si>
  <si>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</si>
  <si>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</si>
  <si>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</si>
  <si>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</si>
  <si>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</si>
  <si>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</si>
  <si>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</si>
  <si>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</si>
  <si>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</si>
  <si>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</si>
  <si>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</si>
  <si>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</si>
  <si>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</si>
  <si>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</si>
  <si>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</si>
  <si>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</si>
  <si>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</si>
  <si>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</si>
  <si>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</si>
  <si>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</si>
  <si>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</si>
  <si>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</si>
  <si>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</si>
  <si>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</si>
  <si>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</si>
  <si>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</si>
  <si>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</si>
  <si>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</si>
  <si>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</si>
  <si>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</si>
  <si>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</si>
  <si>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</si>
  <si>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</si>
  <si>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</si>
  <si>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</si>
  <si>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</si>
  <si>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</si>
  <si>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</si>
  <si>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</si>
  <si>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</si>
  <si>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</si>
  <si>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</si>
  <si>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</si>
  <si>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</si>
  <si>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</si>
  <si>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</si>
  <si>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</si>
  <si>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</si>
  <si>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</si>
  <si>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</si>
  <si>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</si>
  <si>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</si>
  <si>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</si>
  <si>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</si>
  <si>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</si>
  <si>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</si>
  <si>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</si>
  <si>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</si>
  <si>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</si>
  <si>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</si>
  <si>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</si>
  <si>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</si>
  <si>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</si>
  <si>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</si>
  <si>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</si>
  <si>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</si>
  <si>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</si>
  <si>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</si>
  <si>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</si>
  <si>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</si>
  <si>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</si>
  <si>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</si>
  <si>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</si>
  <si>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</si>
  <si>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</si>
  <si>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</si>
  <si>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</si>
  <si>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</si>
  <si>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</si>
  <si>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</si>
  <si>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</si>
  <si>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</si>
  <si>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</si>
  <si>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</si>
  <si>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</si>
  <si>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</si>
  <si>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</si>
  <si>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</si>
  <si>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</si>
  <si>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</si>
  <si>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</si>
  <si>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</si>
  <si>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</si>
  <si>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</si>
  <si>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</si>
  <si>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</si>
  <si>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</si>
  <si>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</si>
  <si>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</si>
  <si>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</si>
  <si>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</si>
  <si>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</si>
  <si>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</si>
  <si>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</si>
  <si>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</si>
  <si>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</si>
  <si>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</si>
  <si>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</si>
  <si>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</si>
  <si>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</si>
  <si>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</si>
  <si>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</si>
  <si>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</si>
  <si>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</si>
  <si>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</si>
  <si>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</si>
  <si>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</si>
  <si>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</si>
  <si>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</si>
  <si>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</si>
  <si>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</si>
  <si>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</si>
  <si>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</si>
  <si>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</si>
  <si>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</si>
  <si>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</si>
  <si>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</si>
  <si>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</si>
  <si>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</si>
  <si>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</si>
  <si>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</si>
  <si>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</si>
  <si>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</si>
  <si>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</si>
  <si>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</si>
  <si>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</si>
  <si>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</si>
  <si>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</si>
  <si>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</si>
  <si>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</si>
  <si>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</si>
  <si>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</si>
  <si>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</si>
  <si>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</si>
  <si>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</si>
  <si>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</si>
  <si>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</si>
  <si>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</si>
  <si>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</si>
  <si>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</si>
  <si>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</si>
  <si>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</si>
  <si>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</si>
  <si>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</si>
  <si>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</si>
  <si>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</si>
  <si>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</si>
  <si>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</si>
  <si>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</si>
  <si>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</si>
  <si>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</si>
  <si>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</si>
  <si>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</si>
  <si>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</si>
  <si>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</si>
  <si>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</si>
  <si>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</si>
  <si>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</si>
  <si>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</si>
  <si>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</si>
  <si>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</si>
  <si>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</si>
  <si>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</si>
  <si>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</si>
  <si>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</si>
  <si>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</si>
  <si>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</si>
  <si>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</si>
  <si>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</si>
  <si>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</si>
  <si>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</si>
  <si>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</si>
  <si>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</si>
  <si>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</si>
  <si>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</si>
  <si>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</si>
  <si>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</si>
  <si>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</si>
  <si>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</si>
  <si>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</si>
  <si>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</si>
  <si>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</si>
  <si>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</si>
  <si>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</si>
  <si>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</si>
  <si>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</si>
  <si>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</si>
  <si>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</si>
  <si>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</si>
  <si>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</si>
  <si>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</si>
  <si>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</si>
  <si>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</si>
  <si>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</si>
  <si>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</si>
  <si>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</si>
  <si>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</si>
  <si>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</si>
  <si>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</si>
  <si>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</si>
  <si>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</si>
  <si>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</si>
  <si>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</si>
  <si>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</si>
  <si>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</si>
  <si>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</si>
  <si>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</si>
  <si>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</si>
  <si>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</si>
  <si>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</si>
  <si>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</si>
  <si>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</si>
  <si>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</si>
  <si>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</si>
  <si>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</si>
  <si>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</si>
  <si>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</si>
  <si>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</si>
  <si>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</si>
  <si>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</si>
  <si>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</si>
  <si>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</si>
  <si>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</si>
  <si>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</si>
  <si>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</si>
  <si>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</si>
  <si>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</si>
  <si>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</si>
  <si>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</si>
  <si>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</si>
  <si>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</si>
  <si>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</si>
  <si>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</si>
  <si>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</si>
  <si>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</si>
  <si>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</si>
  <si>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</si>
  <si>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</si>
  <si>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</si>
  <si>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</si>
  <si>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</si>
  <si>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</si>
  <si>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</si>
  <si>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</si>
  <si>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</si>
  <si>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</si>
  <si>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</si>
  <si>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</si>
  <si>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</si>
  <si>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</si>
  <si>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</si>
  <si>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</si>
  <si>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</si>
  <si>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</si>
  <si>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</si>
  <si>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</si>
  <si>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</si>
  <si>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</si>
  <si>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</si>
  <si>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</si>
  <si>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</si>
  <si>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</si>
  <si>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</si>
  <si>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</si>
  <si>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</si>
  <si>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</si>
  <si>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</si>
  <si>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</si>
  <si>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</si>
  <si>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</si>
  <si>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</si>
  <si>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</si>
  <si>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</si>
  <si>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</si>
  <si>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</si>
  <si>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</si>
  <si>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</si>
  <si>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</si>
  <si>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</si>
  <si>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</si>
  <si>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</si>
  <si>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</si>
  <si>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</si>
  <si>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</si>
  <si>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</si>
  <si>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</si>
  <si>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</si>
  <si>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</si>
  <si>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</si>
  <si>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</si>
  <si>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</si>
  <si>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</si>
  <si>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</si>
  <si>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</si>
  <si>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</si>
  <si>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</si>
  <si>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</si>
  <si>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</si>
  <si>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</si>
  <si>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</si>
  <si>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</si>
  <si>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</si>
  <si>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</si>
  <si>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</si>
  <si>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</si>
  <si>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</si>
  <si>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</si>
  <si>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</si>
  <si>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</si>
  <si>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</si>
  <si>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</si>
  <si>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</si>
  <si>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</si>
  <si>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</si>
  <si>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</si>
  <si>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</si>
  <si>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</si>
  <si>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</si>
  <si>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</si>
  <si>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</si>
  <si>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</si>
  <si>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</si>
  <si>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</si>
  <si>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</si>
  <si>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</si>
  <si>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</si>
  <si>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</si>
  <si>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</si>
  <si>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</si>
  <si>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</si>
  <si>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</si>
  <si>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</si>
  <si>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</si>
  <si>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</si>
  <si>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</si>
  <si>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</si>
  <si>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</si>
  <si>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</si>
  <si>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</si>
  <si>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</si>
  <si>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</si>
  <si>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</si>
  <si>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</si>
  <si>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</si>
  <si>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</si>
  <si>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</si>
  <si>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</si>
  <si>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</si>
  <si>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</si>
  <si>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</si>
  <si>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</si>
  <si>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</si>
  <si>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</si>
  <si>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</si>
  <si>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</si>
  <si>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</si>
  <si>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</si>
  <si>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</si>
  <si>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</si>
  <si>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</si>
  <si>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</si>
  <si>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</si>
  <si>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</si>
  <si>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</si>
  <si>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</si>
  <si>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</si>
  <si>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</si>
  <si>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</si>
  <si>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</si>
  <si>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</si>
  <si>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</si>
  <si>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</si>
  <si>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</si>
  <si>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</si>
  <si>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</si>
  <si>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</si>
  <si>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</si>
  <si>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</si>
  <si>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</si>
  <si>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</si>
  <si>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</si>
  <si>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</si>
  <si>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</si>
  <si>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</si>
  <si>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</si>
  <si>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</si>
  <si>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</si>
  <si>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</si>
  <si>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</si>
  <si>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</si>
  <si>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</si>
  <si>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</si>
  <si>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</si>
  <si>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</si>
  <si>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</si>
  <si>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</si>
  <si>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</si>
  <si>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</si>
  <si>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</si>
  <si>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</si>
  <si>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</si>
  <si>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</si>
  <si>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</si>
  <si>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</si>
  <si>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</si>
  <si>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</si>
  <si>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</si>
  <si>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</si>
  <si>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</si>
  <si>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</si>
  <si>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</si>
  <si>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</si>
  <si>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</si>
  <si>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</si>
  <si>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</si>
  <si>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</si>
  <si>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</si>
  <si>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</si>
  <si>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</si>
  <si>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</si>
  <si>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</si>
  <si>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</si>
  <si>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</si>
  <si>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</si>
  <si>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</si>
  <si>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</si>
  <si>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</si>
  <si>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</si>
  <si>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</si>
  <si>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</si>
  <si>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</si>
  <si>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</si>
  <si>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</si>
  <si>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</si>
  <si>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</si>
  <si>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</si>
  <si>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</si>
  <si>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</si>
  <si>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</si>
  <si>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</si>
  <si>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</si>
  <si>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</si>
  <si>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</si>
  <si>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</si>
  <si>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</si>
  <si>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</si>
  <si>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</si>
  <si>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</si>
  <si>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</si>
  <si>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</si>
  <si>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</si>
  <si>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</si>
  <si>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</si>
  <si>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</si>
  <si>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</si>
  <si>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</si>
  <si>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</si>
  <si>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</si>
  <si>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</si>
  <si>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</si>
  <si>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</si>
  <si>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</si>
  <si>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</si>
  <si>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</si>
  <si>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</si>
  <si>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</si>
  <si>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</si>
  <si>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</si>
  <si>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</si>
  <si>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</si>
  <si>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</si>
  <si>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</si>
  <si>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</si>
  <si>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</si>
  <si>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</si>
  <si>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</si>
  <si>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</si>
  <si>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</si>
  <si>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</si>
  <si>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</si>
  <si>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</si>
  <si>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</si>
  <si>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</si>
  <si>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</si>
  <si>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</si>
  <si>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</si>
  <si>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</si>
  <si>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</si>
  <si>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</si>
  <si>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</si>
  <si>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</si>
  <si>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</si>
  <si>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</si>
  <si>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</si>
  <si>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</si>
  <si>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</si>
  <si>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</si>
  <si>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</si>
  <si>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</si>
  <si>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</si>
  <si>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</si>
  <si>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</si>
  <si>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</si>
  <si>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</si>
  <si>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</si>
  <si>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</si>
  <si>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</si>
  <si>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</si>
  <si>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</si>
  <si>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</si>
  <si>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</si>
  <si>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</si>
  <si>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</si>
  <si>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</si>
  <si>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</si>
  <si>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</si>
  <si>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</si>
  <si>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</si>
  <si>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</si>
  <si>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</si>
  <si>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</si>
  <si>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</si>
  <si>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</si>
  <si>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</si>
  <si>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</si>
  <si>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</si>
  <si>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</si>
  <si>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</si>
  <si>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</si>
  <si>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</si>
  <si>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</si>
  <si>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</si>
  <si>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</si>
  <si>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</si>
  <si>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</si>
  <si>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</si>
  <si>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</si>
  <si>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</si>
  <si>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</si>
  <si>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</si>
  <si>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</si>
  <si>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</si>
  <si>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</si>
  <si>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</si>
  <si>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</si>
  <si>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</si>
  <si>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</si>
  <si>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</si>
  <si>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</si>
  <si>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</si>
  <si>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</si>
  <si>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</si>
  <si>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</si>
  <si>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</si>
  <si>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</si>
  <si>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</si>
  <si>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</si>
  <si>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</si>
  <si>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</si>
  <si>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</si>
  <si>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</si>
  <si>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</si>
  <si>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</si>
  <si>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</si>
  <si>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</si>
  <si>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</si>
  <si>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</si>
  <si>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</si>
  <si>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</si>
  <si>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</si>
  <si>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</si>
  <si>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</si>
  <si>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</si>
  <si>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</si>
  <si>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</si>
  <si>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</si>
  <si>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</si>
  <si>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</si>
  <si>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</si>
  <si>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</si>
  <si>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</si>
  <si>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</si>
  <si>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</si>
  <si>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</si>
  <si>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</si>
  <si>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</si>
  <si>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</si>
  <si>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</si>
  <si>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</si>
  <si>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</si>
  <si>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</si>
  <si>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</si>
  <si>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</si>
  <si>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</si>
  <si>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</si>
  <si>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</si>
  <si>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</si>
  <si>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</si>
  <si>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</si>
  <si>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</si>
  <si>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</si>
  <si>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</si>
  <si>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</si>
  <si>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</si>
  <si>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</si>
  <si>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</si>
  <si>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</si>
  <si>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</si>
  <si>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</si>
  <si>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</si>
  <si>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</si>
  <si>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</si>
  <si>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</si>
  <si>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</si>
  <si>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</si>
  <si>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</si>
  <si>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</si>
  <si>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</si>
  <si>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</si>
  <si>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</si>
  <si>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</si>
  <si>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</si>
  <si>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</si>
  <si>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</si>
  <si>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</si>
  <si>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</si>
  <si>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</si>
  <si>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</si>
  <si>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</si>
  <si>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</si>
  <si>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</si>
  <si>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</si>
  <si>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</si>
  <si>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</si>
  <si>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</si>
  <si>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</si>
  <si>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</si>
  <si>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</si>
  <si>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</si>
  <si>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</si>
  <si>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</si>
  <si>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</si>
  <si>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</si>
  <si>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</si>
  <si>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</si>
  <si>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</si>
  <si>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</si>
  <si>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</si>
  <si>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</si>
  <si>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</si>
  <si>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</si>
  <si>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</si>
  <si>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</si>
  <si>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</si>
  <si>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</si>
  <si>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</si>
  <si>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</si>
  <si>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</si>
  <si>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</si>
  <si>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</si>
  <si>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</si>
  <si>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</si>
  <si>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</si>
  <si>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</si>
  <si>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</si>
  <si>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</si>
  <si>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</si>
  <si>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</si>
  <si>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</si>
  <si>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</si>
  <si>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</si>
  <si>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</si>
  <si>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</si>
  <si>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</si>
  <si>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</si>
  <si>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</si>
  <si>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</si>
  <si>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</si>
  <si>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</si>
  <si>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</si>
  <si>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</si>
  <si>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</si>
  <si>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</si>
  <si>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</si>
  <si>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</si>
  <si>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</si>
  <si>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</si>
  <si>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</si>
  <si>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</si>
  <si>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</si>
  <si>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</si>
  <si>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</si>
  <si>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</si>
  <si>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</si>
  <si>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</si>
  <si>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</si>
  <si>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</si>
  <si>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</si>
  <si>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</si>
  <si>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</si>
  <si>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</si>
  <si>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</si>
  <si>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</si>
  <si>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</si>
  <si>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</si>
  <si>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</si>
  <si>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</si>
  <si>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</si>
  <si>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</si>
  <si>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</si>
  <si>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</si>
  <si>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</si>
  <si>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</si>
  <si>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</si>
  <si>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</si>
  <si>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</si>
  <si>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</si>
  <si>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</si>
  <si>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</si>
  <si>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</si>
  <si>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</si>
  <si>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</si>
  <si>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</si>
  <si>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</si>
  <si>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</si>
  <si>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</si>
  <si>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</si>
  <si>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</si>
  <si>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</si>
  <si>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</si>
  <si>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</si>
  <si>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</si>
  <si>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</si>
  <si>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</si>
  <si>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</si>
  <si>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</si>
  <si>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</si>
  <si>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</si>
  <si>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</si>
  <si>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</si>
  <si>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</si>
  <si>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</si>
  <si>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</si>
  <si>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</si>
  <si>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</si>
  <si>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</si>
  <si>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</si>
  <si>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</si>
  <si>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</si>
  <si>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</si>
  <si>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</si>
  <si>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</si>
  <si>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</si>
  <si>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</si>
  <si>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</si>
  <si>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</si>
  <si>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</si>
  <si>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</si>
  <si>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</si>
  <si>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</si>
  <si>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</si>
  <si>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</si>
  <si>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</si>
  <si>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</si>
  <si>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</si>
  <si>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</si>
  <si>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</si>
  <si>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</si>
  <si>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</si>
  <si>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</si>
  <si>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</si>
  <si>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</si>
  <si>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</si>
  <si>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</si>
  <si>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</si>
  <si>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</si>
  <si>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</si>
  <si>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</si>
  <si>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</si>
  <si>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</si>
  <si>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</si>
  <si>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</si>
  <si>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</si>
  <si>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</si>
  <si>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</si>
  <si>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</si>
  <si>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</si>
  <si>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</si>
  <si>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</si>
  <si>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</si>
  <si>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</si>
  <si>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</si>
  <si>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</si>
  <si>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</si>
  <si>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</si>
  <si>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</si>
  <si>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</si>
  <si>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</si>
  <si>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</si>
  <si>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</si>
  <si>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</si>
  <si>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</si>
  <si>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</si>
  <si>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</si>
  <si>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</si>
  <si>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</si>
  <si>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</si>
  <si>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</si>
  <si>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</si>
  <si>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</si>
  <si>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</si>
  <si>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</si>
  <si>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</si>
  <si>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</si>
  <si>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</si>
  <si>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</si>
  <si>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</si>
  <si>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</si>
  <si>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</si>
  <si>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</si>
  <si>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</si>
  <si>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</si>
  <si>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</si>
  <si>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</si>
  <si>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</si>
  <si>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</si>
  <si>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</si>
  <si>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</si>
  <si>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</si>
  <si>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</si>
  <si>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</si>
  <si>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</si>
  <si>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</si>
  <si>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</si>
  <si>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</si>
  <si>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</si>
  <si>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</si>
  <si>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</si>
  <si>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</si>
  <si>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</si>
  <si>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</si>
  <si>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</si>
  <si>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</si>
  <si>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</si>
  <si>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</si>
  <si>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</si>
  <si>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</si>
  <si>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</si>
  <si>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</si>
  <si>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</si>
  <si>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</si>
  <si>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</si>
  <si>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</si>
  <si>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</si>
  <si>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</si>
  <si>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</si>
  <si>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</si>
  <si>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</si>
  <si>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</si>
  <si>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</si>
  <si>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</si>
  <si>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</si>
  <si>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</si>
  <si>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</si>
  <si>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</si>
  <si>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</si>
  <si>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</si>
  <si>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</si>
  <si>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</si>
  <si>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</si>
  <si>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</si>
  <si>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</si>
  <si>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</si>
  <si>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</si>
  <si>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</si>
  <si>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</si>
  <si>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</si>
  <si>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</si>
  <si>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</si>
  <si>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</si>
  <si>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</si>
  <si>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</si>
  <si>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</si>
  <si>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</si>
  <si>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</si>
  <si>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</si>
  <si>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</si>
  <si>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</si>
  <si>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</si>
  <si>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</si>
  <si>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</si>
  <si>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</si>
  <si>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</si>
  <si>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</si>
  <si>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</si>
  <si>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</si>
  <si>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</si>
  <si>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</si>
  <si>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</si>
  <si>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</si>
  <si>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</si>
  <si>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</si>
  <si>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</si>
  <si>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</si>
  <si>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</si>
  <si>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</si>
  <si>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</si>
  <si>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</si>
  <si>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</si>
  <si>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</si>
  <si>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</si>
  <si>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</si>
  <si>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</si>
  <si>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</si>
  <si>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</si>
  <si>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</si>
  <si>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</si>
  <si>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</si>
  <si>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</si>
  <si>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</si>
  <si>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</si>
  <si>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</si>
  <si>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</si>
  <si>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</si>
  <si>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</si>
  <si>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</si>
  <si>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</si>
  <si>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</si>
  <si>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</si>
  <si>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</si>
  <si>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</si>
  <si>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</si>
  <si>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</si>
  <si>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</si>
  <si>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</si>
  <si>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</si>
  <si>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</si>
  <si>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</si>
  <si>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</si>
  <si>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</si>
  <si>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</si>
  <si>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</si>
  <si>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</si>
  <si>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</si>
  <si>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</si>
  <si>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</si>
  <si>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</si>
  <si>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</si>
  <si>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</si>
  <si>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</si>
  <si>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</si>
  <si>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</si>
  <si>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</si>
  <si>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</si>
  <si>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</si>
  <si>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</si>
  <si>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</si>
  <si>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</si>
  <si>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</si>
  <si>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</si>
  <si>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</si>
  <si>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</si>
  <si>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</si>
  <si>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</si>
  <si>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</si>
  <si>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</si>
  <si>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</si>
  <si>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</si>
  <si>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</si>
  <si>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</si>
  <si>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</si>
  <si>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</si>
  <si>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</si>
  <si>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</si>
  <si>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</si>
  <si>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</si>
  <si>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</si>
  <si>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</si>
  <si>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</si>
  <si>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</si>
  <si>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</si>
  <si>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</si>
  <si>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</si>
  <si>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</si>
  <si>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</si>
  <si>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</si>
  <si>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</si>
  <si>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</si>
  <si>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</si>
  <si>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</si>
  <si>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</si>
  <si>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</si>
  <si>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</si>
  <si>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</si>
  <si>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</si>
  <si>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</si>
  <si>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</si>
  <si>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</si>
  <si>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</si>
  <si>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</si>
  <si>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</si>
  <si>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</si>
  <si>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</si>
  <si>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</si>
  <si>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</si>
  <si>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</si>
  <si>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</si>
  <si>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</si>
  <si>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</si>
  <si>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</si>
  <si>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</si>
  <si>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</si>
  <si>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</si>
  <si>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</si>
  <si>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</si>
  <si>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</si>
  <si>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</si>
  <si>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</si>
  <si>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</si>
  <si>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</si>
  <si>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</si>
  <si>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</si>
  <si>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</si>
  <si>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</si>
  <si>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</si>
  <si>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</si>
  <si>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</si>
  <si>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</si>
  <si>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</si>
  <si>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</si>
  <si>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</si>
  <si>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</si>
  <si>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</si>
  <si>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</si>
  <si>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</si>
  <si>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</si>
  <si>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</si>
  <si>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</si>
  <si>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</si>
  <si>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</si>
  <si>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</si>
  <si>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</si>
  <si>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</si>
  <si>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</si>
  <si>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</si>
  <si>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</si>
  <si>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</si>
  <si>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</si>
  <si>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</si>
  <si>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</si>
  <si>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</si>
  <si>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</si>
  <si>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</si>
  <si>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</si>
  <si>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</si>
  <si>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</si>
  <si>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</si>
  <si>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</si>
  <si>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</si>
  <si>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</si>
  <si>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</si>
  <si>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</si>
  <si>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</si>
  <si>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</si>
  <si>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</si>
  <si>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</si>
  <si>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</si>
  <si>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</si>
  <si>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</si>
  <si>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</si>
  <si>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</si>
  <si>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</si>
  <si>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</si>
  <si>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</si>
  <si>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</si>
  <si>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</si>
  <si>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</si>
  <si>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</si>
  <si>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</si>
  <si>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</si>
  <si>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</si>
  <si>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</si>
  <si>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</si>
  <si>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</si>
  <si>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</si>
  <si>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</si>
  <si>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</si>
  <si>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</si>
  <si>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</si>
  <si>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</si>
  <si>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</si>
  <si>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</si>
  <si>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</si>
  <si>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</si>
  <si>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</si>
  <si>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</si>
  <si>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</si>
  <si>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</si>
  <si>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</si>
  <si>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</si>
  <si>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</si>
  <si>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</si>
  <si>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</si>
  <si>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</si>
  <si>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</si>
  <si>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</si>
  <si>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</si>
  <si>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</si>
  <si>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</si>
  <si>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</si>
  <si>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</si>
  <si>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</si>
  <si>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</si>
  <si>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</si>
  <si>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</si>
  <si>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</si>
  <si>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</si>
  <si>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</si>
  <si>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</si>
  <si>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</si>
  <si>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</si>
  <si>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</si>
  <si>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</si>
  <si>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</si>
  <si>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</si>
  <si>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</si>
  <si>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</si>
  <si>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</si>
  <si>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</si>
  <si>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</si>
  <si>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</si>
  <si>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</si>
  <si>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</si>
  <si>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</si>
  <si>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</si>
  <si>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</si>
  <si>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</si>
  <si>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</si>
  <si>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</si>
  <si>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</si>
  <si>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</si>
  <si>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</si>
  <si>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</si>
  <si>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</si>
  <si>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</si>
  <si>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</si>
  <si>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</si>
  <si>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</si>
  <si>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</si>
  <si>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</si>
  <si>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</si>
  <si>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</si>
  <si>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</si>
  <si>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</si>
  <si>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</si>
  <si>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</si>
  <si>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</si>
  <si>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</si>
  <si>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</si>
  <si>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</si>
  <si>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</si>
  <si>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</si>
  <si>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</si>
  <si>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</si>
  <si>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</si>
  <si>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</si>
  <si>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</si>
  <si>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</si>
  <si>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</si>
  <si>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</si>
  <si>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</si>
  <si>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</si>
  <si>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</si>
  <si>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</si>
  <si>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</si>
  <si>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</si>
  <si>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</si>
  <si>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</si>
  <si>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</si>
  <si>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</si>
  <si>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</si>
  <si>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</si>
  <si>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</si>
  <si>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</si>
  <si>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</si>
  <si>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</si>
  <si>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</si>
  <si>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</si>
  <si>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</si>
  <si>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</si>
  <si>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</si>
  <si>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</si>
  <si>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</si>
  <si>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</si>
  <si>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</si>
  <si>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r>
      <rPr>
        <sz val="11"/>
        <rFont val="宋体"/>
        <family val="3"/>
        <charset val="134"/>
      </rPr>
      <t>乐汇超市、</t>
    </r>
    <r>
      <rPr>
        <sz val="11"/>
        <rFont val="Arial"/>
        <family val="2"/>
      </rPr>
      <t>123</t>
    </r>
    <r>
      <rPr>
        <sz val="11"/>
        <rFont val="宋体"/>
        <family val="3"/>
        <charset val="134"/>
      </rPr>
      <t>五金百货，周边商业氛围一般，人流量一般，商业繁华度一般</t>
    </r>
    <phoneticPr fontId="31" type="noConversion"/>
  </si>
  <si>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</si>
  <si>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</si>
  <si>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</si>
  <si>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</si>
  <si>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</si>
  <si>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</si>
  <si>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</si>
  <si>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</si>
  <si>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</si>
  <si>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</si>
  <si>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</si>
  <si>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</si>
  <si>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</si>
  <si>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</si>
  <si>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</si>
  <si>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</si>
  <si>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</si>
  <si>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</si>
  <si>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</si>
  <si>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</si>
  <si>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</si>
  <si>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</si>
  <si>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</si>
  <si>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</si>
  <si>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</si>
  <si>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</si>
  <si>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</si>
  <si>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</si>
  <si>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</si>
  <si>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</si>
  <si>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</si>
  <si>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</si>
  <si>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</si>
  <si>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</si>
  <si>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</si>
  <si>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</si>
  <si>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估价对象周边有麒麟商业中心、荔隆广场，周边商业氛围一般，人流量一般，商业繁华度一般</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</si>
  <si>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</si>
  <si>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</si>
  <si>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</si>
  <si>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</si>
  <si>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</si>
  <si>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</si>
  <si>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</si>
  <si>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</si>
  <si>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</si>
  <si>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</si>
  <si>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t>周边有佛罗伦萨小镇，周边商业氛围一般，人流量一般，商业繁华度一般</t>
    <phoneticPr fontId="3" type="noConversion"/>
  </si>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</sst>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11</xdr:col>
      <xdr:colOff>0</xdr:colOff>
      <xdr:row>34</xdr:row>
      <xdr:rowOff>0</xdr:rowOff>
    </xdr:from>
    <xdr:to>
      <xdr:col>20</xdr:col>
      <xdr:colOff>227800</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0496550" y="5657850"/>
          <a:ext cx="6400000" cy="5457143"/>
        </a:xfrm>
        <a:prstGeom prst="rect">
          <a:avLst/>
        </a:prstGeom>
      </xdr:spPr>
    </xdr:pic>
    <xdr:clientData/>
  </xdr:twoCellAnchor>
  <xdr:twoCellAnchor editAs="oneCell">
    <xdr:from>
      <xdr:col>7</xdr:col>
      <xdr:colOff>0</xdr:colOff>
      <xdr:row>39</xdr:row>
      <xdr:rowOff>0</xdr:rowOff>
    </xdr:from>
    <xdr:to>
      <xdr:col>10</xdr:col>
      <xdr:colOff>199681</xdr:colOff>
      <xdr:row>50</xdr:row>
      <xdr:rowOff>66431</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8658225" y="9191625"/>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117820</v>
      </c>
    </row>
    <row r="21" spans="1:2" s="1592" customFormat="1">
      <c r="A21" s="1590" t="s">
        <v>1236</v>
      </c>
      <c r="B21" s="1591">
        <f ca="1">'预评函-2'!D7</f>
        <v>10075</v>
      </c>
    </row>
    <row r="22" spans="1:2" s="1592" customFormat="1">
      <c r="A22" s="1590" t="s">
        <v>1237</v>
      </c>
      <c r="B22" s="1591" t="str">
        <f ca="1">'预评函-2'!D6</f>
        <v>壹拾壹亿柒仟捌佰贰拾万元整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117820</v>
      </c>
    </row>
    <row r="31" spans="1:2" s="1592" customFormat="1">
      <c r="A31" s="1590" t="s">
        <v>1275</v>
      </c>
      <c r="B31" s="1591">
        <f ca="1">'预评函-2'!D15</f>
        <v>10075</v>
      </c>
    </row>
    <row r="32" spans="1:2" s="1592" customFormat="1">
      <c r="A32" s="1590" t="s">
        <v>1242</v>
      </c>
      <c r="B32" s="1591" t="str">
        <f ca="1">'预评函-2'!D14</f>
        <v>壹拾壹亿柒仟捌佰贰拾万元整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56907</v>
      </c>
    </row>
    <row r="48" spans="1:2" s="1592" customFormat="1">
      <c r="A48" s="1590" t="s">
        <v>1248</v>
      </c>
      <c r="B48" s="1591">
        <f ca="1">'预评函-3'!E4</f>
        <v>4866</v>
      </c>
    </row>
    <row r="49" spans="1:2" s="1592" customFormat="1">
      <c r="A49" s="1590" t="s">
        <v>1249</v>
      </c>
      <c r="B49" s="1591" t="str">
        <f ca="1">'预评函-3'!D5</f>
        <v>伍亿陆仟玖佰零柒万元整</v>
      </c>
    </row>
    <row r="50" spans="1:2" s="1592" customFormat="1">
      <c r="A50" s="1590" t="s">
        <v>1273</v>
      </c>
      <c r="B50" s="1591" t="str">
        <f>'预评函-3'!F2</f>
        <v>在建建筑物价值</v>
      </c>
    </row>
    <row r="51" spans="1:2" s="1592" customFormat="1">
      <c r="A51" s="1590" t="s">
        <v>1250</v>
      </c>
      <c r="B51" s="1591">
        <f ca="1">'预评函-3'!F4</f>
        <v>60913</v>
      </c>
    </row>
    <row r="52" spans="1:2" s="1592" customFormat="1">
      <c r="A52" s="1590" t="s">
        <v>1251</v>
      </c>
      <c r="B52" s="1591">
        <f ca="1">'预评函-3'!G4</f>
        <v>5209</v>
      </c>
    </row>
    <row r="53" spans="1:2" s="1592" customFormat="1">
      <c r="A53" s="1590" t="s">
        <v>1279</v>
      </c>
      <c r="B53" s="1591" t="str">
        <f ca="1">'预评函-3'!F5</f>
        <v>陆亿零玖佰壹拾叁万元整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3121</v>
      </c>
      <c r="C17" s="2014"/>
    </row>
    <row r="18" spans="1:3">
      <c r="A18" s="2013" t="s">
        <v>1769</v>
      </c>
      <c r="B18" s="2013" t="s">
        <v>3124</v>
      </c>
      <c r="C18" s="2014"/>
    </row>
    <row r="19" spans="1:3">
      <c r="A19" s="2013" t="s">
        <v>1770</v>
      </c>
      <c r="B19" s="2013" t="s">
        <v>3123</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8"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1" t="s">
        <v>864</v>
      </c>
      <c r="C54" s="2018" t="s">
        <v>1282</v>
      </c>
    </row>
    <row r="55" spans="1:4">
      <c r="A55" s="3028"/>
      <c r="B55" s="2021" t="s">
        <v>865</v>
      </c>
      <c r="C55" s="2018" t="s">
        <v>1283</v>
      </c>
    </row>
    <row r="56" spans="1:4">
      <c r="A56" s="3028"/>
      <c r="B56" s="2021" t="s">
        <v>866</v>
      </c>
      <c r="C56" s="2018" t="s">
        <v>1287</v>
      </c>
    </row>
    <row r="57" spans="1:4">
      <c r="A57" s="3028"/>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29" t="str">
        <f>IF(B10="北京市","北京市",C10)&amp;F10&amp;IF(结果表!G1="在建","出让国有建设用地使用权及在建建筑物",IF(结果表!G1="土地","出让国有建设用地使用权",))&amp;B9&amp;"预评估"</f>
        <v>预评估</v>
      </c>
      <c r="C1" s="3030"/>
      <c r="D1" s="3030"/>
      <c r="E1" s="3030"/>
      <c r="F1" s="3030"/>
      <c r="G1" s="3030"/>
      <c r="H1" s="3030"/>
      <c r="I1" s="303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3113</v>
      </c>
      <c r="C4" s="1037">
        <f ca="1">SUMIF(注册房地产估价师,B4,估价师及机构信息!B3:B24)</f>
        <v>1120140022</v>
      </c>
      <c r="D4" s="2038" t="s">
        <v>3114</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32"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33"/>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39"/>
      <c r="C16" s="3040"/>
      <c r="D16" s="3041"/>
      <c r="E16" s="2085" t="s">
        <v>1804</v>
      </c>
      <c r="F16" s="3042"/>
      <c r="G16" s="3043"/>
      <c r="H16" s="3043"/>
      <c r="I16" s="3044"/>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45" t="s">
        <v>1808</v>
      </c>
      <c r="F17" s="3046"/>
      <c r="G17" s="3046"/>
      <c r="H17" s="3046"/>
      <c r="I17" s="3047"/>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48" t="s">
        <v>1811</v>
      </c>
      <c r="F18" s="3049"/>
      <c r="G18" s="3049"/>
      <c r="H18" s="3049"/>
      <c r="I18" s="3050"/>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35" t="s">
        <v>1816</v>
      </c>
      <c r="C20" s="3036"/>
      <c r="D20" s="3037" t="s">
        <v>1817</v>
      </c>
      <c r="E20" s="3038"/>
      <c r="F20" s="2097" t="s">
        <v>1818</v>
      </c>
      <c r="G20" s="2041"/>
      <c r="H20" s="2041"/>
      <c r="I20" s="2041"/>
      <c r="J20" s="2041"/>
      <c r="K20" s="3034"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2"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2"/>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2"/>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3"/>
      <c r="B30" s="2034" t="s">
        <v>1835</v>
      </c>
      <c r="C30" s="3054"/>
      <c r="D30" s="305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6"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51" t="s">
        <v>1845</v>
      </c>
      <c r="T34" s="2134" t="str">
        <f>NUMBERSTRING(7-K34,1)&amp;"通"</f>
        <v>七通</v>
      </c>
      <c r="U34" s="2028"/>
      <c r="V34" s="2028"/>
    </row>
    <row r="35" spans="1:22" ht="18" customHeight="1">
      <c r="A35" s="2135"/>
      <c r="B35" s="3058" t="s">
        <v>1846</v>
      </c>
      <c r="C35" s="3058"/>
      <c r="D35" s="3058"/>
      <c r="E35" s="3058"/>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1"/>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3">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70" t="s">
        <v>1942</v>
      </c>
      <c r="B2" s="3070"/>
      <c r="C2" s="3070"/>
      <c r="D2" s="967" t="s">
        <v>1918</v>
      </c>
      <c r="E2" s="2227" t="s">
        <v>1919</v>
      </c>
      <c r="F2" s="1391"/>
      <c r="G2" s="2228"/>
      <c r="H2" s="2229"/>
      <c r="I2" s="2230" t="s">
        <v>1943</v>
      </c>
      <c r="J2" s="1391"/>
      <c r="K2" s="1391"/>
      <c r="L2" s="1391"/>
      <c r="M2" s="1391"/>
      <c r="N2" s="1426"/>
      <c r="O2" s="1391"/>
      <c r="P2" s="1391"/>
    </row>
    <row r="3" spans="1:16" ht="15.75" thickBot="1">
      <c r="A3" s="3071" t="s">
        <v>1916</v>
      </c>
      <c r="B3" s="3071"/>
      <c r="C3" s="3071"/>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2"/>
      <c r="B4" s="3073"/>
      <c r="C4" s="3074"/>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5" t="s">
        <v>1921</v>
      </c>
      <c r="C5" s="3075"/>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5" t="s">
        <v>1922</v>
      </c>
      <c r="C6" s="3075"/>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67"/>
      <c r="B7" s="3068"/>
      <c r="C7" s="3069"/>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4" t="s">
        <v>1946</v>
      </c>
      <c r="L16" s="3065"/>
      <c r="M16" s="3065"/>
      <c r="N16" s="3065"/>
      <c r="O16" s="3065"/>
      <c r="P16" s="3066"/>
    </row>
    <row r="17" spans="1:19" ht="15">
      <c r="A17" s="2242" t="s">
        <v>1947</v>
      </c>
      <c r="B17" s="2243" t="s">
        <v>1948</v>
      </c>
      <c r="C17" s="2244" t="s">
        <v>1949</v>
      </c>
      <c r="D17" s="2245" t="s">
        <v>1937</v>
      </c>
      <c r="E17" s="2246" t="s">
        <v>1938</v>
      </c>
      <c r="F17" s="2247"/>
      <c r="G17" s="2248"/>
      <c r="H17" s="2249" t="s">
        <v>1950</v>
      </c>
      <c r="I17" s="2250" t="s">
        <v>1935</v>
      </c>
      <c r="J17" s="1391"/>
      <c r="K17" s="3061" t="s">
        <v>1951</v>
      </c>
      <c r="L17" s="3062"/>
      <c r="M17" s="3063"/>
      <c r="N17" s="3061" t="s">
        <v>1952</v>
      </c>
      <c r="O17" s="3062"/>
      <c r="P17" s="3063"/>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3115</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3117</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3118</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G6" activePane="bottomRight" state="frozen"/>
      <selection activeCell="C50" sqref="C50"/>
      <selection pane="topRight" activeCell="C50" sqref="C50"/>
      <selection pane="bottomLeft" activeCell="C50" sqref="C50"/>
      <selection pane="bottomRight" activeCell="AK24" sqref="AK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0.88800000000000001</v>
      </c>
      <c r="H6" s="802">
        <f>I6-0.5%</f>
        <v>5.5E-2</v>
      </c>
      <c r="I6" s="802">
        <v>0.06</v>
      </c>
      <c r="J6" s="73">
        <v>0.08</v>
      </c>
      <c r="K6" s="1251">
        <f>SUMIF('数据-汇总表'!C$19:C$33,A6,'数据-汇总表'!E$19:E$33)</f>
        <v>21723.46</v>
      </c>
      <c r="L6" s="803">
        <v>4500</v>
      </c>
      <c r="M6" s="74">
        <f t="shared" ref="M6:M14" si="0">ROUND(K6*L6/10000,0)</f>
        <v>9776</v>
      </c>
      <c r="N6" s="801">
        <f>O20</f>
        <v>0.82499999999999996</v>
      </c>
      <c r="O6" s="74" t="str">
        <f>IF($N$5="成新度","——",ROUND(M6*N6,0))</f>
        <v>——</v>
      </c>
      <c r="P6" s="75" t="str">
        <f>IF($N$5="成新度","——",M6-O6)</f>
        <v>——</v>
      </c>
      <c r="Q6" s="804">
        <v>0.2</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0.02</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0.03</v>
      </c>
      <c r="AL6" s="94">
        <v>2E-3</v>
      </c>
      <c r="AM6" s="95">
        <v>0.05</v>
      </c>
      <c r="AN6" s="2309" t="s">
        <v>3120</v>
      </c>
      <c r="AO6" s="54">
        <f ca="1">SUMIF(INDIRECT("'"&amp;AN6&amp;"'"&amp;"!A:A"),"总价",INDIRECT("'"&amp;AN6&amp;"'"&amp;"!B:B"))</f>
        <v>34886</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0.88100000000000001</v>
      </c>
      <c r="H7" s="802">
        <f t="shared" ref="H7:H8" si="3">I7-0.5%</f>
        <v>5.5E-2</v>
      </c>
      <c r="I7" s="802">
        <f t="shared" ref="I7:J8" si="4">I6</f>
        <v>0.06</v>
      </c>
      <c r="J7" s="73">
        <f t="shared" si="4"/>
        <v>0.08</v>
      </c>
      <c r="K7" s="1251">
        <f>SUMIF('数据-汇总表'!C$19:C$33,A7,'数据-汇总表'!E$19:E$33)</f>
        <v>38237.479999999996</v>
      </c>
      <c r="L7" s="803">
        <f>L6</f>
        <v>4500</v>
      </c>
      <c r="M7" s="74">
        <f t="shared" si="0"/>
        <v>17207</v>
      </c>
      <c r="N7" s="801">
        <f>N6</f>
        <v>0.82499999999999996</v>
      </c>
      <c r="O7" s="74" t="str">
        <f t="shared" ref="O7:O14" si="5">IF($N$5="成新度","——",ROUND(M7*N7,0))</f>
        <v>——</v>
      </c>
      <c r="P7" s="75" t="str">
        <f t="shared" ref="P7:P14" si="6">IF($N$5="成新度","——",M7-O7)</f>
        <v>——</v>
      </c>
      <c r="Q7" s="804">
        <f>Q6</f>
        <v>0.2</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0.02</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0.03</v>
      </c>
      <c r="AL7" s="93">
        <f t="shared" ref="AL7:AM7" si="10">AL6</f>
        <v>2E-3</v>
      </c>
      <c r="AM7" s="93">
        <f t="shared" si="10"/>
        <v>0.05</v>
      </c>
      <c r="AN7" s="2309" t="s">
        <v>3145</v>
      </c>
      <c r="AO7" s="54">
        <f t="shared" ref="AO7:AO13" ca="1" si="11">SUMIF(INDIRECT("'"&amp;AN7&amp;"'"&amp;"!A:A"),"总价",INDIRECT("'"&amp;AN7&amp;"'"&amp;"!B:B"))</f>
        <v>56567</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0.88100000000000001</v>
      </c>
      <c r="H8" s="802">
        <f t="shared" si="3"/>
        <v>5.5E-2</v>
      </c>
      <c r="I8" s="802">
        <f t="shared" si="4"/>
        <v>0.06</v>
      </c>
      <c r="J8" s="73">
        <f t="shared" si="4"/>
        <v>0.08</v>
      </c>
      <c r="K8" s="1251">
        <f>SUMIF('数据-汇总表'!C$19:C$33,A8,'数据-汇总表'!E$19:E$33)</f>
        <v>56983.21</v>
      </c>
      <c r="L8" s="803">
        <v>4500</v>
      </c>
      <c r="M8" s="74">
        <f>ROUND(K8*L8/10000,0)</f>
        <v>25642</v>
      </c>
      <c r="N8" s="801">
        <f>N7</f>
        <v>0.82499999999999996</v>
      </c>
      <c r="O8" s="74" t="str">
        <f t="shared" si="5"/>
        <v>——</v>
      </c>
      <c r="P8" s="75" t="str">
        <f t="shared" si="6"/>
        <v>——</v>
      </c>
      <c r="Q8" s="804">
        <f>Q7</f>
        <v>0.2</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0.02</v>
      </c>
      <c r="W8" s="806">
        <v>0.15</v>
      </c>
      <c r="X8" s="1261"/>
      <c r="Y8" s="807">
        <f>N8</f>
        <v>0.82499999999999996</v>
      </c>
      <c r="Z8" s="805">
        <v>2.5</v>
      </c>
      <c r="AA8" s="73">
        <f>V6</f>
        <v>0.02</v>
      </c>
      <c r="AB8" s="73">
        <v>0</v>
      </c>
      <c r="AC8" s="1261"/>
      <c r="AD8" s="2984">
        <f>AD20</f>
        <v>0.8165</v>
      </c>
      <c r="AE8" s="1262">
        <f t="shared" ca="1" si="8"/>
        <v>28.05</v>
      </c>
      <c r="AF8" s="1803">
        <v>1</v>
      </c>
      <c r="AG8" s="146">
        <f t="shared" ca="1" si="9"/>
        <v>27.05</v>
      </c>
      <c r="AH8" s="808"/>
      <c r="AI8" s="84">
        <v>365</v>
      </c>
      <c r="AJ8" s="85"/>
      <c r="AK8" s="93">
        <f>AK7</f>
        <v>0.03</v>
      </c>
      <c r="AL8" s="93">
        <f t="shared" ref="AL8" si="15">AL7</f>
        <v>2E-3</v>
      </c>
      <c r="AM8" s="93">
        <f t="shared" ref="AM8" si="16">AM7</f>
        <v>0.05</v>
      </c>
      <c r="AN8" s="2309" t="s">
        <v>3122</v>
      </c>
      <c r="AO8" s="54">
        <f t="shared" ca="1" si="11"/>
        <v>45942</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0.88200000000000001</v>
      </c>
      <c r="H16" s="98">
        <f>ROUND(SUMPRODUCT(H6:H13,K6:K13)/SUMPRODUCT((H6:H13&gt;0)*(K6:K13)),3)</f>
        <v>5.5E-2</v>
      </c>
      <c r="I16" s="99"/>
      <c r="J16" s="99"/>
      <c r="K16" s="100">
        <f>SUM(K6:K15)</f>
        <v>116944.15</v>
      </c>
      <c r="L16" s="101">
        <f>ROUND(M16*10000/SUM(K6:K14),0)</f>
        <v>4500</v>
      </c>
      <c r="M16" s="101">
        <f>SUM(M6:M14)</f>
        <v>52625</v>
      </c>
      <c r="N16" s="102">
        <f>ROUND(SUMPRODUCT(M6:M14,N6:N14)/M16,3)</f>
        <v>0.82499999999999996</v>
      </c>
      <c r="O16" s="101">
        <f>SUM(O6:O14)</f>
        <v>0</v>
      </c>
      <c r="P16" s="101">
        <f>SUM(P6:P14)</f>
        <v>0</v>
      </c>
      <c r="Q16" s="103">
        <f>ROUND(SUMPRODUCT(Q6:Q13,K6:K13)/SUMPRODUCT((Q6:Q13&gt;0)*(K6:K13)),2)</f>
        <v>0.2</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6.0499999999999998E-2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5.5E-2</v>
      </c>
      <c r="C42" s="2331">
        <f>IF(B2&lt;DATE(2016,5,1),0,B42)</f>
        <v>5.5E-2</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5.5000000000000005E-3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6" t="s">
        <v>2087</v>
      </c>
      <c r="B1" s="3077"/>
      <c r="C1" s="3077"/>
      <c r="D1" s="3077"/>
      <c r="E1" s="3077"/>
      <c r="F1" s="3077"/>
      <c r="G1" s="307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117820</v>
      </c>
      <c r="C5" s="1742">
        <f ca="1">ROUND(B5*10000/$B$1,0)</f>
        <v>10075</v>
      </c>
      <c r="D5" s="1742">
        <f ca="1">ROUND(B5*10000/$B$2,0)</f>
        <v>8529</v>
      </c>
      <c r="E5" s="1741"/>
      <c r="F5" s="1739"/>
      <c r="G5" s="1739"/>
    </row>
    <row r="6" spans="1:10" ht="16.5">
      <c r="A6" s="1742" t="s">
        <v>1357</v>
      </c>
      <c r="B6" s="1742">
        <f ca="1">SUM(G14:G23)</f>
        <v>117820</v>
      </c>
      <c r="C6" s="1742">
        <f ca="1">ROUND(B6*10000/$B$1,0)</f>
        <v>10075</v>
      </c>
      <c r="D6" s="1742">
        <f ca="1">ROUND(B6*10000/$B$2,0)</f>
        <v>8529</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117820</v>
      </c>
      <c r="E14" s="1740">
        <f ca="1">ROUND(D14*10000/B14,0)</f>
        <v>10075</v>
      </c>
      <c r="F14" s="1740">
        <f ca="1">ROUND(D14*10000/C14,0)</f>
        <v>8529</v>
      </c>
      <c r="G14" s="1740">
        <f ca="1">结果表!D122</f>
        <v>117820</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Normal="100" zoomScaleSheetLayoutView="100" zoomScalePageLayoutView="80" workbookViewId="0">
      <selection activeCell="H101" sqref="H10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50" t="str">
        <f>项目基本情况!S2</f>
        <v>房地产</v>
      </c>
      <c r="B2" s="3151"/>
      <c r="C2" s="3151"/>
      <c r="D2" s="3151"/>
      <c r="E2" s="3151"/>
      <c r="F2" s="3151"/>
      <c r="G2" s="3151"/>
      <c r="H2" s="3151"/>
      <c r="I2" s="3152"/>
    </row>
    <row r="3" spans="1:12" ht="12.75">
      <c r="A3" s="3153" t="s">
        <v>2122</v>
      </c>
      <c r="B3" s="3154"/>
      <c r="C3" s="3154"/>
      <c r="D3" s="3154"/>
      <c r="E3" s="3154"/>
      <c r="F3" s="3154"/>
      <c r="G3" s="3154"/>
      <c r="H3" s="3154"/>
      <c r="I3" s="3154"/>
    </row>
    <row r="4" spans="1:12" ht="14.25">
      <c r="A4" s="2425" t="s">
        <v>2123</v>
      </c>
      <c r="B4" s="2426" t="s">
        <v>2124</v>
      </c>
      <c r="C4" s="2427" t="s">
        <v>3071</v>
      </c>
      <c r="D4" s="2427" t="s">
        <v>3074</v>
      </c>
      <c r="E4" s="3134" t="s">
        <v>2125</v>
      </c>
      <c r="F4" s="3147"/>
      <c r="G4" s="3147"/>
      <c r="H4" s="3147"/>
      <c r="I4" s="313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5" t="s">
        <v>2126</v>
      </c>
      <c r="B5" s="3051">
        <v>25</v>
      </c>
      <c r="C5" s="3155">
        <v>24</v>
      </c>
      <c r="D5" s="3143">
        <v>24</v>
      </c>
      <c r="E5" s="139" t="s">
        <v>2127</v>
      </c>
      <c r="F5" s="2429"/>
      <c r="G5" s="2429"/>
      <c r="H5" s="2429"/>
      <c r="I5" s="1830"/>
    </row>
    <row r="6" spans="1:12" ht="12.75">
      <c r="A6" s="3125"/>
      <c r="B6" s="3051"/>
      <c r="C6" s="3157"/>
      <c r="D6" s="3143"/>
      <c r="E6" s="139" t="s">
        <v>2128</v>
      </c>
      <c r="F6" s="2429"/>
      <c r="G6" s="2429"/>
      <c r="H6" s="2429"/>
      <c r="I6" s="1830"/>
    </row>
    <row r="7" spans="1:12" ht="12.75">
      <c r="A7" s="3125"/>
      <c r="B7" s="3051"/>
      <c r="C7" s="3156"/>
      <c r="D7" s="3143"/>
      <c r="E7" s="139" t="s">
        <v>2129</v>
      </c>
      <c r="F7" s="2429"/>
      <c r="G7" s="2429"/>
      <c r="H7" s="2429"/>
      <c r="I7" s="1830"/>
    </row>
    <row r="8" spans="1:12" ht="12.75">
      <c r="A8" s="3125" t="s">
        <v>2130</v>
      </c>
      <c r="B8" s="3051">
        <v>15</v>
      </c>
      <c r="C8" s="3155">
        <v>14</v>
      </c>
      <c r="D8" s="3143">
        <f>C8</f>
        <v>14</v>
      </c>
      <c r="E8" s="139" t="s">
        <v>2131</v>
      </c>
      <c r="F8" s="2429"/>
      <c r="G8" s="2429"/>
      <c r="H8" s="2429"/>
      <c r="I8" s="1830"/>
    </row>
    <row r="9" spans="1:12" ht="12.75">
      <c r="A9" s="3125"/>
      <c r="B9" s="3051"/>
      <c r="C9" s="3156"/>
      <c r="D9" s="3143"/>
      <c r="E9" s="139" t="s">
        <v>2132</v>
      </c>
      <c r="F9" s="2429"/>
      <c r="G9" s="2429"/>
      <c r="H9" s="2429"/>
      <c r="I9" s="1830"/>
    </row>
    <row r="10" spans="1:12" ht="12.75" customHeight="1">
      <c r="A10" s="3125" t="s">
        <v>2133</v>
      </c>
      <c r="B10" s="3051">
        <v>15</v>
      </c>
      <c r="C10" s="3155">
        <f>C8</f>
        <v>14</v>
      </c>
      <c r="D10" s="3143">
        <f t="shared" ref="D10" si="0">C10</f>
        <v>14</v>
      </c>
      <c r="E10" s="139" t="s">
        <v>2134</v>
      </c>
      <c r="F10" s="2429"/>
      <c r="G10" s="2429"/>
      <c r="H10" s="2429"/>
      <c r="I10" s="1830"/>
    </row>
    <row r="11" spans="1:12" ht="12.75" customHeight="1">
      <c r="A11" s="3125"/>
      <c r="B11" s="3051"/>
      <c r="C11" s="3156"/>
      <c r="D11" s="3143"/>
      <c r="E11" s="139" t="s">
        <v>2135</v>
      </c>
      <c r="F11" s="2429"/>
      <c r="G11" s="2429"/>
      <c r="H11" s="2429"/>
      <c r="I11" s="1830"/>
    </row>
    <row r="12" spans="1:12" ht="12.75" customHeight="1">
      <c r="A12" s="3125" t="s">
        <v>2136</v>
      </c>
      <c r="B12" s="3051">
        <v>15</v>
      </c>
      <c r="C12" s="3155">
        <f>C10</f>
        <v>14</v>
      </c>
      <c r="D12" s="3143">
        <f t="shared" ref="D12" si="1">C12</f>
        <v>14</v>
      </c>
      <c r="E12" s="139" t="s">
        <v>2137</v>
      </c>
      <c r="F12" s="2429"/>
      <c r="G12" s="2429"/>
      <c r="H12" s="2429"/>
      <c r="I12" s="1830"/>
    </row>
    <row r="13" spans="1:12" ht="12.75" customHeight="1">
      <c r="A13" s="3125"/>
      <c r="B13" s="3051"/>
      <c r="C13" s="3156"/>
      <c r="D13" s="3143"/>
      <c r="E13" s="139" t="s">
        <v>2138</v>
      </c>
      <c r="F13" s="2429"/>
      <c r="G13" s="2429"/>
      <c r="H13" s="2429"/>
      <c r="I13" s="1830"/>
    </row>
    <row r="14" spans="1:12" ht="12.75">
      <c r="A14" s="3125" t="s">
        <v>2139</v>
      </c>
      <c r="B14" s="3051">
        <v>30</v>
      </c>
      <c r="C14" s="3155">
        <v>28</v>
      </c>
      <c r="D14" s="3143">
        <v>28</v>
      </c>
      <c r="E14" s="139" t="s">
        <v>2140</v>
      </c>
      <c r="F14" s="2429"/>
      <c r="G14" s="2429"/>
      <c r="H14" s="2429"/>
      <c r="I14" s="1830"/>
    </row>
    <row r="15" spans="1:12" ht="12.75">
      <c r="A15" s="3125"/>
      <c r="B15" s="3051"/>
      <c r="C15" s="3157"/>
      <c r="D15" s="3143"/>
      <c r="E15" s="139" t="s">
        <v>2141</v>
      </c>
      <c r="F15" s="2429"/>
      <c r="G15" s="2429"/>
      <c r="H15" s="2429"/>
      <c r="I15" s="1830"/>
    </row>
    <row r="16" spans="1:12" ht="12.75">
      <c r="A16" s="3125"/>
      <c r="B16" s="3051"/>
      <c r="C16" s="3156"/>
      <c r="D16" s="3143"/>
      <c r="E16" s="139" t="s">
        <v>2142</v>
      </c>
      <c r="F16" s="2429"/>
      <c r="G16" s="2429"/>
      <c r="H16" s="2429"/>
      <c r="I16" s="1830"/>
    </row>
    <row r="17" spans="1:35" ht="15">
      <c r="A17" s="2430" t="s">
        <v>2143</v>
      </c>
      <c r="B17" s="63"/>
      <c r="C17" s="140">
        <f>SUM(C5:C16)</f>
        <v>94</v>
      </c>
      <c r="D17" s="140">
        <f>SUM(D5:D16)</f>
        <v>94</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132434</v>
      </c>
      <c r="D19" s="143">
        <f ca="1">SUMIF(INDIRECT("'"&amp;D4&amp;"'"&amp;"!A:A"),结果表!B19,INDIRECT("'"&amp;D4&amp;"'"&amp;"!B:B"))</f>
        <v>137395</v>
      </c>
      <c r="E19" s="2434" t="s">
        <v>2150</v>
      </c>
      <c r="F19" s="2435" t="s">
        <v>2149</v>
      </c>
      <c r="G19" s="144">
        <f ca="1">ROUND(C19*$C$18+D19*$D$18,0)</f>
        <v>134915</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11325</v>
      </c>
      <c r="D20" s="146">
        <f ca="1">SUMIF(INDIRECT("'"&amp;D4&amp;"'"&amp;"!A:A"),结果表!B20,INDIRECT("'"&amp;D4&amp;"'"&amp;"!B:B"))</f>
        <v>11749</v>
      </c>
      <c r="E20" s="2437"/>
      <c r="F20" s="1247" t="s">
        <v>2153</v>
      </c>
      <c r="G20" s="147">
        <f ca="1">ROUND(C20*$C$18+D20*$D$18,0)</f>
        <v>11537</v>
      </c>
      <c r="H20" s="980" t="s">
        <v>2154</v>
      </c>
      <c r="I20" s="137"/>
    </row>
    <row r="21" spans="1:35" ht="15" customHeight="1" thickBot="1">
      <c r="A21" s="1000"/>
      <c r="B21" s="2438" t="s">
        <v>2155</v>
      </c>
      <c r="C21" s="789">
        <f ca="1">ROUND(C19*10000/L19,0)</f>
        <v>9587</v>
      </c>
      <c r="D21" s="790">
        <f ca="1">ROUND(D19*10000/L19,0)</f>
        <v>9946</v>
      </c>
      <c r="E21" s="1000"/>
      <c r="F21" s="2438" t="s">
        <v>2155</v>
      </c>
      <c r="G21" s="148">
        <f ca="1">ROUND(G19*10000/L19,0)</f>
        <v>9766</v>
      </c>
      <c r="H21" s="2439" t="s">
        <v>2154</v>
      </c>
      <c r="I21" s="137"/>
    </row>
    <row r="22" spans="1:35" ht="15" thickBot="1">
      <c r="A22" s="2281" t="s">
        <v>2156</v>
      </c>
      <c r="B22" s="2440"/>
      <c r="C22" s="2441"/>
      <c r="D22" s="791">
        <f ca="1">IF(C19&lt;D19,D19/C19-1,C19/D19-1)</f>
        <v>3.7460168838817864E-2</v>
      </c>
      <c r="E22" s="137"/>
      <c r="F22" s="137"/>
      <c r="G22" s="137"/>
      <c r="H22" s="137"/>
      <c r="I22" s="137"/>
    </row>
    <row r="23" spans="1:35" ht="13.5" thickBot="1">
      <c r="A23" s="2418"/>
      <c r="B23" s="2418"/>
      <c r="C23" s="2418"/>
      <c r="D23" s="2418"/>
      <c r="E23" s="137"/>
      <c r="F23" s="137"/>
      <c r="G23" s="137"/>
      <c r="H23" s="137"/>
      <c r="I23" s="137"/>
    </row>
    <row r="24" spans="1:35" ht="14.25">
      <c r="A24" s="3164" t="s">
        <v>2157</v>
      </c>
      <c r="B24" s="2435" t="s">
        <v>2149</v>
      </c>
      <c r="C24" s="144">
        <f>IF(B30=0,0,D30)</f>
        <v>17095</v>
      </c>
      <c r="D24" s="2442"/>
      <c r="E24" s="137"/>
      <c r="F24" s="137"/>
      <c r="G24" s="137"/>
      <c r="H24" s="137"/>
      <c r="I24" s="137"/>
    </row>
    <row r="25" spans="1:35" ht="14.25">
      <c r="A25" s="3165"/>
      <c r="B25" s="1247" t="s">
        <v>2153</v>
      </c>
      <c r="C25" s="149">
        <f>IF(B30=0,0,C30)</f>
        <v>3000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3153</v>
      </c>
      <c r="B27" s="150">
        <f>'数据-汇总表'!F21</f>
        <v>56983.21</v>
      </c>
      <c r="C27" s="150">
        <v>3000</v>
      </c>
      <c r="D27" s="151">
        <f>ROUND(B27*C27/10000,0)</f>
        <v>17095</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3000</v>
      </c>
      <c r="D30" s="152">
        <f>SUM(D27:D29)</f>
        <v>17095</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117820</v>
      </c>
      <c r="D32" s="2449" t="s">
        <v>2164</v>
      </c>
      <c r="E32" s="137"/>
      <c r="F32" s="137"/>
      <c r="G32" s="137"/>
      <c r="H32" s="137"/>
      <c r="I32" s="137"/>
    </row>
    <row r="33" spans="1:15" ht="15">
      <c r="A33" s="957" t="s">
        <v>2165</v>
      </c>
      <c r="B33" s="2450"/>
      <c r="C33" s="2451" t="s">
        <v>3156</v>
      </c>
      <c r="D33" s="2452" t="s">
        <v>3071</v>
      </c>
      <c r="E33" s="2453" t="s">
        <v>2166</v>
      </c>
      <c r="F33" s="2454" t="str">
        <f>IF(D32="楼面单价","取值（单价）","取值（总价）")</f>
        <v>取值（总价）</v>
      </c>
      <c r="G33" s="137"/>
      <c r="H33" s="137"/>
      <c r="I33" s="137"/>
    </row>
    <row r="34" spans="1:15" ht="15">
      <c r="A34" s="2455"/>
      <c r="B34" s="2456" t="s">
        <v>2167</v>
      </c>
      <c r="C34" s="157">
        <f ca="1">IF(C33="自定义",F34,C32-C35)</f>
        <v>56907</v>
      </c>
      <c r="D34" s="1055">
        <f ca="1">IF(C33="自定义",ROUND(C34/C32,3),IF(C33="收益比率",SUMIF(INDIRECT("'"&amp;D33&amp;"'"&amp;"!b:b"),"土地收益比率",INDIRECT("'"&amp;D33&amp;"'"&amp;"!c:c")),SUMIF(INDIRECT("'"&amp;D33&amp;"'"&amp;"!b:b"),"土地成本比率",INDIRECT("'"&amp;D33&amp;"'"&amp;"!c:c"))))</f>
        <v>0.48299999999999998</v>
      </c>
      <c r="E34" s="2457" t="s">
        <v>2168</v>
      </c>
      <c r="F34" s="1735"/>
      <c r="G34" s="137"/>
      <c r="H34" s="137"/>
      <c r="I34" s="137"/>
    </row>
    <row r="35" spans="1:15" ht="15.75" thickBot="1">
      <c r="A35" s="2458"/>
      <c r="B35" s="2459" t="s">
        <v>2169</v>
      </c>
      <c r="C35" s="1440">
        <f ca="1">IF(C33="自定义",F35,ROUND(C32*D35,0))</f>
        <v>60913</v>
      </c>
      <c r="D35" s="1441">
        <f ca="1">IF(C33="自定义",ROUND(C35/C32,3),IF(C33="收益比率",SUMIF(INDIRECT("'"&amp;D33&amp;"'"&amp;"!b:b"),"建筑物收益比率",INDIRECT("'"&amp;D33&amp;"'"&amp;"!c:c")),SUMIF(INDIRECT("'"&amp;D33&amp;"'"&amp;"!b:b"),"建筑物成本比率",INDIRECT("'"&amp;D33&amp;"'"&amp;"!c:c"))))</f>
        <v>0.51700000000000002</v>
      </c>
      <c r="E35" s="2460" t="s">
        <v>2170</v>
      </c>
      <c r="F35" s="163"/>
      <c r="G35" s="137"/>
      <c r="H35" s="137"/>
      <c r="I35" s="137"/>
    </row>
    <row r="36" spans="1:15" ht="15.75" thickBot="1">
      <c r="A36" s="3144" t="s">
        <v>2171</v>
      </c>
      <c r="B36" s="2461" t="s">
        <v>2172</v>
      </c>
      <c r="C36" s="154"/>
      <c r="D36" s="2462" t="s">
        <v>3076</v>
      </c>
      <c r="E36" s="2463"/>
      <c r="F36" s="2464"/>
      <c r="G36" s="137"/>
      <c r="H36" s="137"/>
      <c r="I36" s="137"/>
    </row>
    <row r="37" spans="1:15" ht="15.75" thickBot="1">
      <c r="A37" s="3145"/>
      <c r="B37" s="2267" t="s">
        <v>2173</v>
      </c>
      <c r="C37" s="156"/>
      <c r="D37" s="1391"/>
      <c r="E37" s="1391"/>
      <c r="F37" s="2464"/>
      <c r="G37" s="137"/>
      <c r="H37" s="137"/>
      <c r="I37" s="137"/>
    </row>
    <row r="38" spans="1:15" ht="15.75" thickBot="1">
      <c r="A38" s="3146"/>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161" t="s">
        <v>2185</v>
      </c>
      <c r="B45" s="3162"/>
      <c r="C45" s="3163"/>
      <c r="D45" s="164">
        <f ca="1">ROUND(H101*F45,0)</f>
        <v>117820</v>
      </c>
      <c r="E45" s="165" t="s">
        <v>2186</v>
      </c>
      <c r="F45" s="166">
        <v>1</v>
      </c>
      <c r="G45" s="167" t="s">
        <v>2187</v>
      </c>
      <c r="H45" s="137"/>
      <c r="I45" s="137"/>
      <c r="J45" s="3080" t="s">
        <v>2188</v>
      </c>
      <c r="K45" s="3080"/>
      <c r="L45" s="3080"/>
      <c r="M45" s="3080"/>
      <c r="N45" s="3080"/>
      <c r="O45" s="3080"/>
    </row>
    <row r="46" spans="1:15" ht="14.25" hidden="1" customHeight="1">
      <c r="A46" s="3158" t="s">
        <v>2189</v>
      </c>
      <c r="B46" s="3159"/>
      <c r="C46" s="3159"/>
      <c r="D46" s="3159"/>
      <c r="E46" s="3159"/>
      <c r="F46" s="3159"/>
      <c r="G46" s="3160"/>
      <c r="H46" s="2480"/>
      <c r="I46" s="168"/>
      <c r="J46" s="1808">
        <v>1</v>
      </c>
      <c r="K46" s="3080" t="s">
        <v>2190</v>
      </c>
      <c r="L46" s="3080"/>
      <c r="M46" s="3081"/>
      <c r="N46" s="3081"/>
      <c r="O46" s="3081"/>
    </row>
    <row r="47" spans="1:15" ht="12" hidden="1" customHeight="1">
      <c r="A47" s="169" t="s">
        <v>2191</v>
      </c>
      <c r="B47" s="170"/>
      <c r="C47" s="171"/>
      <c r="D47" s="172" t="s">
        <v>2192</v>
      </c>
      <c r="E47" s="23" t="s">
        <v>2193</v>
      </c>
      <c r="F47" s="173" t="s">
        <v>2194</v>
      </c>
      <c r="G47" s="174" t="s">
        <v>2195</v>
      </c>
      <c r="H47" s="2480"/>
      <c r="I47" s="168"/>
      <c r="J47" s="1808">
        <v>2</v>
      </c>
      <c r="K47" s="3080" t="s">
        <v>2196</v>
      </c>
      <c r="L47" s="3080"/>
      <c r="M47" s="3082">
        <f>'数据-取费表'!B2</f>
        <v>43070</v>
      </c>
      <c r="N47" s="3082"/>
      <c r="O47" s="3082"/>
    </row>
    <row r="48" spans="1:15" ht="25.5" hidden="1">
      <c r="A48" s="3148" t="s">
        <v>2197</v>
      </c>
      <c r="B48" s="3149"/>
      <c r="C48" s="3149"/>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080" t="s">
        <v>2200</v>
      </c>
      <c r="L48" s="3080"/>
      <c r="M48" s="3083">
        <f ca="1">H101</f>
        <v>117820</v>
      </c>
      <c r="N48" s="3083"/>
      <c r="O48" s="3083"/>
    </row>
    <row r="49" spans="1:35" ht="25.5" hidden="1" customHeight="1">
      <c r="A49" s="176" t="s">
        <v>2201</v>
      </c>
      <c r="B49" s="3128" t="s">
        <v>2202</v>
      </c>
      <c r="C49" s="3128"/>
      <c r="D49" s="177">
        <v>0</v>
      </c>
      <c r="E49" s="22" t="s">
        <v>2203</v>
      </c>
      <c r="F49" s="27" t="s">
        <v>34</v>
      </c>
      <c r="G49" s="3109"/>
      <c r="H49" s="137"/>
      <c r="I49" s="2483"/>
      <c r="J49" s="1808">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hidden="1" customHeight="1">
      <c r="A50" s="178"/>
      <c r="B50" s="3128" t="s">
        <v>2204</v>
      </c>
      <c r="C50" s="3128"/>
      <c r="D50" s="179"/>
      <c r="E50" s="30"/>
      <c r="F50" s="180"/>
      <c r="G50" s="3110"/>
      <c r="H50" s="137"/>
      <c r="I50" s="2483"/>
      <c r="J50" s="3080" t="s">
        <v>2205</v>
      </c>
      <c r="K50" s="3080"/>
      <c r="L50" s="3080"/>
      <c r="M50" s="3080"/>
      <c r="N50" s="3080"/>
      <c r="O50" s="3080"/>
    </row>
    <row r="51" spans="1:35" ht="12" hidden="1" customHeight="1">
      <c r="A51" s="181"/>
      <c r="B51" s="3128" t="s">
        <v>2206</v>
      </c>
      <c r="C51" s="3128"/>
      <c r="D51" s="182"/>
      <c r="E51" s="29"/>
      <c r="F51" s="180"/>
      <c r="G51" s="3111"/>
      <c r="H51" s="137"/>
      <c r="I51" s="2483"/>
      <c r="J51" s="2484" t="s">
        <v>2207</v>
      </c>
      <c r="K51" s="3080" t="s">
        <v>2208</v>
      </c>
      <c r="L51" s="3080"/>
      <c r="M51" s="2484" t="s">
        <v>2209</v>
      </c>
      <c r="N51" s="2484" t="s">
        <v>2210</v>
      </c>
      <c r="O51" s="2484" t="s">
        <v>2211</v>
      </c>
    </row>
    <row r="52" spans="1:35" ht="24" hidden="1" customHeight="1">
      <c r="A52" s="183" t="s">
        <v>2212</v>
      </c>
      <c r="B52" s="3128" t="s">
        <v>2213</v>
      </c>
      <c r="C52" s="3128"/>
      <c r="D52" s="182">
        <f ca="1">ROUND(D45*'数据-取费表'!B41/(1+'数据-取费表'!C42),0)</f>
        <v>6757</v>
      </c>
      <c r="E52" s="11" t="s">
        <v>2214</v>
      </c>
      <c r="F52" s="184">
        <f>'数据-取费表'!B41</f>
        <v>6.0499999999999998E-2</v>
      </c>
      <c r="G52" s="2485"/>
      <c r="H52" s="137"/>
      <c r="I52" s="2483"/>
      <c r="J52" s="1808">
        <v>1</v>
      </c>
      <c r="K52" s="3103" t="s">
        <v>2215</v>
      </c>
      <c r="L52" s="3103"/>
      <c r="M52" s="1750">
        <f>D48</f>
        <v>0</v>
      </c>
      <c r="N52" s="1808" t="str">
        <f>E48</f>
        <v>销售额×税（费）率</v>
      </c>
      <c r="O52" s="1751" t="str">
        <f>F48</f>
        <v>免征</v>
      </c>
    </row>
    <row r="53" spans="1:35" ht="12" hidden="1" customHeight="1">
      <c r="A53" s="183" t="s">
        <v>2216</v>
      </c>
      <c r="B53" s="3129" t="s">
        <v>2217</v>
      </c>
      <c r="C53" s="3130"/>
      <c r="D53" s="182">
        <f ca="1">ROUND(D45*'数据-取费表'!B41/(1+'数据-取费表'!C42),0)</f>
        <v>6757</v>
      </c>
      <c r="E53" s="11" t="s">
        <v>2214</v>
      </c>
      <c r="F53" s="184">
        <f>'数据-取费表'!B41</f>
        <v>6.0499999999999998E-2</v>
      </c>
      <c r="G53" s="2485"/>
      <c r="H53" s="137"/>
      <c r="I53" s="2483"/>
      <c r="J53" s="1808">
        <v>2</v>
      </c>
      <c r="K53" s="3103" t="s">
        <v>2218</v>
      </c>
      <c r="L53" s="3103"/>
      <c r="M53" s="1750">
        <f t="shared" ref="M53:O54" ca="1" si="2">D55</f>
        <v>59</v>
      </c>
      <c r="N53" s="1808" t="str">
        <f t="shared" si="2"/>
        <v>销售额×税（费）率</v>
      </c>
      <c r="O53" s="1751">
        <f t="shared" si="2"/>
        <v>5.0000000000000001E-4</v>
      </c>
    </row>
    <row r="54" spans="1:35" ht="12" hidden="1" customHeight="1">
      <c r="A54" s="183" t="s">
        <v>2219</v>
      </c>
      <c r="B54" s="3129" t="s">
        <v>2220</v>
      </c>
      <c r="C54" s="3130"/>
      <c r="D54" s="182">
        <f ca="1">C68</f>
        <v>6757</v>
      </c>
      <c r="E54" s="29" t="s">
        <v>2221</v>
      </c>
      <c r="F54" s="184">
        <f>'数据-取费表'!B41</f>
        <v>6.0499999999999998E-2</v>
      </c>
      <c r="G54" s="2485"/>
      <c r="H54" s="2486"/>
      <c r="I54" s="2483"/>
      <c r="J54" s="1808">
        <v>3</v>
      </c>
      <c r="K54" s="3103" t="s">
        <v>2222</v>
      </c>
      <c r="L54" s="3103"/>
      <c r="M54" s="1750">
        <f t="shared" ca="1" si="2"/>
        <v>66424</v>
      </c>
      <c r="N54" s="1808" t="str">
        <f t="shared" si="2"/>
        <v>增值额×税（费）率</v>
      </c>
      <c r="O54" s="1752" t="str">
        <f t="shared" si="2"/>
        <v>——</v>
      </c>
    </row>
    <row r="55" spans="1:35" ht="24" hidden="1" customHeight="1">
      <c r="A55" s="3167" t="s">
        <v>2223</v>
      </c>
      <c r="B55" s="3149"/>
      <c r="C55" s="3149"/>
      <c r="D55" s="185">
        <f ca="1">IF(H55="个人住宅",0,ROUND(D45*I55,0))</f>
        <v>59</v>
      </c>
      <c r="E55" s="11" t="s">
        <v>2224</v>
      </c>
      <c r="F55" s="184">
        <f>IF(H55="正常",I55,"免征")</f>
        <v>5.0000000000000001E-4</v>
      </c>
      <c r="G55" s="2485"/>
      <c r="H55" s="2482" t="s">
        <v>2225</v>
      </c>
      <c r="I55" s="186">
        <f>'数据-取费表'!B49</f>
        <v>5.0000000000000001E-4</v>
      </c>
      <c r="J55" s="1808" t="str">
        <f>IF(H59="非个人房产","",4)</f>
        <v/>
      </c>
      <c r="K55" s="3103" t="str">
        <f>IF(H59="非个人房产","——","个人所得税")</f>
        <v>——</v>
      </c>
      <c r="L55" s="3103"/>
      <c r="M55" s="1753" t="str">
        <f>D59</f>
        <v>——</v>
      </c>
      <c r="N55" s="1806" t="str">
        <f>E59</f>
        <v>——</v>
      </c>
      <c r="O55" s="1754" t="str">
        <f>F59</f>
        <v>——</v>
      </c>
    </row>
    <row r="56" spans="1:35" ht="24.75" hidden="1">
      <c r="A56" s="3167" t="s">
        <v>2226</v>
      </c>
      <c r="B56" s="3149"/>
      <c r="C56" s="3149"/>
      <c r="D56" s="185">
        <f ca="1">IF(H56="个人住宅",D57,D58)</f>
        <v>66424</v>
      </c>
      <c r="E56" s="11" t="s">
        <v>2227</v>
      </c>
      <c r="F56" s="184" t="str">
        <f>IF(H56="正常",F58,"免征")</f>
        <v>——</v>
      </c>
      <c r="G56" s="2487" t="s">
        <v>2228</v>
      </c>
      <c r="H56" s="2488" t="s">
        <v>2225</v>
      </c>
      <c r="I56" s="2489"/>
      <c r="J56" s="1808" t="str">
        <f>IF(项目基本情况!K6="上海银行",IF(J55="",4,J55+1),"")</f>
        <v/>
      </c>
      <c r="K56" s="3086" t="str">
        <f>IF(项目基本情况!K6="上海银行","其他处置费用","")</f>
        <v/>
      </c>
      <c r="L56" s="3087"/>
      <c r="M56" s="1750" t="str">
        <f>IF(项目基本情况!K6="上海银行",M69,"")</f>
        <v/>
      </c>
      <c r="N56" s="3089" t="str">
        <f>IF(项目基本情况!K6="上海银行","包含处置中涉及的律师、诉讼、拍卖、评估等费用","")</f>
        <v/>
      </c>
      <c r="O56" s="3090"/>
    </row>
    <row r="57" spans="1:35" ht="12.75" hidden="1">
      <c r="A57" s="183" t="s">
        <v>2201</v>
      </c>
      <c r="B57" s="3134" t="s">
        <v>2229</v>
      </c>
      <c r="C57" s="3135"/>
      <c r="D57" s="187">
        <v>0</v>
      </c>
      <c r="E57" s="22" t="s">
        <v>2203</v>
      </c>
      <c r="F57" s="155"/>
      <c r="G57" s="2485"/>
      <c r="H57" s="2489"/>
      <c r="I57" s="2489"/>
      <c r="J57" s="3103">
        <f>IF(AND(J55="",J56=""),4,IF(项目基本情况!K6="上海银行",结果表!J56+1,结果表!J55+1))</f>
        <v>4</v>
      </c>
      <c r="K57" s="3103" t="s">
        <v>2230</v>
      </c>
      <c r="L57" s="2490" t="s">
        <v>2231</v>
      </c>
      <c r="M57" s="1755"/>
      <c r="N57" s="1756">
        <f ca="1">SUMIF(M52:M56,"&lt;9e307")</f>
        <v>66483</v>
      </c>
      <c r="O57" s="2491"/>
      <c r="P57" s="1749" t="e">
        <f ca="1">N57/M49</f>
        <v>#VALUE!</v>
      </c>
    </row>
    <row r="58" spans="1:35" ht="24.75" hidden="1">
      <c r="A58" s="183" t="s">
        <v>2212</v>
      </c>
      <c r="B58" s="3134" t="s">
        <v>2232</v>
      </c>
      <c r="C58" s="3147"/>
      <c r="D58" s="185">
        <f ca="1">IF(H58="转让取得",C81,C97)</f>
        <v>66424</v>
      </c>
      <c r="E58" s="11" t="s">
        <v>2227</v>
      </c>
      <c r="F58" s="23" t="s">
        <v>34</v>
      </c>
      <c r="G58" s="2485"/>
      <c r="H58" s="2488" t="s">
        <v>2233</v>
      </c>
      <c r="I58" s="2489"/>
      <c r="J58" s="3103"/>
      <c r="K58" s="3103"/>
      <c r="L58" s="2490" t="s">
        <v>2234</v>
      </c>
      <c r="M58" s="1757"/>
      <c r="N58" s="2492" t="str">
        <f ca="1">NUMBERSTRING(INT(N57*10000),2)&amp;"元整"</f>
        <v>陆亿陆仟肆佰捌拾叁万元整</v>
      </c>
      <c r="O58" s="2493"/>
    </row>
    <row r="59" spans="1:35" ht="24.75" hidden="1" thickBot="1">
      <c r="A59" s="3107" t="s">
        <v>2235</v>
      </c>
      <c r="B59" s="3108"/>
      <c r="C59" s="3108"/>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05">
        <f>J57+1</f>
        <v>5</v>
      </c>
      <c r="K59" s="3103" t="s">
        <v>2237</v>
      </c>
      <c r="L59" s="1808" t="s">
        <v>2231</v>
      </c>
      <c r="M59" s="1758"/>
      <c r="N59" s="1759" t="e">
        <f ca="1">M49-N57</f>
        <v>#VALUE!</v>
      </c>
      <c r="O59" s="2495"/>
    </row>
    <row r="60" spans="1:35" ht="12" hidden="1" customHeight="1">
      <c r="A60" s="2496"/>
      <c r="B60" s="2418"/>
      <c r="C60" s="2418"/>
      <c r="D60" s="2418"/>
      <c r="E60" s="2166"/>
      <c r="F60" s="2489"/>
      <c r="G60" s="2489"/>
      <c r="H60" s="2497"/>
      <c r="I60" s="137"/>
      <c r="J60" s="3106"/>
      <c r="K60" s="3103"/>
      <c r="L60" s="2490" t="s">
        <v>2234</v>
      </c>
      <c r="M60" s="1757"/>
      <c r="N60" s="2492" t="e">
        <f ca="1">NUMBERSTRING(INT(N59*10000),2)&amp;"元整"</f>
        <v>#VALUE!</v>
      </c>
      <c r="O60" s="2493"/>
    </row>
    <row r="61" spans="1:35" ht="13.5" hidden="1" thickBot="1">
      <c r="A61" s="3166" t="s">
        <v>2238</v>
      </c>
      <c r="B61" s="3166"/>
      <c r="C61" s="3166"/>
      <c r="D61" s="3166"/>
      <c r="E61" s="3166"/>
      <c r="F61" s="2489"/>
      <c r="G61" s="2489"/>
      <c r="H61" s="2497"/>
      <c r="I61" s="137"/>
      <c r="J61" s="1808">
        <f>J59+1</f>
        <v>6</v>
      </c>
      <c r="K61" s="3103" t="s">
        <v>2239</v>
      </c>
      <c r="L61" s="3103"/>
      <c r="M61" s="1760"/>
      <c r="N61" s="1761" t="e">
        <f ca="1">ROUND(N59*10000/'数据-汇总表'!E3,0)</f>
        <v>#VALUE!</v>
      </c>
      <c r="O61" s="2498"/>
    </row>
    <row r="62" spans="1:35" ht="12.75" hidden="1">
      <c r="A62" s="3123" t="s">
        <v>2240</v>
      </c>
      <c r="B62" s="3124"/>
      <c r="C62" s="1800"/>
      <c r="D62" s="1800" t="s">
        <v>2241</v>
      </c>
      <c r="E62" s="192" t="s">
        <v>2242</v>
      </c>
      <c r="F62" s="2489"/>
      <c r="G62" s="2489"/>
      <c r="H62" s="2497"/>
      <c r="I62" s="137"/>
    </row>
    <row r="63" spans="1:35" ht="12.75" hidden="1">
      <c r="A63" s="203" t="s">
        <v>775</v>
      </c>
      <c r="B63" s="193" t="s">
        <v>2243</v>
      </c>
      <c r="C63" s="194">
        <f ca="1">ROUND((C64+C65)/(1+'数据-取费表'!C42),0)</f>
        <v>111678</v>
      </c>
      <c r="D63" s="195"/>
      <c r="E63" s="196"/>
      <c r="F63" s="2489"/>
      <c r="G63" s="2489"/>
      <c r="H63" s="2497"/>
      <c r="I63" s="137"/>
      <c r="J63" s="3088"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117820</v>
      </c>
      <c r="D64" s="200" t="s">
        <v>32</v>
      </c>
      <c r="E64" s="201"/>
      <c r="F64" s="2489"/>
      <c r="G64" s="2489"/>
      <c r="H64" s="2497"/>
      <c r="I64" s="137"/>
      <c r="J64" s="3088"/>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3">ROUND(L64,1)</f>
        <v>#VALUE!</v>
      </c>
      <c r="N64" s="137" t="s">
        <v>2248</v>
      </c>
      <c r="Z64" s="2423"/>
      <c r="AI64" s="2424"/>
    </row>
    <row r="65" spans="1:35" ht="14.25" hidden="1" customHeight="1">
      <c r="A65" s="197" t="s">
        <v>771</v>
      </c>
      <c r="B65" s="198" t="s">
        <v>2249</v>
      </c>
      <c r="C65" s="202"/>
      <c r="D65" s="200"/>
      <c r="E65" s="201"/>
      <c r="F65" s="2489"/>
      <c r="G65" s="2489"/>
      <c r="H65" s="2497"/>
      <c r="I65" s="137"/>
      <c r="J65" s="3088"/>
      <c r="K65" s="2499" t="s">
        <v>2250</v>
      </c>
      <c r="L65" s="1748" t="e">
        <f>IF(M49&gt;1000,M49*0.1%,IF(AND(M49&gt;500,M49&lt;=1000),M49*0.5%,IF(AND(M49&gt;50,M49&lt;=500),M49*1%,IF(AND(M49&gt;1,M49&lt;=50),M49*1.5%))))</f>
        <v>#VALUE!</v>
      </c>
      <c r="M65" s="23" t="e">
        <f t="shared" si="3"/>
        <v>#VALUE!</v>
      </c>
      <c r="N65" s="137" t="s">
        <v>2248</v>
      </c>
      <c r="Z65" s="2423"/>
      <c r="AI65" s="2424"/>
    </row>
    <row r="66" spans="1:35" ht="14.25" hidden="1" customHeight="1">
      <c r="A66" s="203" t="s">
        <v>772</v>
      </c>
      <c r="B66" s="204" t="s">
        <v>2251</v>
      </c>
      <c r="C66" s="205"/>
      <c r="D66" s="206" t="s">
        <v>32</v>
      </c>
      <c r="E66" s="1772" t="s">
        <v>1372</v>
      </c>
      <c r="F66" s="2489"/>
      <c r="G66" s="2489"/>
      <c r="H66" s="2497"/>
      <c r="I66" s="137"/>
      <c r="J66" s="3088"/>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111678</v>
      </c>
      <c r="D67" s="200" t="s">
        <v>32</v>
      </c>
      <c r="E67" s="201"/>
      <c r="F67" s="2489"/>
      <c r="G67" s="2489"/>
      <c r="H67" s="2497"/>
      <c r="I67" s="137"/>
      <c r="J67" s="3088"/>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6757</v>
      </c>
      <c r="D68" s="211">
        <f>'数据-取费表'!B41</f>
        <v>6.0499999999999998E-2</v>
      </c>
      <c r="E68" s="212"/>
      <c r="F68" s="2489"/>
      <c r="G68" s="2489"/>
      <c r="H68" s="2497"/>
      <c r="I68" s="137"/>
      <c r="J68" s="3088"/>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088"/>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2" t="s">
        <v>2259</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3" t="s">
        <v>2240</v>
      </c>
      <c r="B71" s="3124"/>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111678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614</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29" t="s">
        <v>2268</v>
      </c>
      <c r="F76" s="3128"/>
      <c r="G76" s="3128"/>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614</v>
      </c>
      <c r="D78" s="226">
        <f>'数据-取费表'!B43</f>
        <v>5.5000000000000005E-3</v>
      </c>
      <c r="E78" s="3120" t="s">
        <v>2273</v>
      </c>
      <c r="F78" s="3121"/>
      <c r="G78" s="3121"/>
      <c r="H78" s="312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111064</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180.88599348534203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66424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2" t="s">
        <v>2277</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23" t="s">
        <v>2240</v>
      </c>
      <c r="B84" s="3124"/>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111678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614</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120" t="s">
        <v>2286</v>
      </c>
      <c r="F91" s="3121"/>
      <c r="G91" s="3121"/>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120" t="s">
        <v>2290</v>
      </c>
      <c r="F92" s="3121"/>
      <c r="G92" s="3121"/>
      <c r="H92" s="312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614</v>
      </c>
      <c r="D93" s="226">
        <f>'数据-取费表'!B43</f>
        <v>5.5000000000000005E-3</v>
      </c>
      <c r="E93" s="3120" t="s">
        <v>2273</v>
      </c>
      <c r="F93" s="3121"/>
      <c r="G93" s="3121"/>
      <c r="H93" s="312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168" t="s">
        <v>2294</v>
      </c>
      <c r="F94" s="3169"/>
      <c r="G94" s="3169"/>
      <c r="H94" s="31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111064</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180.88599348534203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66424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2" t="s">
        <v>2296</v>
      </c>
      <c r="B100" s="3073"/>
      <c r="C100" s="3073"/>
      <c r="D100" s="3104"/>
      <c r="E100" s="3073" t="s">
        <v>2297</v>
      </c>
      <c r="F100" s="3073"/>
      <c r="G100" s="3073"/>
      <c r="H100" s="3104"/>
      <c r="I100" s="137"/>
    </row>
    <row r="101" spans="1:35" ht="36" customHeight="1">
      <c r="A101" s="3112" t="s">
        <v>2298</v>
      </c>
      <c r="B101" s="3113"/>
      <c r="C101" s="736" t="str">
        <f>C4</f>
        <v>成本法</v>
      </c>
      <c r="D101" s="737" t="str">
        <f>D4</f>
        <v>收益法（汇总）</v>
      </c>
      <c r="E101" s="3084" t="s">
        <v>2299</v>
      </c>
      <c r="F101" s="3085"/>
      <c r="G101" s="2520" t="s">
        <v>2300</v>
      </c>
      <c r="H101" s="1045">
        <f ca="1">H118</f>
        <v>117820</v>
      </c>
      <c r="I101" s="137"/>
      <c r="J101" s="795">
        <v>117555</v>
      </c>
    </row>
    <row r="102" spans="1:35" ht="18.75" customHeight="1">
      <c r="A102" s="3114" t="s">
        <v>2301</v>
      </c>
      <c r="B102" s="2520" t="s">
        <v>2300</v>
      </c>
      <c r="C102" s="736">
        <f ca="1">C19</f>
        <v>132434</v>
      </c>
      <c r="D102" s="737">
        <f ca="1">D19</f>
        <v>137395</v>
      </c>
      <c r="E102" s="3084"/>
      <c r="F102" s="3085"/>
      <c r="G102" s="2520" t="s">
        <v>2302</v>
      </c>
      <c r="H102" s="371">
        <f ca="1">I118</f>
        <v>10075</v>
      </c>
      <c r="I102" s="137"/>
      <c r="J102" s="795">
        <f ca="1">J101-H101</f>
        <v>-265</v>
      </c>
    </row>
    <row r="103" spans="1:35" ht="42.75" customHeight="1">
      <c r="A103" s="3114"/>
      <c r="B103" s="2520" t="s">
        <v>2302</v>
      </c>
      <c r="C103" s="738">
        <f ca="1">C20</f>
        <v>11325</v>
      </c>
      <c r="D103" s="739">
        <f ca="1">D20</f>
        <v>11749</v>
      </c>
      <c r="E103" s="3078" t="s">
        <v>2303</v>
      </c>
      <c r="F103" s="3079"/>
      <c r="G103" s="2521" t="s">
        <v>2304</v>
      </c>
      <c r="H103" s="1045">
        <f>IF(D36="正常操作",H104+H105+H106,H105+H106)</f>
        <v>0</v>
      </c>
      <c r="I103" s="137"/>
    </row>
    <row r="104" spans="1:35" ht="18.75" customHeight="1">
      <c r="A104" s="3114" t="s">
        <v>2305</v>
      </c>
      <c r="B104" s="2522" t="s">
        <v>2300</v>
      </c>
      <c r="C104" s="740">
        <f ca="1">H118</f>
        <v>117820</v>
      </c>
      <c r="D104" s="741"/>
      <c r="E104" s="2267" t="s">
        <v>2306</v>
      </c>
      <c r="F104" s="2258"/>
      <c r="G104" s="2521" t="s">
        <v>2304</v>
      </c>
      <c r="H104" s="1046">
        <f>IF(D36="同一抵押权人同一抵押物续贷",C36&amp;"（未扣减，详见特别提示）",C36)</f>
        <v>0</v>
      </c>
      <c r="I104" s="137"/>
    </row>
    <row r="105" spans="1:35" ht="18.75" customHeight="1" thickBot="1">
      <c r="A105" s="3126"/>
      <c r="B105" s="2523" t="s">
        <v>2302</v>
      </c>
      <c r="C105" s="742">
        <f ca="1">I118</f>
        <v>10075</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5" t="str">
        <f>IF(项目基本情况!E8="已注销","——","3.房地产抵押价值")</f>
        <v>3.房地产抵押价值</v>
      </c>
      <c r="F107" s="3085"/>
      <c r="G107" s="2520" t="s">
        <v>2300</v>
      </c>
      <c r="H107" s="1045">
        <f ca="1">IF(E107="——","——",H101-H103)</f>
        <v>117820</v>
      </c>
      <c r="I107" s="137"/>
    </row>
    <row r="108" spans="1:35" ht="18.75" customHeight="1">
      <c r="A108" s="137"/>
      <c r="B108" s="137"/>
      <c r="C108" s="137"/>
      <c r="D108" s="137"/>
      <c r="E108" s="3115"/>
      <c r="F108" s="3085"/>
      <c r="G108" s="2520" t="s">
        <v>2302</v>
      </c>
      <c r="H108" s="371">
        <f ca="1">ROUND(H107*10000/'数据-汇总表'!E3,0)</f>
        <v>10075</v>
      </c>
      <c r="I108" s="137"/>
    </row>
    <row r="109" spans="1:35" ht="18.75"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0" t="s">
        <v>2300</v>
      </c>
      <c r="H109" s="348" t="str">
        <f>IF(E109="——","——",H101-H105-H106)</f>
        <v>——</v>
      </c>
      <c r="I109" s="137"/>
    </row>
    <row r="110" spans="1:35" ht="18.75" customHeight="1">
      <c r="A110" s="137"/>
      <c r="B110" s="137"/>
      <c r="C110" s="137"/>
      <c r="D110" s="137"/>
      <c r="E110" s="3115"/>
      <c r="F110" s="3085"/>
      <c r="G110" s="2520" t="s">
        <v>2302</v>
      </c>
      <c r="H110" s="371" t="str">
        <f>IF(H109="——","——",ROUND(H109*10000/'数据-汇总表'!E3,0))</f>
        <v>——</v>
      </c>
      <c r="I110" s="137"/>
    </row>
    <row r="111" spans="1:35" ht="18.75" customHeight="1">
      <c r="A111" s="137"/>
      <c r="B111" s="137"/>
      <c r="C111" s="137"/>
      <c r="D111" s="137"/>
      <c r="E111" s="3116" t="str">
        <f>IF(项目基本情况!E9="抵押净值",IF(OR(项目基本情况!E8="已注销",项目基本情况!E8="房地产抵押价值"),"4.抵押净值","5.抵押净值"),"——")</f>
        <v>——</v>
      </c>
      <c r="F111" s="3117"/>
      <c r="G111" s="2520" t="s">
        <v>2300</v>
      </c>
      <c r="H111" s="1045" t="str">
        <f>IF(E111="——","——",N59)</f>
        <v>——</v>
      </c>
      <c r="I111" s="137"/>
    </row>
    <row r="112" spans="1:35" ht="18.75" customHeight="1" thickBot="1">
      <c r="A112" s="137"/>
      <c r="B112" s="137"/>
      <c r="C112" s="137"/>
      <c r="D112" s="137"/>
      <c r="E112" s="3118"/>
      <c r="F112" s="3119"/>
      <c r="G112" s="2525" t="s">
        <v>2302</v>
      </c>
      <c r="H112" s="790" t="str">
        <f>IF(E111="——","——",N61)</f>
        <v>——</v>
      </c>
      <c r="I112" s="137"/>
    </row>
    <row r="113" spans="1:11" ht="18.75" customHeight="1">
      <c r="A113" s="137"/>
      <c r="B113" s="137"/>
      <c r="C113" s="137"/>
      <c r="D113" s="137"/>
      <c r="E113" s="3127" t="s">
        <v>2308</v>
      </c>
      <c r="F113" s="3127"/>
      <c r="G113" s="3127"/>
      <c r="H113" s="3127"/>
      <c r="I113" s="137"/>
    </row>
    <row r="114" spans="1:11" ht="3.75" customHeight="1">
      <c r="A114" s="2418"/>
      <c r="B114" s="2418"/>
      <c r="C114" s="2418"/>
      <c r="D114" s="2418"/>
      <c r="E114" s="2496"/>
      <c r="F114" s="2496"/>
      <c r="G114" s="2496"/>
      <c r="H114" s="2496"/>
      <c r="I114" s="2418"/>
    </row>
    <row r="115" spans="1:11" ht="18.75" customHeight="1">
      <c r="A115" s="3140" t="s">
        <v>2310</v>
      </c>
      <c r="B115" s="3141"/>
      <c r="C115" s="3141"/>
      <c r="D115" s="3141"/>
      <c r="E115" s="3141"/>
      <c r="F115" s="3141"/>
      <c r="G115" s="3141"/>
      <c r="H115" s="3141"/>
      <c r="I115" s="3142"/>
    </row>
    <row r="116" spans="1:11" ht="27" customHeight="1">
      <c r="A116" s="3051" t="s">
        <v>2311</v>
      </c>
      <c r="B116" s="3094" t="s">
        <v>3154</v>
      </c>
      <c r="C116" s="3094" t="s">
        <v>3155</v>
      </c>
      <c r="D116" s="3100" t="s">
        <v>2312</v>
      </c>
      <c r="E116" s="3101"/>
      <c r="F116" s="3136" t="s">
        <v>2313</v>
      </c>
      <c r="G116" s="3136"/>
      <c r="H116" s="3051" t="s">
        <v>2314</v>
      </c>
      <c r="I116" s="3051"/>
    </row>
    <row r="117" spans="1:11" ht="18.75" customHeight="1">
      <c r="A117" s="3051"/>
      <c r="B117" s="3095"/>
      <c r="C117" s="3095"/>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56907</v>
      </c>
      <c r="E118" s="1794">
        <f ca="1">ROUND(IF(C33="自定义",IF(D32="楼面单价",C34,D118*10000/B118),I118-G118),0)</f>
        <v>4866</v>
      </c>
      <c r="F118" s="1794">
        <f ca="1">ROUND(IF(D32="总价",C35,G118*B118/10000),0)</f>
        <v>60913</v>
      </c>
      <c r="G118" s="1794">
        <f ca="1">ROUND(IF(D32="楼面单价",C35,F118*10000/B118),0)</f>
        <v>5209</v>
      </c>
      <c r="H118" s="1794">
        <f ca="1">ROUND(IF(D32="总价",C32,I118*B118/10000),0)</f>
        <v>117820</v>
      </c>
      <c r="I118" s="1794">
        <f ca="1">ROUND(IF(D32="楼面单价",C32,H118*10000/B118),0)</f>
        <v>10075</v>
      </c>
    </row>
    <row r="119" spans="1:11" ht="18.75" customHeight="1">
      <c r="A119" s="3051" t="s">
        <v>2318</v>
      </c>
      <c r="B119" s="3051"/>
      <c r="C119" s="3051"/>
      <c r="D119" s="3096" t="str">
        <f ca="1">NUMBERSTRING(INT(D118*10000),2)&amp;"元整"</f>
        <v>伍亿陆仟玖佰零柒万元整</v>
      </c>
      <c r="E119" s="3097"/>
      <c r="F119" s="3096" t="str">
        <f ca="1">NUMBERSTRING(INT(F118*10000),2)&amp;"元整"</f>
        <v>陆亿零玖佰壹拾叁万元整</v>
      </c>
      <c r="G119" s="3097"/>
      <c r="H119" s="3096" t="str">
        <f ca="1">NUMBERSTRING(INT(H118*10000),2)&amp;"元整"</f>
        <v>壹拾壹亿柒仟捌佰贰拾万元整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3" t="str">
        <f>IF(D120=0,"故，本次评估不存在"&amp;A120,"故，本次评估"&amp;A120&amp;"为人民币"&amp;D120&amp;"万元整。")</f>
        <v>故，本次评估不存在估价师知悉的法定优先受偿款</v>
      </c>
    </row>
    <row r="121" spans="1:11" ht="18.75" customHeight="1">
      <c r="A121" s="3137" t="s">
        <v>2318</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117820</v>
      </c>
      <c r="E122" s="3092"/>
      <c r="F122" s="3092"/>
      <c r="G122" s="3092"/>
      <c r="H122" s="3092"/>
      <c r="I122" s="3093"/>
    </row>
    <row r="123" spans="1:11" ht="18.75" customHeight="1">
      <c r="A123" s="3051" t="s">
        <v>2318</v>
      </c>
      <c r="B123" s="3051"/>
      <c r="C123" s="3051"/>
      <c r="D123" s="3096" t="str">
        <f ca="1">NUMBERSTRING(INT(D122*10000),2)&amp;"元整"</f>
        <v>壹拾壹亿柒仟捌佰贰拾万元整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2318</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2318</v>
      </c>
      <c r="B127" s="3051"/>
      <c r="C127" s="3051"/>
      <c r="D127" s="3096" t="e">
        <f>NUMBERSTRING(INT(D126*10000),2)&amp;"元整"</f>
        <v>#VALUE!</v>
      </c>
      <c r="E127" s="3098"/>
      <c r="F127" s="3098"/>
      <c r="G127" s="3098"/>
      <c r="H127" s="3098"/>
      <c r="I127" s="3097"/>
    </row>
    <row r="128" spans="1:11" ht="21.75" customHeight="1">
      <c r="A128" s="3099" t="s">
        <v>2319</v>
      </c>
      <c r="B128" s="3099"/>
      <c r="C128" s="3099"/>
      <c r="D128" s="3099"/>
      <c r="E128" s="3099"/>
      <c r="F128" s="3099"/>
      <c r="G128" s="3099"/>
      <c r="H128" s="3099"/>
      <c r="I128" s="3099"/>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13">
    <cfRule type="cellIs" dxfId="153" priority="9" stopIfTrue="1" operator="equal">
      <formula>15</formula>
    </cfRule>
  </conditionalFormatting>
  <conditionalFormatting sqref="C10:C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2" sqref="A4: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132434</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11325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41667</v>
      </c>
      <c r="D5" s="255" t="s">
        <v>2335</v>
      </c>
      <c r="E5" s="256" t="s">
        <v>2336</v>
      </c>
      <c r="F5" s="256" t="s">
        <v>2337</v>
      </c>
      <c r="G5" s="257"/>
    </row>
    <row r="6" spans="1:9" s="258" customFormat="1" ht="13.5" customHeight="1">
      <c r="A6" s="949" t="s">
        <v>2338</v>
      </c>
      <c r="B6" s="259" t="s">
        <v>2339</v>
      </c>
      <c r="C6" s="260">
        <f>'土地比较法-住宅、综合'!B2</f>
        <v>37937</v>
      </c>
      <c r="D6" s="261"/>
      <c r="E6" s="262"/>
      <c r="F6" s="262"/>
      <c r="G6" s="263"/>
    </row>
    <row r="7" spans="1:9" s="258" customFormat="1" ht="13.5" customHeight="1">
      <c r="A7" s="949" t="s">
        <v>2340</v>
      </c>
      <c r="B7" s="259" t="s">
        <v>2341</v>
      </c>
      <c r="C7" s="264">
        <f>ROUND(C6*F7,0)</f>
        <v>1157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3147</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3148</v>
      </c>
      <c r="H9" s="2982">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3149</v>
      </c>
    </row>
    <row r="20" spans="1:7" s="258" customFormat="1" ht="13.5" customHeight="1">
      <c r="A20" s="299" t="s">
        <v>2359</v>
      </c>
      <c r="B20" s="254" t="s">
        <v>2360</v>
      </c>
      <c r="C20" s="276">
        <f ca="1">ROUND((C5+C19)*F20,0)</f>
        <v>1250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6314</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90</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8583</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8583</v>
      </c>
      <c r="D28" s="279"/>
      <c r="E28" s="280"/>
      <c r="F28" s="290"/>
      <c r="G28" s="291"/>
    </row>
    <row r="29" spans="1:7" s="258" customFormat="1" ht="13.5" customHeight="1">
      <c r="A29" s="951"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63918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57332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52625</v>
      </c>
      <c r="D34" s="261"/>
      <c r="E34" s="264"/>
      <c r="F34" s="301">
        <f ca="1">IF('数据-取费表'!B24=0,1,IF(B1="",'数据-取费表'!N16,INDIRECT("'数据-取费表'!n"&amp;$G$1)))</f>
        <v>1</v>
      </c>
      <c r="G34" s="263" t="s">
        <v>2392</v>
      </c>
    </row>
    <row r="35" spans="1:7" ht="13.5" customHeight="1">
      <c r="A35" s="951" t="s">
        <v>796</v>
      </c>
      <c r="B35" s="259" t="s">
        <v>2393</v>
      </c>
      <c r="C35" s="264">
        <f ca="1">ROUND(C34*F35,0)</f>
        <v>1579</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789</v>
      </c>
      <c r="D38" s="264"/>
      <c r="E38" s="264"/>
      <c r="F38" s="303">
        <f>'数据-取费表'!B36</f>
        <v>1.4999999999999999E-2</v>
      </c>
      <c r="G38" s="263" t="s">
        <v>2394</v>
      </c>
    </row>
    <row r="39" spans="1:7" s="258" customFormat="1" ht="13.5" customHeight="1">
      <c r="A39" s="299" t="s">
        <v>2400</v>
      </c>
      <c r="B39" s="254" t="s">
        <v>2401</v>
      </c>
      <c r="C39" s="276">
        <f ca="1">ROUND(C33*F20,0)</f>
        <v>1720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4133</v>
      </c>
      <c r="D42" s="282"/>
      <c r="E42" s="282"/>
      <c r="F42" s="283"/>
      <c r="G42" s="3171" t="s">
        <v>2410</v>
      </c>
    </row>
    <row r="43" spans="1:7" ht="13.5" customHeight="1">
      <c r="A43" s="951" t="s">
        <v>792</v>
      </c>
      <c r="B43" s="259" t="s">
        <v>2411</v>
      </c>
      <c r="C43" s="282">
        <f ca="1">ROUND(IF('数据-取费表'!B22&lt;=1,C39*F22*'数据-取费表'!B21/2,C39*(POWER((1+F22),'数据-取费表'!B21/2)-1)),0)</f>
        <v>124</v>
      </c>
      <c r="D43" s="282"/>
      <c r="E43" s="282"/>
      <c r="F43" s="283"/>
      <c r="G43" s="3172"/>
    </row>
    <row r="44" spans="1:7" ht="13.5" customHeight="1">
      <c r="A44" s="951" t="s">
        <v>793</v>
      </c>
      <c r="B44" s="259" t="s">
        <v>2412</v>
      </c>
      <c r="C44" s="282">
        <f ca="1">ROUND(IF('数据-取费表'!B22&lt;=1,C40*F22*'数据-取费表'!B21/2,C40*(POWER((1+F22),'数据-取费表'!B21/2)-1)),4)</f>
        <v>2.2000000000000001E-3</v>
      </c>
      <c r="D44" s="282"/>
      <c r="E44" s="282"/>
      <c r="F44" s="283"/>
      <c r="G44" s="3173"/>
    </row>
    <row r="45" spans="1:7" s="258" customFormat="1" ht="13.5" customHeight="1">
      <c r="A45" s="299" t="s">
        <v>2413</v>
      </c>
      <c r="B45" s="288" t="s">
        <v>2379</v>
      </c>
      <c r="C45" s="289">
        <f ca="1">C46</f>
        <v>11810</v>
      </c>
      <c r="D45" s="279">
        <f ca="1">C47</f>
        <v>6.0000000000000001E-3</v>
      </c>
      <c r="E45" s="280" t="s">
        <v>2405</v>
      </c>
      <c r="F45" s="290"/>
      <c r="G45" s="291" t="s">
        <v>2414</v>
      </c>
    </row>
    <row r="46" spans="1:7" s="258" customFormat="1" ht="13.5" customHeight="1">
      <c r="A46" s="951" t="s">
        <v>791</v>
      </c>
      <c r="B46" s="292" t="s">
        <v>2415</v>
      </c>
      <c r="C46" s="293">
        <f ca="1">ROUND((C33+C39)*F27,0)</f>
        <v>11810</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5.7299999999999997E-2</v>
      </c>
      <c r="D48" s="280" t="s">
        <v>2405</v>
      </c>
      <c r="E48" s="276"/>
      <c r="F48" s="281"/>
      <c r="G48" s="278" t="s">
        <v>2418</v>
      </c>
    </row>
    <row r="49" spans="1:7" ht="16.5" customHeight="1">
      <c r="A49" s="299" t="s">
        <v>2384</v>
      </c>
      <c r="B49" s="254" t="s">
        <v>2419</v>
      </c>
      <c r="C49" s="276">
        <f ca="1">ROUND((C33+C39+C41+C45)/(1-C40-D41-D45-C48),0)</f>
        <v>83050</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68516</v>
      </c>
      <c r="D51" s="276"/>
      <c r="E51" s="276"/>
      <c r="F51" s="308"/>
      <c r="G51" s="278" t="s">
        <v>2426</v>
      </c>
    </row>
    <row r="52" spans="1:7" s="252" customFormat="1" ht="16.5" thickBot="1">
      <c r="A52" s="309" t="s">
        <v>2427</v>
      </c>
      <c r="B52" s="310"/>
      <c r="C52" s="311">
        <f ca="1">C31+C51</f>
        <v>132434</v>
      </c>
      <c r="D52" s="310"/>
      <c r="E52" s="310"/>
      <c r="F52" s="310"/>
      <c r="G52" s="312"/>
    </row>
    <row r="55" spans="1:7" ht="15">
      <c r="B55" s="314" t="s">
        <v>2428</v>
      </c>
      <c r="C55" s="315"/>
    </row>
    <row r="56" spans="1:7">
      <c r="B56" s="317" t="s">
        <v>1515</v>
      </c>
      <c r="C56" s="319">
        <f ca="1">1-C57</f>
        <v>0.48299999999999998</v>
      </c>
    </row>
    <row r="57" spans="1:7">
      <c r="B57" s="317" t="s">
        <v>1516</v>
      </c>
      <c r="C57" s="318">
        <f ca="1">ROUND(C51/C52,3)</f>
        <v>0.51700000000000002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预评估</v>
      </c>
      <c r="C37" s="2985"/>
      <c r="D37" s="2985"/>
      <c r="E37" s="2985"/>
      <c r="F37" s="2985"/>
      <c r="G37" s="2985"/>
      <c r="H37" s="2985"/>
      <c r="I37" s="298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76051</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6503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10118008</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10118008</v>
      </c>
      <c r="D28" s="279"/>
      <c r="E28" s="280"/>
      <c r="F28" s="290"/>
      <c r="G28" s="291"/>
    </row>
    <row r="29" spans="1:7" s="258" customFormat="1" ht="13.5" customHeight="1">
      <c r="A29" s="951"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75346711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573318695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526248675</v>
      </c>
      <c r="D34" s="261"/>
      <c r="E34" s="264"/>
      <c r="F34" s="301"/>
      <c r="G34" s="263"/>
    </row>
    <row r="35" spans="1:7" ht="13.5" customHeight="1">
      <c r="A35" s="951" t="s">
        <v>796</v>
      </c>
      <c r="B35" s="259" t="s">
        <v>2393</v>
      </c>
      <c r="C35" s="264">
        <f ca="1">ROUND(C34*F35,0)</f>
        <v>15787460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7893730</v>
      </c>
      <c r="D38" s="264"/>
      <c r="E38" s="264"/>
      <c r="F38" s="303">
        <f>'数据-取费表'!B36</f>
        <v>1.4999999999999999E-2</v>
      </c>
      <c r="G38" s="263" t="s">
        <v>2394</v>
      </c>
    </row>
    <row r="39" spans="1:7" s="258" customFormat="1" ht="13.5" customHeight="1">
      <c r="A39" s="299" t="s">
        <v>2400</v>
      </c>
      <c r="B39" s="254" t="s">
        <v>2401</v>
      </c>
      <c r="C39" s="276">
        <f ca="1">ROUND(C33*F20,0)</f>
        <v>17199561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42570173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41330265</v>
      </c>
      <c r="D42" s="282"/>
      <c r="E42" s="282"/>
      <c r="F42" s="283"/>
      <c r="G42" s="3171" t="s">
        <v>2457</v>
      </c>
    </row>
    <row r="43" spans="1:7" ht="13.5" customHeight="1">
      <c r="A43" s="951" t="s">
        <v>792</v>
      </c>
      <c r="B43" s="259" t="s">
        <v>2411</v>
      </c>
      <c r="C43" s="282">
        <f ca="1">ROUND(IF('数据-取费表'!B22&lt;=1,C39*F22*'数据-取费表'!B20/2,C39*(POWER((1+F22),'数据-取费表'!B20/2)-1)),0)</f>
        <v>1239908</v>
      </c>
      <c r="D43" s="282"/>
      <c r="E43" s="282"/>
      <c r="F43" s="283"/>
      <c r="G43" s="3172"/>
    </row>
    <row r="44" spans="1:7" ht="13.5" customHeight="1">
      <c r="A44" s="951" t="s">
        <v>793</v>
      </c>
      <c r="B44" s="259" t="s">
        <v>2412</v>
      </c>
      <c r="C44" s="282">
        <f ca="1">ROUND(IF('数据-取费表'!B22&lt;=1,C40*F22*'数据-取费表'!B20/2,C40*(POWER((1+F22),'数据-取费表'!B20/2)-1)),4)</f>
        <v>2.2000000000000001E-3</v>
      </c>
      <c r="D44" s="282"/>
      <c r="E44" s="282"/>
      <c r="F44" s="283"/>
      <c r="G44" s="3173"/>
    </row>
    <row r="45" spans="1:7" s="258" customFormat="1" ht="13.5" customHeight="1">
      <c r="A45" s="299" t="s">
        <v>2413</v>
      </c>
      <c r="B45" s="288" t="s">
        <v>2379</v>
      </c>
      <c r="C45" s="289">
        <f ca="1">C46</f>
        <v>118103651</v>
      </c>
      <c r="D45" s="279">
        <f ca="1">C47</f>
        <v>6.0000000000000001E-3</v>
      </c>
      <c r="E45" s="280" t="s">
        <v>2405</v>
      </c>
      <c r="F45" s="290"/>
      <c r="G45" s="291" t="s">
        <v>2414</v>
      </c>
    </row>
    <row r="46" spans="1:7" s="258" customFormat="1" ht="13.5" customHeight="1">
      <c r="A46" s="951" t="s">
        <v>791</v>
      </c>
      <c r="B46" s="292" t="s">
        <v>2415</v>
      </c>
      <c r="C46" s="293">
        <f ca="1">ROUND((C33+C39)*F27,0)</f>
        <v>118103651</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5.7299999999999997E-2</v>
      </c>
      <c r="D48" s="280" t="s">
        <v>2405</v>
      </c>
      <c r="E48" s="276"/>
      <c r="F48" s="281"/>
      <c r="G48" s="278" t="s">
        <v>2418</v>
      </c>
    </row>
    <row r="49" spans="1:7" ht="16.5" customHeight="1">
      <c r="A49" s="299" t="s">
        <v>2384</v>
      </c>
      <c r="B49" s="254" t="s">
        <v>2458</v>
      </c>
      <c r="C49" s="276">
        <f ca="1">ROUND((C33+C39+C41+C45)/(1-C40-D41-D45-C48),0)</f>
        <v>830505340</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685166906</v>
      </c>
      <c r="D51" s="276"/>
      <c r="E51" s="276"/>
      <c r="F51" s="308"/>
      <c r="G51" s="278" t="s">
        <v>2426</v>
      </c>
    </row>
    <row r="52" spans="1:7" s="252" customFormat="1" ht="16.5" thickBot="1">
      <c r="A52" s="309" t="s">
        <v>2427</v>
      </c>
      <c r="B52" s="310"/>
      <c r="C52" s="311">
        <f ca="1">C31+C51</f>
        <v>760513617</v>
      </c>
      <c r="D52" s="310"/>
      <c r="E52" s="310"/>
      <c r="F52" s="310"/>
      <c r="G52" s="312"/>
    </row>
    <row r="55" spans="1:7" ht="15">
      <c r="B55" s="314" t="s">
        <v>2428</v>
      </c>
      <c r="C55" s="315"/>
    </row>
    <row r="56" spans="1:7">
      <c r="B56" s="317" t="s">
        <v>1515</v>
      </c>
      <c r="C56" s="319">
        <f ca="1">1-C57</f>
        <v>9.8999999999999977E-2</v>
      </c>
    </row>
    <row r="57" spans="1:7">
      <c r="B57" s="317" t="s">
        <v>1516</v>
      </c>
      <c r="C57" s="318">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2.8899999999999999E-2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6.0499999999999998E-2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5" zoomScale="90" zoomScaleNormal="90" workbookViewId="0">
      <selection activeCell="I17" sqref="I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37937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3244</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30" ht="15">
      <c r="A5" s="404"/>
      <c r="B5" s="405"/>
      <c r="C5" s="3185" t="s">
        <v>2543</v>
      </c>
      <c r="D5" s="3186"/>
      <c r="E5" s="3183" t="str">
        <f>案例!A35</f>
        <v>武清区新城福源道东侧</v>
      </c>
      <c r="F5" s="3184"/>
      <c r="G5" s="3185" t="str">
        <f>案例!A36</f>
        <v>武清区新城泉州路东侧</v>
      </c>
      <c r="H5" s="3186"/>
      <c r="I5" s="3185" t="str">
        <f>案例!A37</f>
        <v>武清区徐官屯街京津公路东侧</v>
      </c>
      <c r="J5" s="3186"/>
      <c r="K5" s="610"/>
      <c r="L5" s="1130"/>
      <c r="M5" s="1131"/>
      <c r="N5" s="1131"/>
      <c r="O5" s="1131"/>
      <c r="P5" s="3198"/>
      <c r="Q5" s="3199"/>
      <c r="R5" s="3181"/>
      <c r="S5" s="3182"/>
      <c r="T5" s="3181"/>
      <c r="U5" s="3182"/>
      <c r="V5" s="3204"/>
      <c r="W5" s="3204"/>
      <c r="X5" s="1812"/>
      <c r="Y5" s="3181"/>
      <c r="Z5" s="3182"/>
      <c r="AA5" s="3175"/>
      <c r="AB5" s="3175"/>
      <c r="AC5" s="3175"/>
    </row>
    <row r="6" spans="1:30"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177" t="s">
        <v>2550</v>
      </c>
      <c r="Q7" s="3205"/>
      <c r="R7" s="770" t="s">
        <v>17</v>
      </c>
      <c r="S7" s="771">
        <f t="shared" ref="S7:S15" si="0">F7</f>
        <v>98</v>
      </c>
      <c r="T7" s="770" t="s">
        <v>17</v>
      </c>
      <c r="U7" s="771">
        <f t="shared" ref="U7:U15" si="1">H7</f>
        <v>98</v>
      </c>
      <c r="V7" s="770" t="s">
        <v>17</v>
      </c>
      <c r="W7" s="771">
        <f t="shared" ref="W7:W15" si="2">J7</f>
        <v>97</v>
      </c>
      <c r="X7" s="772"/>
      <c r="Y7" s="3177" t="s">
        <v>2550</v>
      </c>
      <c r="Z7" s="3178"/>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77" t="s">
        <v>2553</v>
      </c>
      <c r="Q8" s="3178"/>
      <c r="R8" s="770" t="s">
        <v>17</v>
      </c>
      <c r="S8" s="771">
        <f t="shared" si="0"/>
        <v>100</v>
      </c>
      <c r="T8" s="770" t="s">
        <v>17</v>
      </c>
      <c r="U8" s="771">
        <f t="shared" si="1"/>
        <v>100</v>
      </c>
      <c r="V8" s="770" t="s">
        <v>17</v>
      </c>
      <c r="W8" s="771">
        <f t="shared" si="2"/>
        <v>100</v>
      </c>
      <c r="X8" s="772"/>
      <c r="Y8" s="3177" t="s">
        <v>2553</v>
      </c>
      <c r="Z8" s="3178"/>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91" t="s">
        <v>2556</v>
      </c>
      <c r="Q9" s="1794" t="str">
        <f t="shared" ref="Q9:Q15" si="6">B9</f>
        <v>用途</v>
      </c>
      <c r="R9" s="770" t="s">
        <v>17</v>
      </c>
      <c r="S9" s="771">
        <f t="shared" si="0"/>
        <v>102</v>
      </c>
      <c r="T9" s="770" t="s">
        <v>17</v>
      </c>
      <c r="U9" s="771">
        <f t="shared" si="1"/>
        <v>102</v>
      </c>
      <c r="V9" s="770" t="s">
        <v>17</v>
      </c>
      <c r="W9" s="771">
        <f t="shared" si="2"/>
        <v>102</v>
      </c>
      <c r="X9" s="772"/>
      <c r="Y9" s="3051"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113</v>
      </c>
      <c r="G10" s="463"/>
      <c r="H10" s="135">
        <f>ROUND(100/'数据-取费表'!G16,0)</f>
        <v>113</v>
      </c>
      <c r="I10" s="463"/>
      <c r="J10" s="135">
        <f>ROUND(100/'数据-取费表'!G16,0)</f>
        <v>113</v>
      </c>
      <c r="K10" s="672"/>
      <c r="L10" s="1135"/>
      <c r="M10" s="1136"/>
      <c r="N10" s="1136"/>
      <c r="O10" s="1137"/>
      <c r="P10" s="3191"/>
      <c r="Q10" s="1794" t="str">
        <f t="shared" si="6"/>
        <v>土地使用年限（年）</v>
      </c>
      <c r="R10" s="770" t="s">
        <v>17</v>
      </c>
      <c r="S10" s="771">
        <f t="shared" si="0"/>
        <v>113</v>
      </c>
      <c r="T10" s="770" t="s">
        <v>17</v>
      </c>
      <c r="U10" s="771">
        <f t="shared" si="1"/>
        <v>113</v>
      </c>
      <c r="V10" s="770" t="s">
        <v>17</v>
      </c>
      <c r="W10" s="771">
        <f t="shared" si="2"/>
        <v>113</v>
      </c>
      <c r="X10" s="772"/>
      <c r="Y10" s="3051"/>
      <c r="Z10" s="54" t="str">
        <f t="shared" si="7"/>
        <v>土地使用年限（年）</v>
      </c>
      <c r="AA10" s="773">
        <f t="shared" si="3"/>
        <v>0.88495575221238942</v>
      </c>
      <c r="AB10" s="773">
        <f t="shared" si="4"/>
        <v>0.88495575221238942</v>
      </c>
      <c r="AC10" s="773">
        <f t="shared" si="5"/>
        <v>0.88495575221238942</v>
      </c>
    </row>
    <row r="11" spans="1:30" ht="15">
      <c r="A11" s="428"/>
      <c r="B11" s="422" t="s">
        <v>2559</v>
      </c>
      <c r="C11" s="429">
        <v>0.84</v>
      </c>
      <c r="D11" s="135">
        <v>100</v>
      </c>
      <c r="E11" s="429">
        <v>2.5</v>
      </c>
      <c r="F11" s="135">
        <f>LOOKUP(E11,80:80,81:81)-LOOKUP(C11,80:80,81:81)+100</f>
        <v>96</v>
      </c>
      <c r="G11" s="430">
        <v>2.2000000000000002</v>
      </c>
      <c r="H11" s="135">
        <f>LOOKUP(G11,80:80,81:81)-LOOKUP(C11,80:80,81:81)+100</f>
        <v>96</v>
      </c>
      <c r="I11" s="429">
        <v>1</v>
      </c>
      <c r="J11" s="135">
        <f>LOOKUP(I11,80:80,81:81)-LOOKUP(C11,80:80,81:81)+100</f>
        <v>98</v>
      </c>
      <c r="K11" s="673">
        <v>2</v>
      </c>
      <c r="L11" s="1138"/>
      <c r="M11" s="1131"/>
      <c r="N11" s="1131"/>
      <c r="O11" s="1139"/>
      <c r="P11" s="3191"/>
      <c r="Q11" s="1794" t="str">
        <f t="shared" si="6"/>
        <v>容积率</v>
      </c>
      <c r="R11" s="770" t="s">
        <v>17</v>
      </c>
      <c r="S11" s="771">
        <f t="shared" si="0"/>
        <v>96</v>
      </c>
      <c r="T11" s="770" t="s">
        <v>17</v>
      </c>
      <c r="U11" s="771">
        <f t="shared" si="1"/>
        <v>96</v>
      </c>
      <c r="V11" s="770" t="s">
        <v>17</v>
      </c>
      <c r="W11" s="771">
        <f t="shared" si="2"/>
        <v>98</v>
      </c>
      <c r="X11" s="772"/>
      <c r="Y11" s="3051"/>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91"/>
      <c r="Q12" s="1794" t="str">
        <f t="shared" si="6"/>
        <v>配建</v>
      </c>
      <c r="R12" s="770" t="s">
        <v>17</v>
      </c>
      <c r="S12" s="771">
        <f t="shared" si="0"/>
        <v>100</v>
      </c>
      <c r="T12" s="770" t="s">
        <v>17</v>
      </c>
      <c r="U12" s="771">
        <f t="shared" si="1"/>
        <v>100</v>
      </c>
      <c r="V12" s="770" t="s">
        <v>17</v>
      </c>
      <c r="W12" s="771">
        <f t="shared" si="2"/>
        <v>100</v>
      </c>
      <c r="X12" s="772"/>
      <c r="Y12" s="3051"/>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6" t="s">
        <v>2561</v>
      </c>
      <c r="Q15" s="1809" t="str">
        <f t="shared" si="6"/>
        <v>居住社区成熟度</v>
      </c>
      <c r="R15" s="774" t="s">
        <v>17</v>
      </c>
      <c r="S15" s="775">
        <f t="shared" si="0"/>
        <v>100</v>
      </c>
      <c r="T15" s="774" t="s">
        <v>17</v>
      </c>
      <c r="U15" s="775">
        <f t="shared" si="1"/>
        <v>100</v>
      </c>
      <c r="V15" s="774" t="s">
        <v>17</v>
      </c>
      <c r="W15" s="775">
        <f t="shared" si="2"/>
        <v>100</v>
      </c>
      <c r="X15" s="1812"/>
      <c r="Y15" s="3206"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3103</v>
      </c>
      <c r="F17" s="450">
        <f>SUMIF(90:90,E18,91:91)-SUMIF(90:90,C18,91:91)+100</f>
        <v>100</v>
      </c>
      <c r="G17" s="452" t="s">
        <v>3140</v>
      </c>
      <c r="H17" s="455">
        <f>SUMIF(90:90,G18,91:91)-SUMIF(90:90,C18,91:91)+100</f>
        <v>100</v>
      </c>
      <c r="I17" s="2963" t="s">
        <v>3151</v>
      </c>
      <c r="J17" s="455">
        <f>SUMIF(90:90,I18,91:91)-SUMIF(90:90,C18,91:91)+100</f>
        <v>100</v>
      </c>
      <c r="K17" s="673">
        <v>1</v>
      </c>
      <c r="L17" s="1140"/>
      <c r="M17" s="1131"/>
      <c r="N17" s="1131"/>
      <c r="O17" s="1139"/>
      <c r="P17" s="3207"/>
      <c r="Q17" s="1809" t="str">
        <f>B17</f>
        <v>商业繁华度</v>
      </c>
      <c r="R17" s="774" t="s">
        <v>17</v>
      </c>
      <c r="S17" s="775">
        <f>F17</f>
        <v>100</v>
      </c>
      <c r="T17" s="774" t="s">
        <v>17</v>
      </c>
      <c r="U17" s="775">
        <f>H17</f>
        <v>100</v>
      </c>
      <c r="V17" s="774" t="s">
        <v>17</v>
      </c>
      <c r="W17" s="775">
        <f>J17</f>
        <v>100</v>
      </c>
      <c r="X17" s="1812"/>
      <c r="Y17" s="3207"/>
      <c r="Z17" s="1813" t="str">
        <f>Q17</f>
        <v>商业繁华度</v>
      </c>
      <c r="AA17" s="1810">
        <f t="shared" si="3"/>
        <v>1</v>
      </c>
      <c r="AB17" s="1810">
        <f t="shared" si="4"/>
        <v>1</v>
      </c>
      <c r="AC17" s="1810">
        <f t="shared" si="5"/>
        <v>1</v>
      </c>
    </row>
    <row r="18" spans="1:29" ht="15">
      <c r="A18" s="428"/>
      <c r="B18" s="456"/>
      <c r="C18" s="2610" t="s">
        <v>3093</v>
      </c>
      <c r="D18" s="450"/>
      <c r="E18" s="2610" t="s">
        <v>3093</v>
      </c>
      <c r="F18" s="450"/>
      <c r="G18" s="2610" t="s">
        <v>3093</v>
      </c>
      <c r="H18" s="448"/>
      <c r="I18" s="2610" t="s">
        <v>3093</v>
      </c>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7"/>
      <c r="Q19" s="1809" t="str">
        <f>B19</f>
        <v>办公集聚程度</v>
      </c>
      <c r="R19" s="774" t="s">
        <v>17</v>
      </c>
      <c r="S19" s="775">
        <f>F19</f>
        <v>100</v>
      </c>
      <c r="T19" s="774" t="s">
        <v>17</v>
      </c>
      <c r="U19" s="775">
        <f>H19</f>
        <v>100</v>
      </c>
      <c r="V19" s="774" t="s">
        <v>17</v>
      </c>
      <c r="W19" s="775">
        <f>J19</f>
        <v>100</v>
      </c>
      <c r="X19" s="1812"/>
      <c r="Y19" s="3207"/>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07"/>
      <c r="Q20" s="1809"/>
      <c r="R20" s="774"/>
      <c r="S20" s="775"/>
      <c r="T20" s="774"/>
      <c r="U20" s="775"/>
      <c r="V20" s="774"/>
      <c r="W20" s="775"/>
      <c r="X20" s="1812"/>
      <c r="Y20" s="3207"/>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3164</v>
      </c>
      <c r="F21" s="455">
        <f>SUMIF(94:94,E22,95:95)-SUMIF(94:94,C22,95:95)+100</f>
        <v>100</v>
      </c>
      <c r="G21" s="2979" t="str">
        <f>C21</f>
        <v>估价对象周边有737路、武清3路，公交便捷度一般，路网密集程度一般，停车较便捷，综合评价交通便捷度一般。</v>
      </c>
      <c r="H21" s="450">
        <f>SUMIF(94:94,G22,95:95)-SUMIF(94:94,C22,95:95)+100</f>
        <v>100</v>
      </c>
      <c r="I21" s="452" t="s">
        <v>3152</v>
      </c>
      <c r="J21" s="450">
        <f>SUMIF(94:94,I22,95:95)-SUMIF(94:94,C22,95:95)+100</f>
        <v>100</v>
      </c>
      <c r="K21" s="673">
        <v>1</v>
      </c>
      <c r="L21" s="1140"/>
      <c r="M21" s="1131"/>
      <c r="N21" s="1131"/>
      <c r="O21" s="1139"/>
      <c r="P21" s="3207"/>
      <c r="Q21" s="1809" t="str">
        <f>B21</f>
        <v>交通便捷度</v>
      </c>
      <c r="R21" s="774" t="s">
        <v>17</v>
      </c>
      <c r="S21" s="775">
        <f>F21</f>
        <v>100</v>
      </c>
      <c r="T21" s="774" t="s">
        <v>17</v>
      </c>
      <c r="U21" s="775">
        <f>H21</f>
        <v>100</v>
      </c>
      <c r="V21" s="774" t="s">
        <v>17</v>
      </c>
      <c r="W21" s="775">
        <f>J21</f>
        <v>100</v>
      </c>
      <c r="X21" s="1812"/>
      <c r="Y21" s="3207"/>
      <c r="Z21" s="1813" t="str">
        <f>Q21</f>
        <v>交通便捷度</v>
      </c>
      <c r="AA21" s="1810">
        <f t="shared" si="3"/>
        <v>1</v>
      </c>
      <c r="AB21" s="1810">
        <f t="shared" si="4"/>
        <v>1</v>
      </c>
      <c r="AC21" s="1810">
        <f t="shared" si="5"/>
        <v>1</v>
      </c>
    </row>
    <row r="22" spans="1:29" ht="15">
      <c r="A22" s="428"/>
      <c r="B22" s="1384"/>
      <c r="C22" s="447" t="s">
        <v>3093</v>
      </c>
      <c r="D22" s="450"/>
      <c r="E22" s="447" t="s">
        <v>3093</v>
      </c>
      <c r="F22" s="448"/>
      <c r="G22" s="447" t="s">
        <v>3093</v>
      </c>
      <c r="H22" s="448"/>
      <c r="I22" s="447" t="s">
        <v>3093</v>
      </c>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ht="15">
      <c r="A23" s="404"/>
      <c r="B23" s="451" t="s">
        <v>2749</v>
      </c>
      <c r="C23" s="1389" t="str">
        <f>估价对象房地状况!C19</f>
        <v>较一致</v>
      </c>
      <c r="D23" s="455">
        <v>100</v>
      </c>
      <c r="E23" s="452"/>
      <c r="F23" s="455">
        <f>SUMIF(96:96,E24,97:97)-SUMIF(96:96,C24,97:97)+100</f>
        <v>100</v>
      </c>
      <c r="G23" s="2980"/>
      <c r="H23" s="455">
        <f>SUMIF(96:96,G24,97:97)-SUMIF(96:96,C24,97:97)+100</f>
        <v>100</v>
      </c>
      <c r="I23" s="454"/>
      <c r="J23" s="455">
        <f>SUMIF(96:96,I24,97:97)-SUMIF(96:96,C24,97:97)+100</f>
        <v>100</v>
      </c>
      <c r="K23" s="673"/>
      <c r="L23" s="1140"/>
      <c r="M23" s="1131"/>
      <c r="N23" s="1131"/>
      <c r="O23" s="1139"/>
      <c r="P23" s="3207"/>
      <c r="Q23" s="1809" t="str">
        <f t="shared" ref="Q23:Q37" si="8">B23</f>
        <v>区域土地利用方向</v>
      </c>
      <c r="R23" s="774" t="s">
        <v>17</v>
      </c>
      <c r="S23" s="775">
        <f>F23</f>
        <v>100</v>
      </c>
      <c r="T23" s="774" t="s">
        <v>17</v>
      </c>
      <c r="U23" s="775">
        <f>H23</f>
        <v>100</v>
      </c>
      <c r="V23" s="774" t="s">
        <v>17</v>
      </c>
      <c r="W23" s="775">
        <f>J23</f>
        <v>100</v>
      </c>
      <c r="X23" s="1812"/>
      <c r="Y23" s="3207"/>
      <c r="Z23" s="1813" t="str">
        <f>Q23</f>
        <v>区域土地利用方向</v>
      </c>
      <c r="AA23" s="1810">
        <f t="shared" si="3"/>
        <v>1</v>
      </c>
      <c r="AB23" s="1810">
        <f t="shared" si="4"/>
        <v>1</v>
      </c>
      <c r="AC23" s="1810">
        <f t="shared" si="5"/>
        <v>1</v>
      </c>
    </row>
    <row r="24" spans="1:29" ht="15">
      <c r="A24" s="404"/>
      <c r="B24" s="456"/>
      <c r="C24" s="616" t="s">
        <v>3094</v>
      </c>
      <c r="D24" s="448"/>
      <c r="E24" s="616" t="s">
        <v>3094</v>
      </c>
      <c r="F24" s="448"/>
      <c r="G24" s="616" t="s">
        <v>3094</v>
      </c>
      <c r="H24" s="448"/>
      <c r="I24" s="616" t="s">
        <v>3094</v>
      </c>
      <c r="J24" s="448"/>
      <c r="K24" s="809"/>
      <c r="L24" s="1140"/>
      <c r="M24" s="1131"/>
      <c r="N24" s="1131"/>
      <c r="O24" s="1139"/>
      <c r="P24" s="3207"/>
      <c r="Q24" s="1809"/>
      <c r="R24" s="774"/>
      <c r="S24" s="775"/>
      <c r="T24" s="774"/>
      <c r="U24" s="775"/>
      <c r="V24" s="774"/>
      <c r="W24" s="775"/>
      <c r="X24" s="1812"/>
      <c r="Y24" s="3207"/>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207"/>
      <c r="Q25" s="1809" t="str">
        <f t="shared" si="8"/>
        <v>自然及人文环境状况</v>
      </c>
      <c r="R25" s="774" t="s">
        <v>17</v>
      </c>
      <c r="S25" s="775">
        <f>F25</f>
        <v>100</v>
      </c>
      <c r="T25" s="774" t="s">
        <v>17</v>
      </c>
      <c r="U25" s="775">
        <f>H25</f>
        <v>100</v>
      </c>
      <c r="V25" s="774" t="s">
        <v>17</v>
      </c>
      <c r="W25" s="775">
        <f>J25</f>
        <v>100</v>
      </c>
      <c r="X25" s="1812"/>
      <c r="Y25" s="3207"/>
      <c r="Z25" s="1813" t="str">
        <f>Q25</f>
        <v>自然及人文环境状况</v>
      </c>
      <c r="AA25" s="1810">
        <f t="shared" si="3"/>
        <v>1</v>
      </c>
      <c r="AB25" s="1810">
        <f t="shared" si="4"/>
        <v>1</v>
      </c>
      <c r="AC25" s="1810">
        <f t="shared" si="5"/>
        <v>1</v>
      </c>
    </row>
    <row r="26" spans="1:29" ht="15">
      <c r="A26" s="404"/>
      <c r="B26" s="456"/>
      <c r="C26" s="447" t="s">
        <v>3093</v>
      </c>
      <c r="D26" s="448"/>
      <c r="E26" s="447" t="s">
        <v>3093</v>
      </c>
      <c r="F26" s="448"/>
      <c r="G26" s="447" t="s">
        <v>3093</v>
      </c>
      <c r="H26" s="448"/>
      <c r="I26" s="447" t="s">
        <v>3093</v>
      </c>
      <c r="J26" s="448"/>
      <c r="K26" s="672"/>
      <c r="L26" s="1140"/>
      <c r="M26" s="1131"/>
      <c r="N26" s="1131"/>
      <c r="O26" s="1139"/>
      <c r="P26" s="3207"/>
      <c r="Q26" s="1809"/>
      <c r="R26" s="774"/>
      <c r="S26" s="775"/>
      <c r="T26" s="774"/>
      <c r="U26" s="775"/>
      <c r="V26" s="774"/>
      <c r="W26" s="775"/>
      <c r="X26" s="1812"/>
      <c r="Y26" s="3207"/>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3165</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3141</v>
      </c>
      <c r="J27" s="450">
        <f>SUMIF(100:100,I28,101:101)-SUMIF(100:100,C28,101:101)+100</f>
        <v>100</v>
      </c>
      <c r="K27" s="673"/>
      <c r="L27" s="1132"/>
      <c r="M27" s="1133"/>
      <c r="N27" s="1133"/>
      <c r="O27" s="1134"/>
      <c r="P27" s="3207"/>
      <c r="Q27" s="1794" t="str">
        <f t="shared" si="8"/>
        <v>公共配套设施</v>
      </c>
      <c r="R27" s="770" t="s">
        <v>17</v>
      </c>
      <c r="S27" s="771">
        <f>F27</f>
        <v>100</v>
      </c>
      <c r="T27" s="770" t="s">
        <v>17</v>
      </c>
      <c r="U27" s="771">
        <f>H27</f>
        <v>100</v>
      </c>
      <c r="V27" s="770" t="s">
        <v>17</v>
      </c>
      <c r="W27" s="771">
        <f>J27</f>
        <v>100</v>
      </c>
      <c r="X27" s="772"/>
      <c r="Y27" s="3207"/>
      <c r="Z27" s="54" t="str">
        <f>Q27</f>
        <v>公共配套设施</v>
      </c>
      <c r="AA27" s="1810">
        <f>D27/F27</f>
        <v>1</v>
      </c>
      <c r="AB27" s="1810">
        <f>D27/H27</f>
        <v>1</v>
      </c>
      <c r="AC27" s="1810">
        <f>D27/J27</f>
        <v>1</v>
      </c>
    </row>
    <row r="28" spans="1:29" s="116" customFormat="1" ht="15">
      <c r="A28" s="649"/>
      <c r="B28" s="456"/>
      <c r="C28" s="2702" t="s">
        <v>3094</v>
      </c>
      <c r="D28" s="448"/>
      <c r="E28" s="2702" t="s">
        <v>3094</v>
      </c>
      <c r="F28" s="448"/>
      <c r="G28" s="2702" t="s">
        <v>3094</v>
      </c>
      <c r="H28" s="448"/>
      <c r="I28" s="2702" t="s">
        <v>3094</v>
      </c>
      <c r="J28" s="448"/>
      <c r="K28" s="672"/>
      <c r="L28" s="1132"/>
      <c r="M28" s="1133"/>
      <c r="N28" s="1133"/>
      <c r="O28" s="1134"/>
      <c r="P28" s="3207"/>
      <c r="Q28" s="1794"/>
      <c r="R28" s="770"/>
      <c r="S28" s="771"/>
      <c r="T28" s="770"/>
      <c r="U28" s="771"/>
      <c r="V28" s="770"/>
      <c r="W28" s="771"/>
      <c r="X28" s="772"/>
      <c r="Y28" s="3207"/>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7"/>
      <c r="Q29" s="1794" t="str">
        <f t="shared" ref="Q29" si="9">B29</f>
        <v>基础设施水平</v>
      </c>
      <c r="R29" s="770" t="s">
        <v>17</v>
      </c>
      <c r="S29" s="771">
        <f>F29</f>
        <v>100</v>
      </c>
      <c r="T29" s="770" t="s">
        <v>17</v>
      </c>
      <c r="U29" s="771">
        <f>H29</f>
        <v>100</v>
      </c>
      <c r="V29" s="770" t="s">
        <v>17</v>
      </c>
      <c r="W29" s="771">
        <f>J29</f>
        <v>100</v>
      </c>
      <c r="X29" s="772"/>
      <c r="Y29" s="3207"/>
      <c r="Z29" s="54" t="str">
        <f>Q29</f>
        <v>基础设施水平</v>
      </c>
      <c r="AA29" s="1810">
        <f>D29/F29</f>
        <v>1</v>
      </c>
      <c r="AB29" s="1810">
        <f>D29/H29</f>
        <v>1</v>
      </c>
      <c r="AC29" s="1810">
        <f>D29/J29</f>
        <v>1</v>
      </c>
    </row>
    <row r="30" spans="1:29" s="116" customFormat="1" ht="15">
      <c r="A30" s="649"/>
      <c r="B30" s="456"/>
      <c r="C30" s="2702" t="s">
        <v>3104</v>
      </c>
      <c r="D30" s="448"/>
      <c r="E30" s="2702" t="s">
        <v>3104</v>
      </c>
      <c r="F30" s="448"/>
      <c r="G30" s="2702" t="s">
        <v>3104</v>
      </c>
      <c r="H30" s="448"/>
      <c r="I30" s="2702" t="s">
        <v>3104</v>
      </c>
      <c r="J30" s="448"/>
      <c r="K30" s="672"/>
      <c r="L30" s="1132"/>
      <c r="M30" s="1133"/>
      <c r="N30" s="1133"/>
      <c r="O30" s="1134"/>
      <c r="P30" s="3207"/>
      <c r="Q30" s="1794"/>
      <c r="R30" s="770"/>
      <c r="S30" s="771"/>
      <c r="T30" s="770"/>
      <c r="U30" s="771"/>
      <c r="V30" s="770"/>
      <c r="W30" s="771"/>
      <c r="X30" s="772"/>
      <c r="Y30" s="3207"/>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20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7"/>
      <c r="Z31" s="1813" t="str">
        <f t="shared" ref="Z31:Z45" si="13">Q31</f>
        <v>临街状况</v>
      </c>
      <c r="AA31" s="1810">
        <f t="shared" si="3"/>
        <v>1</v>
      </c>
      <c r="AB31" s="1810">
        <f t="shared" si="4"/>
        <v>1</v>
      </c>
      <c r="AC31" s="1810">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7"/>
      <c r="Q32" s="1809" t="str">
        <f t="shared" si="8"/>
        <v>毗邻道路的类型与等级</v>
      </c>
      <c r="R32" s="774" t="s">
        <v>17</v>
      </c>
      <c r="S32" s="775">
        <f t="shared" si="10"/>
        <v>100</v>
      </c>
      <c r="T32" s="774" t="s">
        <v>17</v>
      </c>
      <c r="U32" s="775">
        <f t="shared" si="11"/>
        <v>100</v>
      </c>
      <c r="V32" s="774" t="s">
        <v>17</v>
      </c>
      <c r="W32" s="775">
        <f t="shared" si="12"/>
        <v>100</v>
      </c>
      <c r="X32" s="1812"/>
      <c r="Y32" s="320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07"/>
      <c r="Q33" s="1809"/>
      <c r="R33" s="774"/>
      <c r="S33" s="775"/>
      <c r="T33" s="774"/>
      <c r="U33" s="775"/>
      <c r="V33" s="774"/>
      <c r="W33" s="775"/>
      <c r="X33" s="1812"/>
      <c r="Y33" s="3207"/>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7"/>
      <c r="Q34" s="1809" t="str">
        <f t="shared" si="8"/>
        <v>土地级别</v>
      </c>
      <c r="R34" s="774" t="s">
        <v>17</v>
      </c>
      <c r="S34" s="775">
        <f t="shared" si="10"/>
        <v>100</v>
      </c>
      <c r="T34" s="774" t="s">
        <v>17</v>
      </c>
      <c r="U34" s="775">
        <f t="shared" si="11"/>
        <v>100</v>
      </c>
      <c r="V34" s="774" t="s">
        <v>17</v>
      </c>
      <c r="W34" s="775">
        <f t="shared" si="12"/>
        <v>100</v>
      </c>
      <c r="X34" s="1812"/>
      <c r="Y34" s="3207"/>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09">
        <f t="shared" si="8"/>
        <v>111</v>
      </c>
      <c r="R35" s="774" t="s">
        <v>17</v>
      </c>
      <c r="S35" s="775">
        <f t="shared" si="10"/>
        <v>100</v>
      </c>
      <c r="T35" s="774" t="s">
        <v>17</v>
      </c>
      <c r="U35" s="775">
        <f t="shared" si="11"/>
        <v>100</v>
      </c>
      <c r="V35" s="774" t="s">
        <v>17</v>
      </c>
      <c r="W35" s="775">
        <f t="shared" si="12"/>
        <v>100</v>
      </c>
      <c r="X35" s="1812"/>
      <c r="Y35" s="3207"/>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8" t="s">
        <v>2566</v>
      </c>
      <c r="Q36" s="1809">
        <f t="shared" si="8"/>
        <v>111</v>
      </c>
      <c r="R36" s="774" t="s">
        <v>17</v>
      </c>
      <c r="S36" s="775">
        <f t="shared" si="10"/>
        <v>100</v>
      </c>
      <c r="T36" s="774" t="s">
        <v>17</v>
      </c>
      <c r="U36" s="775">
        <f t="shared" si="11"/>
        <v>100</v>
      </c>
      <c r="V36" s="774" t="s">
        <v>17</v>
      </c>
      <c r="W36" s="775">
        <f t="shared" si="12"/>
        <v>100</v>
      </c>
      <c r="X36" s="1812"/>
      <c r="Y36" s="3209"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09">
        <f t="shared" si="8"/>
        <v>111</v>
      </c>
      <c r="R37" s="777" t="s">
        <v>17</v>
      </c>
      <c r="S37" s="778">
        <f t="shared" si="10"/>
        <v>100</v>
      </c>
      <c r="T37" s="777" t="s">
        <v>17</v>
      </c>
      <c r="U37" s="778">
        <f t="shared" si="11"/>
        <v>100</v>
      </c>
      <c r="V37" s="777" t="s">
        <v>17</v>
      </c>
      <c r="W37" s="778">
        <f t="shared" si="12"/>
        <v>100</v>
      </c>
      <c r="X37" s="779"/>
      <c r="Y37" s="3209"/>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209"/>
      <c r="Q38" s="1809" t="str">
        <f>B38</f>
        <v>宗地面积</v>
      </c>
      <c r="R38" s="774" t="s">
        <v>17</v>
      </c>
      <c r="S38" s="775">
        <f t="shared" si="10"/>
        <v>97</v>
      </c>
      <c r="T38" s="774" t="s">
        <v>17</v>
      </c>
      <c r="U38" s="775">
        <f t="shared" si="11"/>
        <v>97</v>
      </c>
      <c r="V38" s="774" t="s">
        <v>17</v>
      </c>
      <c r="W38" s="775">
        <f t="shared" si="12"/>
        <v>100</v>
      </c>
      <c r="X38" s="1812"/>
      <c r="Y38" s="3209"/>
      <c r="Z38" s="1813" t="str">
        <f t="shared" si="13"/>
        <v>宗地面积</v>
      </c>
      <c r="AA38" s="1810">
        <f t="shared" si="3"/>
        <v>1.0309278350515463</v>
      </c>
      <c r="AB38" s="1810">
        <f t="shared" si="4"/>
        <v>1.0309278350515463</v>
      </c>
      <c r="AC38" s="1810">
        <f t="shared" si="5"/>
        <v>1</v>
      </c>
    </row>
    <row r="39" spans="1:29" ht="15">
      <c r="A39" s="472"/>
      <c r="B39" s="422" t="s">
        <v>2753</v>
      </c>
      <c r="C39" s="2615" t="s">
        <v>3106</v>
      </c>
      <c r="D39" s="435">
        <v>100</v>
      </c>
      <c r="E39" s="2615" t="s">
        <v>3106</v>
      </c>
      <c r="F39" s="435">
        <f>SUMIF(119:119,E39,120:120)-SUMIF(119:119,C39,120:120)+100</f>
        <v>100</v>
      </c>
      <c r="G39" s="2615" t="s">
        <v>3106</v>
      </c>
      <c r="H39" s="435">
        <f>SUMIF(119:119,G39,120:120)-SUMIF(119:119,C39,120:120)+100</f>
        <v>100</v>
      </c>
      <c r="I39" s="2615" t="s">
        <v>3106</v>
      </c>
      <c r="J39" s="435">
        <f>SUMIF(119:119,I39,120:120)-SUMIF(119:119,C39,120:120)+100</f>
        <v>100</v>
      </c>
      <c r="K39" s="612"/>
      <c r="L39" s="1140"/>
      <c r="M39" s="1131"/>
      <c r="N39" s="1131"/>
      <c r="O39" s="1139"/>
      <c r="P39" s="3209"/>
      <c r="Q39" s="1809" t="str">
        <f t="shared" ref="Q39:Q45" si="14">B39</f>
        <v>宗地形状</v>
      </c>
      <c r="R39" s="774" t="s">
        <v>17</v>
      </c>
      <c r="S39" s="775">
        <f t="shared" si="10"/>
        <v>100</v>
      </c>
      <c r="T39" s="774" t="s">
        <v>17</v>
      </c>
      <c r="U39" s="775">
        <f t="shared" si="11"/>
        <v>100</v>
      </c>
      <c r="V39" s="774" t="s">
        <v>17</v>
      </c>
      <c r="W39" s="775">
        <f t="shared" si="12"/>
        <v>100</v>
      </c>
      <c r="X39" s="1812"/>
      <c r="Y39" s="3209"/>
      <c r="Z39" s="1813" t="str">
        <f t="shared" si="13"/>
        <v>宗地形状</v>
      </c>
      <c r="AA39" s="1810">
        <f t="shared" si="3"/>
        <v>1</v>
      </c>
      <c r="AB39" s="1810">
        <f t="shared" si="4"/>
        <v>1</v>
      </c>
      <c r="AC39" s="1810">
        <f t="shared" si="5"/>
        <v>1</v>
      </c>
    </row>
    <row r="40" spans="1:29" ht="15">
      <c r="A40" s="472"/>
      <c r="B40" s="422" t="s">
        <v>2754</v>
      </c>
      <c r="C40" s="2615" t="s">
        <v>3108</v>
      </c>
      <c r="D40" s="435">
        <v>100</v>
      </c>
      <c r="E40" s="2615" t="s">
        <v>3108</v>
      </c>
      <c r="F40" s="435">
        <f>SUMIF(121:121,E40,122:122)-SUMIF(121:121,C40,122:122)+100</f>
        <v>100</v>
      </c>
      <c r="G40" s="2615" t="s">
        <v>3108</v>
      </c>
      <c r="H40" s="435">
        <f>SUMIF(121:121,G40,122:122)-SUMIF(121:121,C40,122:122)+100</f>
        <v>100</v>
      </c>
      <c r="I40" s="2615" t="s">
        <v>3108</v>
      </c>
      <c r="J40" s="435">
        <f>SUMIF(121:121,I40,122:122)-SUMIF(121:121,C40,122:122)+100</f>
        <v>100</v>
      </c>
      <c r="K40" s="612"/>
      <c r="L40" s="1140"/>
      <c r="M40" s="1131"/>
      <c r="N40" s="1131"/>
      <c r="O40" s="1139"/>
      <c r="P40" s="3209"/>
      <c r="Q40" s="1809" t="str">
        <f t="shared" si="14"/>
        <v>临街宽度及深度</v>
      </c>
      <c r="R40" s="774" t="s">
        <v>17</v>
      </c>
      <c r="S40" s="775">
        <f t="shared" si="10"/>
        <v>100</v>
      </c>
      <c r="T40" s="774" t="s">
        <v>17</v>
      </c>
      <c r="U40" s="775">
        <f t="shared" si="11"/>
        <v>100</v>
      </c>
      <c r="V40" s="774" t="s">
        <v>17</v>
      </c>
      <c r="W40" s="775">
        <f t="shared" si="12"/>
        <v>100</v>
      </c>
      <c r="X40" s="1812"/>
      <c r="Y40" s="3209"/>
      <c r="Z40" s="1813" t="str">
        <f t="shared" si="13"/>
        <v>临街宽度及深度</v>
      </c>
      <c r="AA40" s="1810">
        <f t="shared" si="3"/>
        <v>1</v>
      </c>
      <c r="AB40" s="1810">
        <f t="shared" si="4"/>
        <v>1</v>
      </c>
      <c r="AC40" s="1810">
        <f t="shared" si="5"/>
        <v>1</v>
      </c>
    </row>
    <row r="41" spans="1:29" s="116" customFormat="1" ht="15">
      <c r="A41" s="473"/>
      <c r="B41" s="422" t="s">
        <v>2755</v>
      </c>
      <c r="C41" s="2704" t="s">
        <v>3142</v>
      </c>
      <c r="D41" s="135">
        <v>100</v>
      </c>
      <c r="E41" s="2704" t="s">
        <v>3142</v>
      </c>
      <c r="F41" s="435">
        <f>SUMIF(123:123,E41,124:124)-SUMIF(123:123,C41,124:124)+100</f>
        <v>100</v>
      </c>
      <c r="G41" s="2704" t="s">
        <v>3142</v>
      </c>
      <c r="H41" s="435">
        <f>SUMIF(123:123,G41,124:124)-SUMIF(123:123,C41,124:124)+100</f>
        <v>100</v>
      </c>
      <c r="I41" s="2704" t="s">
        <v>3142</v>
      </c>
      <c r="J41" s="435">
        <f>SUMIF(123:123,I41,124:124)-SUMIF(123:123,C41,124:124)+100</f>
        <v>100</v>
      </c>
      <c r="K41" s="612"/>
      <c r="L41" s="1132"/>
      <c r="M41" s="1133"/>
      <c r="N41" s="1133"/>
      <c r="O41" s="1134"/>
      <c r="P41" s="3209"/>
      <c r="Q41" s="1809" t="str">
        <f t="shared" si="14"/>
        <v>宗地开发程度</v>
      </c>
      <c r="R41" s="770" t="s">
        <v>17</v>
      </c>
      <c r="S41" s="771">
        <f t="shared" si="10"/>
        <v>100</v>
      </c>
      <c r="T41" s="770" t="s">
        <v>17</v>
      </c>
      <c r="U41" s="771">
        <f t="shared" si="11"/>
        <v>100</v>
      </c>
      <c r="V41" s="770" t="s">
        <v>17</v>
      </c>
      <c r="W41" s="771">
        <f t="shared" si="12"/>
        <v>100</v>
      </c>
      <c r="X41" s="772"/>
      <c r="Y41" s="3209"/>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209" t="s">
        <v>2566</v>
      </c>
      <c r="Q42" s="1809" t="str">
        <f t="shared" si="14"/>
        <v>工程地质条件</v>
      </c>
      <c r="R42" s="774" t="s">
        <v>17</v>
      </c>
      <c r="S42" s="775">
        <f t="shared" si="10"/>
        <v>100</v>
      </c>
      <c r="T42" s="774" t="s">
        <v>17</v>
      </c>
      <c r="U42" s="775">
        <f t="shared" si="11"/>
        <v>100</v>
      </c>
      <c r="V42" s="774" t="s">
        <v>17</v>
      </c>
      <c r="W42" s="775">
        <f t="shared" si="12"/>
        <v>100</v>
      </c>
      <c r="X42" s="1812"/>
      <c r="Y42" s="3209"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09">
        <f t="shared" si="14"/>
        <v>111</v>
      </c>
      <c r="R43" s="774" t="s">
        <v>17</v>
      </c>
      <c r="S43" s="775">
        <f t="shared" si="10"/>
        <v>100</v>
      </c>
      <c r="T43" s="774" t="s">
        <v>17</v>
      </c>
      <c r="U43" s="775">
        <f t="shared" si="11"/>
        <v>100</v>
      </c>
      <c r="V43" s="774" t="s">
        <v>17</v>
      </c>
      <c r="W43" s="775">
        <f t="shared" si="12"/>
        <v>100</v>
      </c>
      <c r="X43" s="1812"/>
      <c r="Y43" s="3209"/>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09">
        <f t="shared" si="14"/>
        <v>111</v>
      </c>
      <c r="R44" s="774" t="s">
        <v>17</v>
      </c>
      <c r="S44" s="775">
        <f t="shared" si="10"/>
        <v>100</v>
      </c>
      <c r="T44" s="774" t="s">
        <v>17</v>
      </c>
      <c r="U44" s="775">
        <f t="shared" si="11"/>
        <v>100</v>
      </c>
      <c r="V44" s="774" t="s">
        <v>17</v>
      </c>
      <c r="W44" s="775">
        <f t="shared" si="12"/>
        <v>100</v>
      </c>
      <c r="X44" s="1812"/>
      <c r="Y44" s="3209"/>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09">
        <f t="shared" si="14"/>
        <v>111</v>
      </c>
      <c r="R45" s="777" t="s">
        <v>17</v>
      </c>
      <c r="S45" s="778">
        <f t="shared" si="10"/>
        <v>100</v>
      </c>
      <c r="T45" s="777" t="s">
        <v>17</v>
      </c>
      <c r="U45" s="778">
        <f t="shared" si="11"/>
        <v>100</v>
      </c>
      <c r="V45" s="777" t="s">
        <v>17</v>
      </c>
      <c r="W45" s="778">
        <f t="shared" si="12"/>
        <v>100</v>
      </c>
      <c r="X45" s="779"/>
      <c r="Y45" s="3209"/>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191" t="str">
        <f>A46</f>
        <v>成交单价</v>
      </c>
      <c r="Q46" s="3191"/>
      <c r="R46" s="3204">
        <f>E46</f>
        <v>2509.73</v>
      </c>
      <c r="S46" s="3204"/>
      <c r="T46" s="3204">
        <f>G46</f>
        <v>3726.46</v>
      </c>
      <c r="U46" s="3204"/>
      <c r="V46" s="3204">
        <f>I46</f>
        <v>4167.8500000000004</v>
      </c>
      <c r="W46" s="3204"/>
      <c r="X46" s="759"/>
      <c r="Y46" s="781"/>
      <c r="Z46" s="759"/>
      <c r="AA46" s="759"/>
      <c r="AB46" s="759"/>
      <c r="AC46" s="759"/>
    </row>
    <row r="47" spans="1:29" ht="15.75" thickBot="1">
      <c r="A47" s="486" t="s">
        <v>2670</v>
      </c>
      <c r="B47" s="683"/>
      <c r="C47" s="490">
        <f>R48</f>
        <v>3244</v>
      </c>
      <c r="D47" s="489"/>
      <c r="E47" s="490">
        <f>R47</f>
        <v>2386</v>
      </c>
      <c r="F47" s="491"/>
      <c r="G47" s="488">
        <f>T47</f>
        <v>3543</v>
      </c>
      <c r="H47" s="489"/>
      <c r="I47" s="490">
        <f>V47</f>
        <v>3804</v>
      </c>
      <c r="J47" s="489"/>
      <c r="K47" s="784"/>
      <c r="L47" s="1143"/>
      <c r="M47" s="1144"/>
      <c r="N47" s="1144"/>
      <c r="O47" s="1144"/>
      <c r="P47" s="3191" t="str">
        <f>A47</f>
        <v>比较价值（元/平方米）</v>
      </c>
      <c r="Q47" s="3191"/>
      <c r="R47" s="3210">
        <f>ROUND(PRODUCT(R46,AA7:AA45),0)</f>
        <v>2386</v>
      </c>
      <c r="S47" s="3210"/>
      <c r="T47" s="3210">
        <f>ROUND(PRODUCT(T46,AB7:AB45),0)</f>
        <v>3543</v>
      </c>
      <c r="U47" s="3210"/>
      <c r="V47" s="3210">
        <f>ROUND(PRODUCT(V46,AC7:AC45),0)</f>
        <v>3804</v>
      </c>
      <c r="W47" s="3210"/>
      <c r="X47" s="759"/>
      <c r="Y47" s="759"/>
      <c r="Z47" s="759"/>
      <c r="AA47" s="759"/>
      <c r="AB47" s="759"/>
      <c r="AC47" s="759"/>
    </row>
    <row r="48" spans="1:29" ht="15.75" thickBot="1">
      <c r="A48" s="492" t="s">
        <v>2757</v>
      </c>
      <c r="B48" s="493"/>
      <c r="C48" s="494">
        <f>R48</f>
        <v>3244</v>
      </c>
      <c r="D48" s="494"/>
      <c r="E48" s="494"/>
      <c r="F48" s="494"/>
      <c r="G48" s="494"/>
      <c r="H48" s="494"/>
      <c r="I48" s="494"/>
      <c r="J48" s="494"/>
      <c r="K48" s="785"/>
      <c r="L48" s="1143"/>
      <c r="M48" s="1144"/>
      <c r="N48" s="1144"/>
      <c r="O48" s="1144"/>
      <c r="P48" s="3211" t="str">
        <f>A48</f>
        <v>估价对象XX用房的比较价值（楼面单价，元/平方米）</v>
      </c>
      <c r="Q48" s="3212"/>
      <c r="R48" s="3213">
        <f>ROUND(AVERAGE(R47:V47),0)</f>
        <v>3244</v>
      </c>
      <c r="S48" s="3213"/>
      <c r="T48" s="3213"/>
      <c r="U48" s="3213"/>
      <c r="V48" s="3213"/>
      <c r="W48" s="32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5.1856663872590136E-2</v>
      </c>
      <c r="F51" s="500" t="str">
        <f>IF(OR(E51&gt;=0.3,E51&lt;=-0.3),"超过30%","")</f>
        <v/>
      </c>
      <c r="G51" s="499">
        <f>IF(G46&lt;G47,G47/G46-1,G46/G47-1)</f>
        <v>5.1780976573525317E-2</v>
      </c>
      <c r="H51" s="500" t="str">
        <f>IF(OR(G51&gt;=0.3,G51&lt;=-0.3),"超过30%","")</f>
        <v/>
      </c>
      <c r="I51" s="499">
        <f>IF(I46&lt;I47,I47/I46-1,I46/I47-1)</f>
        <v>9.5649316508938043E-2</v>
      </c>
      <c r="J51" s="500" t="str">
        <f>IF(OR(I51&gt;=0.3,I51&lt;=-0.3),"超过30%","")</f>
        <v/>
      </c>
      <c r="K51" s="1105"/>
      <c r="L51" s="1106"/>
      <c r="M51" s="1144"/>
      <c r="N51" s="1144"/>
      <c r="O51" s="1144"/>
    </row>
    <row r="52" spans="1:15" ht="13.5" customHeight="1">
      <c r="A52" s="1144"/>
      <c r="B52" s="1144"/>
      <c r="C52" s="497" t="s">
        <v>2673</v>
      </c>
      <c r="D52" s="501"/>
      <c r="E52" s="499">
        <f>IF(E47&lt;G47,G47/E47-1,E47/G47-1)</f>
        <v>0.4849119865884326</v>
      </c>
      <c r="F52" s="500" t="str">
        <f>IF(OR(E52&gt;=0.2,E52&lt;=-0.2),"超过20%","")</f>
        <v>超过20%</v>
      </c>
      <c r="G52" s="499">
        <f>IF(G47&lt;I47,I47/G47-1,G47/I47-1)</f>
        <v>7.3666384419982966E-2</v>
      </c>
      <c r="H52" s="500" t="str">
        <f>IF(OR(G52&gt;=0.2,G52&lt;=-0.2),"超过20%","")</f>
        <v/>
      </c>
      <c r="I52" s="499">
        <f>IF(I47&lt;E47,E47/I47-1,I47/E47-1)</f>
        <v>0.59430008382229671</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2" t="s">
        <v>2764</v>
      </c>
      <c r="H55" s="3214"/>
      <c r="I55" s="143" t="s">
        <v>2765</v>
      </c>
      <c r="J55" s="2709">
        <f>项目基本情况!F35</f>
        <v>0</v>
      </c>
      <c r="K55" s="2710" t="s">
        <v>2766</v>
      </c>
      <c r="L55" s="1106"/>
      <c r="M55" s="1144"/>
      <c r="N55" s="1144"/>
      <c r="O55" s="1144"/>
    </row>
    <row r="56" spans="1:15" s="692" customFormat="1">
      <c r="A56" s="688" t="s">
        <v>2767</v>
      </c>
      <c r="B56" s="689">
        <f>C48</f>
        <v>3244</v>
      </c>
      <c r="C56" s="690">
        <v>1</v>
      </c>
      <c r="D56" s="1163">
        <v>1</v>
      </c>
      <c r="E56" s="690">
        <f>'数据-汇总表'!E8+'数据-汇总表'!E9</f>
        <v>116944.15</v>
      </c>
      <c r="F56" s="1103">
        <f t="shared" ref="F56:F65" si="15">ROUND(B56*E56/10000,0)</f>
        <v>37937</v>
      </c>
      <c r="G56" s="3215"/>
      <c r="H56" s="3191"/>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16"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16"/>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16"/>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16"/>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37937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3105</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90000(含)-1200000</v>
      </c>
      <c r="G116" s="529" t="str">
        <f t="shared" si="25"/>
        <v>1200000(含)-1500000</v>
      </c>
      <c r="H116" s="529" t="str">
        <f t="shared" si="25"/>
        <v>1500000(含)-1800000</v>
      </c>
      <c r="I116" s="529" t="str">
        <f t="shared" si="25"/>
        <v>1800000(含)-2100000</v>
      </c>
      <c r="J116" s="529" t="str">
        <f t="shared" si="25"/>
        <v>2100000(含)-240000</v>
      </c>
      <c r="K116" s="529" t="str">
        <f t="shared" si="25"/>
        <v>240000(含)-2700000</v>
      </c>
      <c r="L116" s="529" t="str">
        <f t="shared" si="25"/>
        <v>2700000(含)-</v>
      </c>
      <c r="M116" s="529" t="str">
        <f t="shared" si="25"/>
        <v>(含)-</v>
      </c>
      <c r="N116" s="1152"/>
      <c r="O116" s="1152"/>
      <c r="P116" s="44"/>
      <c r="Q116" s="504"/>
    </row>
    <row r="117" spans="1:17" ht="15">
      <c r="A117" s="534"/>
      <c r="B117" s="546"/>
      <c r="C117" s="595">
        <v>0</v>
      </c>
      <c r="D117" s="595">
        <v>30000</v>
      </c>
      <c r="E117" s="595">
        <v>60000</v>
      </c>
      <c r="F117" s="595">
        <v>90000</v>
      </c>
      <c r="G117" s="595">
        <v>1200000</v>
      </c>
      <c r="H117" s="595">
        <v>1500000</v>
      </c>
      <c r="I117" s="595">
        <v>1800000</v>
      </c>
      <c r="J117" s="596">
        <v>2100000</v>
      </c>
      <c r="K117" s="596">
        <v>240000</v>
      </c>
      <c r="L117" s="597">
        <v>2700000</v>
      </c>
      <c r="M117" s="598"/>
      <c r="N117" s="1152"/>
      <c r="O117" s="1152"/>
      <c r="P117" s="44"/>
      <c r="Q117" s="504"/>
    </row>
    <row r="118" spans="1:17" ht="15.75" thickBot="1">
      <c r="A118" s="534"/>
      <c r="B118" s="543"/>
      <c r="C118" s="570">
        <v>92</v>
      </c>
      <c r="D118" s="591">
        <v>93</v>
      </c>
      <c r="E118" s="591">
        <v>94</v>
      </c>
      <c r="F118" s="591">
        <v>95</v>
      </c>
      <c r="G118" s="591">
        <v>96</v>
      </c>
      <c r="H118" s="591">
        <v>97</v>
      </c>
      <c r="I118" s="591">
        <v>98</v>
      </c>
      <c r="J118" s="591">
        <v>99</v>
      </c>
      <c r="K118" s="591">
        <v>100</v>
      </c>
      <c r="L118" s="591">
        <v>101</v>
      </c>
      <c r="M118" s="592"/>
      <c r="N118" s="1153"/>
      <c r="O118" s="1153"/>
      <c r="P118" s="44"/>
      <c r="Q118" s="504"/>
    </row>
    <row r="119" spans="1:17" ht="15" thickTop="1">
      <c r="A119" s="599"/>
      <c r="B119" s="538" t="s">
        <v>2791</v>
      </c>
      <c r="C119" s="2965" t="s">
        <v>3107</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3109</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3110</v>
      </c>
      <c r="D123" s="2964" t="s">
        <v>3143</v>
      </c>
      <c r="E123" s="2964" t="s">
        <v>3144</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3111</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94"/>
  <sheetViews>
    <sheetView topLeftCell="J34" workbookViewId="0">
      <selection activeCell="I53" sqref="I53:U53"/>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26" t="s">
        <v>3046</v>
      </c>
      <c r="E5" s="3229" t="s">
        <v>3157</v>
      </c>
      <c r="F5" s="2949" t="s">
        <v>3090</v>
      </c>
      <c r="G5" s="3217">
        <v>9380</v>
      </c>
      <c r="H5" s="2946">
        <v>9794.1299999999992</v>
      </c>
      <c r="I5" s="2929" t="s">
        <v>3051</v>
      </c>
      <c r="J5" s="2930">
        <v>55041</v>
      </c>
    </row>
    <row r="6" spans="4:11">
      <c r="D6" s="3227"/>
      <c r="E6" s="3230"/>
      <c r="F6" s="2947">
        <v>1</v>
      </c>
      <c r="G6" s="3218"/>
      <c r="H6" s="2946">
        <v>370.1</v>
      </c>
    </row>
    <row r="7" spans="4:11">
      <c r="D7" s="3227"/>
      <c r="E7" s="3230"/>
      <c r="F7" s="2949" t="s">
        <v>3091</v>
      </c>
      <c r="G7" s="3218"/>
      <c r="H7" s="2946">
        <v>437.37</v>
      </c>
    </row>
    <row r="8" spans="4:11">
      <c r="D8" s="3228"/>
      <c r="E8" s="3231"/>
      <c r="F8" s="2949" t="s">
        <v>3091</v>
      </c>
      <c r="G8" s="3219"/>
      <c r="H8" s="2946">
        <v>437.37</v>
      </c>
    </row>
    <row r="9" spans="4:11">
      <c r="D9" s="3220" t="s">
        <v>3049</v>
      </c>
      <c r="E9" s="3221"/>
      <c r="F9" s="3222"/>
      <c r="G9" s="2950">
        <f>G5</f>
        <v>9380</v>
      </c>
      <c r="H9" s="2950">
        <f>SUM(H5:H8)</f>
        <v>11038.970000000001</v>
      </c>
      <c r="K9" s="2929" t="s">
        <v>3055</v>
      </c>
    </row>
    <row r="10" spans="4:11" ht="40.5" customHeight="1">
      <c r="D10" s="3229" t="s">
        <v>3052</v>
      </c>
      <c r="E10" s="3229" t="s">
        <v>3081</v>
      </c>
      <c r="F10" s="2949" t="s">
        <v>3053</v>
      </c>
      <c r="G10" s="3217">
        <v>33561.699999999997</v>
      </c>
      <c r="H10" s="2946">
        <v>1882.84</v>
      </c>
      <c r="I10" s="2929" t="s">
        <v>3051</v>
      </c>
      <c r="J10" s="2930">
        <v>53309</v>
      </c>
    </row>
    <row r="11" spans="4:11">
      <c r="D11" s="3230"/>
      <c r="E11" s="3230"/>
      <c r="F11" s="2949" t="s">
        <v>3053</v>
      </c>
      <c r="G11" s="3218"/>
      <c r="H11" s="2946">
        <v>1251.8399999999999</v>
      </c>
    </row>
    <row r="12" spans="4:11">
      <c r="D12" s="3230"/>
      <c r="E12" s="3230"/>
      <c r="F12" s="2949" t="s">
        <v>3054</v>
      </c>
      <c r="G12" s="3218"/>
      <c r="H12" s="2946">
        <v>1312.11</v>
      </c>
    </row>
    <row r="13" spans="4:11">
      <c r="D13" s="3231"/>
      <c r="E13" s="3231"/>
      <c r="F13" s="2949" t="s">
        <v>3054</v>
      </c>
      <c r="G13" s="3219"/>
      <c r="H13" s="2946">
        <v>1571.25</v>
      </c>
    </row>
    <row r="14" spans="4:11">
      <c r="D14" s="3220" t="s">
        <v>3049</v>
      </c>
      <c r="E14" s="3221"/>
      <c r="F14" s="3222"/>
      <c r="G14" s="2950">
        <f>G10</f>
        <v>33561.699999999997</v>
      </c>
      <c r="H14" s="2950">
        <f>SUM(H10:H13)</f>
        <v>6018.04</v>
      </c>
    </row>
    <row r="15" spans="4:11" ht="40.5" customHeight="1">
      <c r="D15" s="3226" t="s">
        <v>3078</v>
      </c>
      <c r="E15" s="3229" t="s">
        <v>3082</v>
      </c>
      <c r="F15" s="2949" t="s">
        <v>3054</v>
      </c>
      <c r="G15" s="3217">
        <v>11730</v>
      </c>
      <c r="H15" s="2946">
        <v>9900.82</v>
      </c>
      <c r="J15" s="2930">
        <v>55041</v>
      </c>
      <c r="K15" s="2929" t="s">
        <v>3056</v>
      </c>
    </row>
    <row r="16" spans="4:11">
      <c r="D16" s="3227"/>
      <c r="E16" s="3230"/>
      <c r="F16" s="2949" t="s">
        <v>3053</v>
      </c>
      <c r="G16" s="3218"/>
      <c r="H16" s="2946">
        <v>470.71</v>
      </c>
      <c r="K16" s="2929" t="s">
        <v>3057</v>
      </c>
    </row>
    <row r="17" spans="4:11">
      <c r="D17" s="3228"/>
      <c r="E17" s="3231"/>
      <c r="F17" s="2949" t="s">
        <v>3053</v>
      </c>
      <c r="G17" s="3219"/>
      <c r="H17" s="2946">
        <v>312.95999999999998</v>
      </c>
      <c r="K17" s="2929" t="s">
        <v>3057</v>
      </c>
    </row>
    <row r="18" spans="4:11">
      <c r="D18" s="3220" t="s">
        <v>3049</v>
      </c>
      <c r="E18" s="3221"/>
      <c r="F18" s="3222"/>
      <c r="G18" s="2950">
        <f>G15</f>
        <v>11730</v>
      </c>
      <c r="H18" s="2950">
        <f>H17+H16+H15</f>
        <v>10684.49</v>
      </c>
    </row>
    <row r="19" spans="4:11" ht="40.5" customHeight="1">
      <c r="D19" s="3226" t="s">
        <v>3079</v>
      </c>
      <c r="E19" s="3229" t="s">
        <v>3083</v>
      </c>
      <c r="F19" s="2949" t="s">
        <v>3053</v>
      </c>
      <c r="G19" s="3217">
        <v>51869.4</v>
      </c>
      <c r="H19" s="2946">
        <v>771.54</v>
      </c>
      <c r="J19" s="2930">
        <v>53309</v>
      </c>
    </row>
    <row r="20" spans="4:11">
      <c r="D20" s="3227"/>
      <c r="E20" s="3230"/>
      <c r="F20" s="2949" t="s">
        <v>3053</v>
      </c>
      <c r="G20" s="3218"/>
      <c r="H20" s="2946">
        <v>771.54</v>
      </c>
    </row>
    <row r="21" spans="4:11">
      <c r="D21" s="3227"/>
      <c r="E21" s="3230"/>
      <c r="F21" s="2949" t="s">
        <v>3053</v>
      </c>
      <c r="G21" s="3218"/>
      <c r="H21" s="2946">
        <v>771.54</v>
      </c>
    </row>
    <row r="22" spans="4:11">
      <c r="D22" s="3227"/>
      <c r="E22" s="3230"/>
      <c r="F22" s="2949" t="s">
        <v>3053</v>
      </c>
      <c r="G22" s="3218"/>
      <c r="H22" s="2946">
        <v>753.14</v>
      </c>
    </row>
    <row r="23" spans="4:11">
      <c r="D23" s="3227"/>
      <c r="E23" s="3230"/>
      <c r="F23" s="2949" t="s">
        <v>3053</v>
      </c>
      <c r="G23" s="3218"/>
      <c r="H23" s="2946">
        <v>1320.86</v>
      </c>
    </row>
    <row r="24" spans="4:11">
      <c r="D24" s="3227"/>
      <c r="E24" s="3230"/>
      <c r="F24" s="2949" t="s">
        <v>3059</v>
      </c>
      <c r="G24" s="3218"/>
      <c r="H24" s="2946">
        <v>18350.21</v>
      </c>
    </row>
    <row r="25" spans="4:11">
      <c r="D25" s="3227"/>
      <c r="E25" s="3230"/>
      <c r="F25" s="2949" t="s">
        <v>3059</v>
      </c>
      <c r="G25" s="3218"/>
      <c r="H25" s="2946">
        <v>5966.13</v>
      </c>
    </row>
    <row r="26" spans="4:11">
      <c r="D26" s="3228"/>
      <c r="E26" s="3231"/>
      <c r="F26" s="2949" t="s">
        <v>3058</v>
      </c>
      <c r="G26" s="3219"/>
      <c r="H26" s="2946">
        <v>2755.78</v>
      </c>
    </row>
    <row r="27" spans="4:11">
      <c r="D27" s="3223" t="s">
        <v>3049</v>
      </c>
      <c r="E27" s="3224"/>
      <c r="F27" s="3225"/>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3128</v>
      </c>
      <c r="B33" s="1634" t="s">
        <v>3129</v>
      </c>
      <c r="C33" s="1634" t="s">
        <v>3130</v>
      </c>
      <c r="D33" s="1634" t="s">
        <v>3131</v>
      </c>
      <c r="E33" s="1634" t="s">
        <v>3132</v>
      </c>
      <c r="F33" s="1634" t="s">
        <v>3133</v>
      </c>
      <c r="G33" s="1634" t="s">
        <v>3134</v>
      </c>
      <c r="H33" s="1634" t="s">
        <v>3135</v>
      </c>
      <c r="I33" s="1634" t="s">
        <v>3136</v>
      </c>
      <c r="J33" s="1634" t="s">
        <v>3137</v>
      </c>
      <c r="K33" s="1634" t="s">
        <v>3138</v>
      </c>
      <c r="L33" s="1634" t="s">
        <v>3139</v>
      </c>
    </row>
    <row r="35" spans="1:12" s="2978" customFormat="1" ht="27.75" customHeight="1">
      <c r="A35" s="2978" t="s">
        <v>3065</v>
      </c>
      <c r="B35" s="2978" t="s">
        <v>3125</v>
      </c>
      <c r="C35" s="2978" t="s">
        <v>3126</v>
      </c>
      <c r="D35" s="2978">
        <v>19125.5</v>
      </c>
      <c r="E35" s="2978">
        <v>47813.75</v>
      </c>
      <c r="F35" s="2978" t="s">
        <v>3063</v>
      </c>
      <c r="G35" s="2978" t="s">
        <v>3127</v>
      </c>
      <c r="H35" s="2978" t="s">
        <v>3066</v>
      </c>
      <c r="I35" s="2978">
        <v>418.29</v>
      </c>
      <c r="J35" s="2978">
        <v>2509.73</v>
      </c>
      <c r="K35" s="2978">
        <v>163.74</v>
      </c>
      <c r="L35" s="2978" t="s">
        <v>1332</v>
      </c>
    </row>
    <row r="36" spans="1:12" s="2978" customFormat="1" ht="27.75" customHeight="1">
      <c r="A36" s="2978" t="s">
        <v>3158</v>
      </c>
      <c r="B36" s="2978" t="s">
        <v>3125</v>
      </c>
      <c r="C36" s="2978" t="s">
        <v>3126</v>
      </c>
      <c r="D36" s="2978">
        <v>7728.5</v>
      </c>
      <c r="E36" s="2978">
        <v>19321.25</v>
      </c>
      <c r="F36" s="2978" t="s">
        <v>3063</v>
      </c>
      <c r="G36" s="2978" t="s">
        <v>3127</v>
      </c>
      <c r="H36" s="2978" t="s">
        <v>3159</v>
      </c>
      <c r="I36" s="2978">
        <v>621.08000000000004</v>
      </c>
      <c r="J36" s="2978">
        <v>3726.46</v>
      </c>
      <c r="K36" s="2978">
        <v>55.17</v>
      </c>
      <c r="L36" s="2978" t="s">
        <v>3064</v>
      </c>
    </row>
    <row r="37" spans="1:12" s="2978" customFormat="1" ht="27.75" customHeight="1">
      <c r="A37" s="2978" t="s">
        <v>3160</v>
      </c>
      <c r="B37" s="2978" t="s">
        <v>3125</v>
      </c>
      <c r="C37" s="2978" t="s">
        <v>3126</v>
      </c>
      <c r="D37" s="2978">
        <v>97172.1</v>
      </c>
      <c r="E37" s="2978">
        <v>97172.1</v>
      </c>
      <c r="F37" s="2978" t="s">
        <v>3161</v>
      </c>
      <c r="G37" s="2978" t="s">
        <v>3162</v>
      </c>
      <c r="H37" s="2978" t="s">
        <v>3163</v>
      </c>
      <c r="I37" s="2978">
        <v>277.86</v>
      </c>
      <c r="J37" s="2978">
        <v>4167.8500000000004</v>
      </c>
      <c r="K37" s="2978">
        <v>110.94</v>
      </c>
      <c r="L37" s="2978" t="s">
        <v>3064</v>
      </c>
    </row>
    <row r="38" spans="1:12">
      <c r="G38" s="2930"/>
    </row>
    <row r="39" spans="1:12">
      <c r="G39" s="2930"/>
    </row>
    <row r="43" spans="1:12">
      <c r="G43" s="2933"/>
    </row>
    <row r="60" spans="1:7" ht="22.5">
      <c r="A60" s="2932"/>
    </row>
    <row r="61" spans="1:7">
      <c r="G61" s="2930"/>
    </row>
    <row r="62" spans="1:7">
      <c r="G62" s="2930"/>
    </row>
    <row r="63" spans="1:7">
      <c r="G63" s="2930"/>
    </row>
    <row r="64" spans="1:7">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1" t="s">
        <v>3146</v>
      </c>
      <c r="G79" s="2930">
        <v>45716</v>
      </c>
    </row>
    <row r="80" spans="1:7">
      <c r="A80">
        <f>SUM(A78:A79)</f>
        <v>8993.17</v>
      </c>
      <c r="C80">
        <v>240</v>
      </c>
      <c r="E80">
        <v>256.8</v>
      </c>
      <c r="G80">
        <v>274.77999999999997</v>
      </c>
    </row>
    <row r="81" spans="1:7">
      <c r="A81">
        <f>C78+E78+C80+E80+G80</f>
        <v>1149.58</v>
      </c>
    </row>
    <row r="86" spans="1:7" ht="22.5">
      <c r="A86" s="2932" t="s">
        <v>3150</v>
      </c>
    </row>
    <row r="87" spans="1:7">
      <c r="G87" s="2930"/>
    </row>
    <row r="88" spans="1:7">
      <c r="G88" s="2930"/>
    </row>
    <row r="89" spans="1:7">
      <c r="G89" s="2930"/>
    </row>
    <row r="90" spans="1:7">
      <c r="G90" s="2930"/>
    </row>
    <row r="94" spans="1:7">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B3"/>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137395</v>
      </c>
      <c r="C2" s="2568" t="s">
        <v>2520</v>
      </c>
      <c r="D2" s="2569" t="s">
        <v>2521</v>
      </c>
      <c r="E2" s="2570">
        <f>SUM(E6:E13)</f>
        <v>116944.15</v>
      </c>
    </row>
    <row r="3" spans="1:6" ht="15.75">
      <c r="A3" s="2566" t="s">
        <v>1396</v>
      </c>
      <c r="B3" s="2567">
        <f ca="1">ROUND(B2*10000/E2,0)</f>
        <v>11749</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收益法-主楼</v>
      </c>
      <c r="B6" s="2577">
        <f ca="1">IF(F6="是",'数据-取费表'!AO6,0)</f>
        <v>34886</v>
      </c>
      <c r="C6" s="2568" t="s">
        <v>2520</v>
      </c>
      <c r="D6" s="2571"/>
      <c r="E6" s="2579">
        <f>IF(OR(A6=0,F6="否"),0,'数据-取费表'!K6+'数据-取费表'!S6)</f>
        <v>21723.46</v>
      </c>
      <c r="F6" s="2580" t="s">
        <v>2526</v>
      </c>
    </row>
    <row r="7" spans="1:6">
      <c r="A7" s="2578" t="str">
        <f>'数据-取费表'!AN7</f>
        <v>收益法-别墅</v>
      </c>
      <c r="B7" s="2577">
        <f ca="1">IF(F8="是",'数据-取费表'!AO7,0)</f>
        <v>56567</v>
      </c>
      <c r="C7" s="2568" t="s">
        <v>2520</v>
      </c>
      <c r="D7" s="2571"/>
      <c r="E7" s="2579">
        <f>IF(OR(A7=0,F7="否"),0,'数据-取费表'!K7+'数据-取费表'!S7)</f>
        <v>38237.479999999996</v>
      </c>
      <c r="F7" s="2580" t="s">
        <v>2526</v>
      </c>
    </row>
    <row r="8" spans="1:6">
      <c r="A8" s="2578" t="str">
        <f>'数据-取费表'!AN8</f>
        <v>收益法三期</v>
      </c>
      <c r="B8" s="2577">
        <f ca="1">IF(F8="是",'数据-取费表'!AO8,0)</f>
        <v>45942</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3119</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34886</v>
      </c>
      <c r="C2" s="1844" t="s">
        <v>1518</v>
      </c>
      <c r="D2" s="1844"/>
      <c r="E2" s="1845"/>
      <c r="F2" s="1846"/>
      <c r="G2" s="1847"/>
      <c r="H2" s="1839"/>
      <c r="I2" s="1839"/>
      <c r="J2" s="1839"/>
      <c r="K2" s="1840"/>
      <c r="L2" s="1839"/>
      <c r="M2" s="1839"/>
    </row>
    <row r="3" spans="1:37" ht="18" customHeight="1" thickBot="1">
      <c r="A3" s="1848" t="s">
        <v>1519</v>
      </c>
      <c r="B3" s="1849">
        <f ca="1">IF(ISERROR(B2*10000/F43),0,ROUND(B2*10000/F43,0))</f>
        <v>16059</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2878</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21723.46</v>
      </c>
      <c r="G7" s="1850"/>
      <c r="H7" s="349"/>
      <c r="I7" s="3236"/>
      <c r="J7" s="351"/>
      <c r="K7" s="352"/>
      <c r="L7" s="347" t="s">
        <v>1407</v>
      </c>
      <c r="M7" s="348">
        <f ca="1">F7</f>
        <v>21723.46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12728</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9776</v>
      </c>
      <c r="D14" s="1799" t="s">
        <v>1420</v>
      </c>
      <c r="E14" s="1793"/>
      <c r="F14" s="364"/>
      <c r="G14" s="1850"/>
      <c r="H14" s="1201" t="s">
        <v>1035</v>
      </c>
      <c r="I14" s="347" t="s">
        <v>1421</v>
      </c>
      <c r="J14" s="23">
        <f ca="1">C29</f>
        <v>15428</v>
      </c>
      <c r="K14" s="14"/>
      <c r="L14" s="979"/>
      <c r="M14" s="980"/>
    </row>
    <row r="15" spans="1:37" s="1857" customFormat="1" ht="18" customHeight="1" thickBot="1">
      <c r="A15" s="1201" t="s">
        <v>1036</v>
      </c>
      <c r="B15" s="347" t="s">
        <v>1422</v>
      </c>
      <c r="C15" s="23">
        <f ca="1">ROUND(C14*F15,0)</f>
        <v>293</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596</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133.5</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147</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10650</v>
      </c>
      <c r="D19" s="139" t="s">
        <v>1438</v>
      </c>
      <c r="E19" s="1817"/>
      <c r="F19" s="25"/>
      <c r="G19" s="1850"/>
      <c r="H19" s="1201" t="s">
        <v>1036</v>
      </c>
      <c r="I19" s="347" t="s">
        <v>1439</v>
      </c>
      <c r="J19" s="23">
        <f ca="1">IF(K19="按租金收入计税",ROUND(J5*M19,2),ROUND(C29*M19*0.7,2))</f>
        <v>129.6</v>
      </c>
      <c r="K19" s="1827" t="s">
        <v>1440</v>
      </c>
      <c r="L19" s="347" t="s">
        <v>1424</v>
      </c>
      <c r="M19" s="367">
        <f>IF(K19="按租金收入计税",'数据-取费表'!B51,'数据-取费表'!B50)</f>
        <v>1.2E-2</v>
      </c>
    </row>
    <row r="20" spans="1:37" s="1857" customFormat="1" ht="18" customHeight="1">
      <c r="A20" s="1201" t="s">
        <v>1039</v>
      </c>
      <c r="B20" s="347" t="s">
        <v>1441</v>
      </c>
      <c r="C20" s="23">
        <f ca="1">ROUND(C19*F20,0)</f>
        <v>320</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462.8</v>
      </c>
      <c r="K22" s="1797"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791</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-596</v>
      </c>
      <c r="K25" s="1345" t="s">
        <v>1466</v>
      </c>
      <c r="L25" s="1346"/>
      <c r="M25" s="1347"/>
    </row>
    <row r="26" spans="1:37">
      <c r="A26" s="1201" t="s">
        <v>1034</v>
      </c>
      <c r="B26" s="347" t="s">
        <v>1467</v>
      </c>
      <c r="C26" s="23">
        <f ca="1">ROUND((C19+C20)*F26,0)</f>
        <v>2194</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15428</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931</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298.5</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165.04</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129.6</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462.8</v>
      </c>
      <c r="D36" s="1797"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25.5</v>
      </c>
      <c r="D37" s="1797"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1947</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34886</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16059</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-43719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34886</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15428</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13968</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33" t="s">
        <v>1550</v>
      </c>
      <c r="L53" s="3234"/>
      <c r="O53" s="1883" t="s">
        <v>1046</v>
      </c>
      <c r="P53" s="1884" t="s">
        <v>1551</v>
      </c>
      <c r="Q53" s="1885">
        <f ca="1">Q47+Q48</f>
        <v>34886</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12728</v>
      </c>
      <c r="D56" s="1913"/>
      <c r="E56" s="1914"/>
      <c r="F56" s="1906"/>
      <c r="I56" s="1915" t="s">
        <v>1556</v>
      </c>
      <c r="J56" s="1916" t="s">
        <v>3044</v>
      </c>
      <c r="K56" s="1886" t="s">
        <v>1557</v>
      </c>
      <c r="L56" s="1889" t="str">
        <f ca="1">IF(L48&lt;J51,"——",L48-J53)</f>
        <v>——</v>
      </c>
      <c r="O56" s="1883" t="s">
        <v>1040</v>
      </c>
      <c r="P56" s="1884" t="s">
        <v>1530</v>
      </c>
      <c r="Q56" s="1885">
        <f ca="1">C40+J29</f>
        <v>34886</v>
      </c>
      <c r="R56" s="1885" t="s">
        <v>1531</v>
      </c>
    </row>
    <row r="57" spans="1:18" s="1841" customFormat="1" ht="24.75" thickBot="1">
      <c r="A57" s="1917"/>
      <c r="B57" s="1169" t="s">
        <v>1480</v>
      </c>
      <c r="C57" s="282">
        <f ca="1">C29</f>
        <v>15428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622</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133.5</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129.6</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34886</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462.8</v>
      </c>
      <c r="D64" s="1183" t="s">
        <v>1504</v>
      </c>
      <c r="E64" s="1169" t="s">
        <v>1496</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25.5</v>
      </c>
      <c r="D65" s="1183" t="s">
        <v>1456</v>
      </c>
      <c r="E65" s="1169" t="s">
        <v>1457</v>
      </c>
      <c r="F65" s="376">
        <f t="shared" ca="1" si="0"/>
        <v>2E-3</v>
      </c>
      <c r="I65" s="1928" t="s">
        <v>1581</v>
      </c>
      <c r="J65" s="1929">
        <v>40</v>
      </c>
      <c r="K65" s="1929">
        <v>30</v>
      </c>
      <c r="L65" s="1929">
        <v>50</v>
      </c>
      <c r="M65" s="1931">
        <v>0.02</v>
      </c>
      <c r="O65" s="1883" t="s">
        <v>1040</v>
      </c>
      <c r="P65" s="1884" t="s">
        <v>1582</v>
      </c>
      <c r="Q65" s="1885">
        <f ca="1">C40+J29</f>
        <v>34886</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-622</v>
      </c>
      <c r="D67" s="1182" t="s">
        <v>1466</v>
      </c>
      <c r="E67" s="1187"/>
      <c r="F67" s="1188"/>
      <c r="O67" s="1893" t="s">
        <v>1042</v>
      </c>
      <c r="P67" s="1884" t="s">
        <v>1564</v>
      </c>
      <c r="Q67" s="1932">
        <f ca="1">L51</f>
        <v>13968</v>
      </c>
      <c r="R67" s="1885" t="s">
        <v>1584</v>
      </c>
    </row>
    <row r="68" spans="1:18" s="1841" customFormat="1" ht="16.5" thickBot="1">
      <c r="A68" s="1166" t="s">
        <v>1032</v>
      </c>
      <c r="B68" s="1167" t="s">
        <v>1487</v>
      </c>
      <c r="C68" s="346">
        <f ca="1">ROUND(C67*(1-((1+F70)/(1+F68))^F69)/(F68-F70),0)</f>
        <v>-8833</v>
      </c>
      <c r="D68" s="1184" t="s">
        <v>1471</v>
      </c>
      <c r="E68" s="1169" t="s">
        <v>1472</v>
      </c>
      <c r="F68" s="357">
        <f ca="1">F40</f>
        <v>0.06</v>
      </c>
      <c r="O68" s="1893" t="s">
        <v>1043</v>
      </c>
      <c r="P68" s="1933" t="s">
        <v>1585</v>
      </c>
      <c r="Q68" s="1885">
        <f ca="1">ROUND(Q69-Q70*Q71,0)</f>
        <v>929</v>
      </c>
      <c r="R68" s="1885" t="s">
        <v>1051</v>
      </c>
    </row>
    <row r="69" spans="1:18" s="1841" customFormat="1" ht="13.5" thickBot="1">
      <c r="A69" s="1170"/>
      <c r="B69" s="1171"/>
      <c r="C69" s="351"/>
      <c r="D69" s="1189" t="s">
        <v>1475</v>
      </c>
      <c r="E69" s="1169" t="s">
        <v>1476</v>
      </c>
      <c r="F69" s="379">
        <f ca="1">F41</f>
        <v>32.79</v>
      </c>
      <c r="O69" s="1893" t="s">
        <v>1048</v>
      </c>
      <c r="P69" s="1933" t="s">
        <v>1586</v>
      </c>
      <c r="Q69" s="1885">
        <f ca="1">C39</f>
        <v>1947</v>
      </c>
      <c r="R69" s="1885" t="s">
        <v>1531</v>
      </c>
    </row>
    <row r="70" spans="1:18" s="1841" customFormat="1" ht="13.5" thickBot="1">
      <c r="A70" s="1173"/>
      <c r="B70" s="1174"/>
      <c r="C70" s="355"/>
      <c r="D70" s="1185"/>
      <c r="E70" s="1169" t="s">
        <v>1479</v>
      </c>
      <c r="F70" s="1275"/>
      <c r="O70" s="1893" t="s">
        <v>1049</v>
      </c>
      <c r="P70" s="1933" t="s">
        <v>1587</v>
      </c>
      <c r="Q70" s="1885">
        <f ca="1">C13</f>
        <v>12728</v>
      </c>
      <c r="R70" s="1885" t="s">
        <v>1531</v>
      </c>
    </row>
    <row r="71" spans="1:18" s="1841" customFormat="1" ht="13.5" thickBot="1">
      <c r="A71" s="1190" t="s">
        <v>1033</v>
      </c>
      <c r="B71" s="1191" t="s">
        <v>1489</v>
      </c>
      <c r="C71" s="382">
        <f ca="1">ROUND(C68*10000/F71,0)</f>
        <v>-4066</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1018</v>
      </c>
      <c r="D75" s="1841"/>
      <c r="E75" s="1841"/>
      <c r="F75" s="1841"/>
      <c r="K75" s="1867"/>
      <c r="L75" s="1841"/>
      <c r="O75" s="1883" t="s">
        <v>1046</v>
      </c>
      <c r="P75" s="1884" t="s">
        <v>1551</v>
      </c>
      <c r="Q75" s="1885">
        <f ca="1">Q65+Q66</f>
        <v>34886</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f ca="1">1-C83</f>
        <v>0.63500000000000001</v>
      </c>
    </row>
    <row r="83" spans="2:3">
      <c r="B83" s="317" t="s">
        <v>1516</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35" t="s">
        <v>1404</v>
      </c>
      <c r="C6" s="1296">
        <f ca="1">ROUND(F6*F8*F7*(1-F9),0)</f>
        <v>0</v>
      </c>
      <c r="D6" s="164" t="s">
        <v>3030</v>
      </c>
      <c r="E6" s="347" t="s">
        <v>1406</v>
      </c>
      <c r="F6" s="348">
        <f ca="1">INDIRECT("'数据-取费表'!u"&amp;$G$1)</f>
        <v>0</v>
      </c>
      <c r="G6" s="1850"/>
      <c r="H6" s="1291" t="s">
        <v>1035</v>
      </c>
      <c r="I6" s="3235" t="s">
        <v>1404</v>
      </c>
      <c r="J6" s="346">
        <f ca="1">ROUND(M6*M8*M7*(1-M9),0)</f>
        <v>0</v>
      </c>
      <c r="K6" s="1833" t="s">
        <v>3033</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33" t="s">
        <v>1550</v>
      </c>
      <c r="L53" s="3234"/>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6.0499999999999998E-2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1638</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44.8</v>
      </c>
      <c r="D37" s="2975"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3428</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-14677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23117</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1094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228.1</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814.7</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44.8</v>
      </c>
      <c r="D65" s="1183" t="s">
        <v>1456</v>
      </c>
      <c r="E65" s="1169" t="s">
        <v>1424</v>
      </c>
      <c r="F65" s="376">
        <f t="shared" ca="1" si="0"/>
        <v>2E-3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-1094</v>
      </c>
      <c r="D67" s="1182" t="s">
        <v>1466</v>
      </c>
      <c r="E67" s="1187"/>
      <c r="F67" s="1188"/>
      <c r="O67" s="1893" t="s">
        <v>1042</v>
      </c>
      <c r="P67" s="1884" t="s">
        <v>1564</v>
      </c>
      <c r="Q67" s="1932">
        <f ca="1">L51</f>
        <v>23117</v>
      </c>
      <c r="R67" s="1885" t="s">
        <v>1584</v>
      </c>
    </row>
    <row r="68" spans="1:18" s="1841" customFormat="1" ht="16.5" thickBot="1">
      <c r="A68" s="1166" t="s">
        <v>1032</v>
      </c>
      <c r="B68" s="1167" t="s">
        <v>1487</v>
      </c>
      <c r="C68" s="346">
        <f ca="1">ROUND(C67*(1-((1+F70)/(1+F68))^F69)/(F68-F70),0)</f>
        <v>-14677</v>
      </c>
      <c r="D68" s="1184" t="s">
        <v>1471</v>
      </c>
      <c r="E68" s="1169" t="s">
        <v>1472</v>
      </c>
      <c r="F68" s="357">
        <f ca="1">F40</f>
        <v>0.06</v>
      </c>
      <c r="O68" s="1893" t="s">
        <v>1043</v>
      </c>
      <c r="P68" s="1933" t="s">
        <v>1585</v>
      </c>
      <c r="Q68" s="1885">
        <f ca="1">ROUND(Q69-Q70*Q71,0)</f>
        <v>1636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3428</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-3838</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F36" sqref="F36:F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56567</v>
      </c>
      <c r="C2" s="1844" t="s">
        <v>1518</v>
      </c>
      <c r="D2" s="1844"/>
      <c r="E2" s="1845"/>
      <c r="F2" s="1846"/>
      <c r="G2" s="1847"/>
      <c r="H2" s="1839"/>
      <c r="I2" s="1839"/>
      <c r="J2" s="1839"/>
      <c r="K2" s="1840"/>
      <c r="L2" s="1839"/>
      <c r="M2" s="1839"/>
    </row>
    <row r="3" spans="1:37" ht="18" customHeight="1" thickBot="1">
      <c r="A3" s="1848" t="s">
        <v>1519</v>
      </c>
      <c r="B3" s="1849">
        <f ca="1">IF(ISERROR(B2*10000/F43),0,ROUND(B2*10000/F43,0))</f>
        <v>14794</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1638</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44.8</v>
      </c>
      <c r="D37" s="2975"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3428</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56567</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14794</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-71244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56567</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23117</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56567</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56567</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1094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228.1</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56567</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814.7</v>
      </c>
      <c r="D64" s="1183" t="s">
        <v>1484</v>
      </c>
      <c r="E64" s="1169" t="s">
        <v>1457</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44.8</v>
      </c>
      <c r="D65" s="1183" t="s">
        <v>1456</v>
      </c>
      <c r="E65" s="1169" t="s">
        <v>1457</v>
      </c>
      <c r="F65" s="376">
        <f t="shared" ca="1" si="0"/>
        <v>2E-3</v>
      </c>
      <c r="I65" s="1928" t="s">
        <v>1581</v>
      </c>
      <c r="J65" s="1929">
        <v>40</v>
      </c>
      <c r="K65" s="1929">
        <v>30</v>
      </c>
      <c r="L65" s="1929">
        <v>50</v>
      </c>
      <c r="M65" s="1931">
        <v>0.02</v>
      </c>
      <c r="O65" s="1883" t="s">
        <v>1040</v>
      </c>
      <c r="P65" s="1884" t="s">
        <v>1530</v>
      </c>
      <c r="Q65" s="1885">
        <f ca="1">C40+J29</f>
        <v>56567</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-1094</v>
      </c>
      <c r="D67" s="1182" t="s">
        <v>1466</v>
      </c>
      <c r="E67" s="1187"/>
      <c r="F67" s="1188"/>
      <c r="O67" s="1893" t="s">
        <v>1042</v>
      </c>
      <c r="P67" s="1884" t="s">
        <v>1564</v>
      </c>
      <c r="Q67" s="1932">
        <f ca="1">L51</f>
        <v>23117</v>
      </c>
      <c r="R67" s="1885" t="s">
        <v>1584</v>
      </c>
    </row>
    <row r="68" spans="1:18" s="1841" customFormat="1" ht="16.5" thickBot="1">
      <c r="A68" s="1166" t="s">
        <v>1032</v>
      </c>
      <c r="B68" s="1167" t="s">
        <v>1487</v>
      </c>
      <c r="C68" s="346">
        <f ca="1">ROUND(C67*(1-((1+F70)/(1+F68))^F69)/(F68-F70),0)</f>
        <v>-14677</v>
      </c>
      <c r="D68" s="1184" t="s">
        <v>1471</v>
      </c>
      <c r="E68" s="1169" t="s">
        <v>1472</v>
      </c>
      <c r="F68" s="357">
        <f ca="1">F40</f>
        <v>0.06</v>
      </c>
      <c r="O68" s="1893" t="s">
        <v>1043</v>
      </c>
      <c r="P68" s="1933" t="s">
        <v>1585</v>
      </c>
      <c r="Q68" s="1885">
        <f ca="1">ROUND(Q69-Q70*Q71,0)</f>
        <v>1636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3428</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-3838</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56567</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f ca="1">1-C83</f>
        <v>0.60399999999999998</v>
      </c>
    </row>
    <row r="83" spans="2:3">
      <c r="B83" s="317" t="s">
        <v>1516</v>
      </c>
      <c r="C83" s="318">
        <f ca="1">ROUND(C13/C40,3)</f>
        <v>0.39600000000000002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6" zoomScale="90" zoomScaleNormal="90" zoomScaleSheetLayoutView="90" workbookViewId="0">
      <selection activeCell="J22" sqref="J22:J29"/>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3112</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45942</v>
      </c>
      <c r="C2" s="1844" t="s">
        <v>1518</v>
      </c>
      <c r="D2" s="1844"/>
      <c r="E2" s="1845"/>
      <c r="F2" s="1846"/>
      <c r="G2" s="1847"/>
      <c r="H2" s="1839"/>
      <c r="I2" s="1839"/>
      <c r="J2" s="1839"/>
      <c r="K2" s="1840"/>
      <c r="L2" s="1839"/>
      <c r="M2" s="1839"/>
    </row>
    <row r="3" spans="1:37" ht="18" customHeight="1" thickBot="1">
      <c r="A3" s="1848" t="s">
        <v>1519</v>
      </c>
      <c r="B3" s="1849">
        <f ca="1">IF(ISERROR(B2*10000/F43),0,ROUND(B2*10000/F43,0))</f>
        <v>8062</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5200</v>
      </c>
      <c r="K5" s="1821" t="s">
        <v>1403</v>
      </c>
      <c r="L5" s="1293"/>
      <c r="M5" s="1294"/>
    </row>
    <row r="6" spans="1:37" ht="18" customHeight="1">
      <c r="A6" s="1291" t="s">
        <v>1035</v>
      </c>
      <c r="B6" s="3235" t="s">
        <v>1404</v>
      </c>
      <c r="C6" s="1296">
        <f ca="1">ROUND(F6*F8*F7*(1-F9)/10000,0)</f>
        <v>0</v>
      </c>
      <c r="D6" s="164" t="s">
        <v>3035</v>
      </c>
      <c r="E6" s="347" t="s">
        <v>1406</v>
      </c>
      <c r="F6" s="348">
        <f ca="1">INDIRECT("'数据-取费表'!u"&amp;$G$1)</f>
        <v>0</v>
      </c>
      <c r="G6" s="1850"/>
      <c r="H6" s="1291" t="s">
        <v>1035</v>
      </c>
      <c r="I6" s="3235" t="s">
        <v>1404</v>
      </c>
      <c r="J6" s="346">
        <f ca="1">ROUND(M6*M8*M7*(1-M9)/10000,0)</f>
        <v>5200</v>
      </c>
      <c r="K6" s="164" t="s">
        <v>3034</v>
      </c>
      <c r="L6" s="347" t="s">
        <v>1406</v>
      </c>
      <c r="M6" s="348">
        <f ca="1">INDIRECT("'数据-取费表'!z"&amp;$G$1)</f>
        <v>2.5</v>
      </c>
    </row>
    <row r="7" spans="1:37" ht="18" customHeight="1">
      <c r="A7" s="1295"/>
      <c r="B7" s="3236"/>
      <c r="C7" s="1297"/>
      <c r="D7" s="352"/>
      <c r="E7" s="2943" t="s">
        <v>1407</v>
      </c>
      <c r="F7" s="348">
        <f ca="1">IF(INDIRECT("'数据-取费表'!ah"&amp;$G$1)="",INDIRECT("'数据-取费表'!k"&amp;$G$1),INDIRECT("'数据-取费表'!ah"&amp;$G$1))</f>
        <v>56983.21</v>
      </c>
      <c r="G7" s="1850"/>
      <c r="H7" s="349"/>
      <c r="I7" s="3236"/>
      <c r="J7" s="351"/>
      <c r="K7" s="352"/>
      <c r="L7" s="347" t="s">
        <v>1407</v>
      </c>
      <c r="M7" s="348">
        <f ca="1">F7</f>
        <v>56983.21</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0.15</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33386</v>
      </c>
      <c r="D13" s="1331" t="s">
        <v>1417</v>
      </c>
      <c r="E13" s="1331" t="s">
        <v>1418</v>
      </c>
      <c r="F13" s="1332">
        <f ca="1">INDIRECT("'数据-取费表'!y"&amp;$G$1)</f>
        <v>0.82499999999999996</v>
      </c>
      <c r="G13" s="1850"/>
      <c r="H13" s="1329">
        <v>2</v>
      </c>
      <c r="I13" s="1330" t="s">
        <v>1416</v>
      </c>
      <c r="J13" s="1290">
        <f ca="1">ROUND(J14*J15,0)</f>
        <v>33042</v>
      </c>
      <c r="K13" s="1337" t="s">
        <v>1417</v>
      </c>
      <c r="L13" s="1851"/>
      <c r="M13" s="1852"/>
    </row>
    <row r="14" spans="1:37" ht="18" customHeight="1">
      <c r="A14" s="1201" t="s">
        <v>1034</v>
      </c>
      <c r="B14" s="347" t="s">
        <v>1419</v>
      </c>
      <c r="C14" s="363">
        <f ca="1">INDIRECT("'数据-取费表'!m"&amp;$G$1)+INDIRECT("'数据-取费表'!t"&amp;$G$1)</f>
        <v>25642</v>
      </c>
      <c r="D14" s="2937" t="s">
        <v>1420</v>
      </c>
      <c r="E14" s="2935"/>
      <c r="F14" s="364"/>
      <c r="G14" s="1850"/>
      <c r="H14" s="1201" t="s">
        <v>1035</v>
      </c>
      <c r="I14" s="347" t="s">
        <v>1421</v>
      </c>
      <c r="J14" s="23">
        <f ca="1">C29</f>
        <v>40468</v>
      </c>
      <c r="K14" s="2942"/>
      <c r="L14" s="979"/>
      <c r="M14" s="980"/>
    </row>
    <row r="15" spans="1:37" s="1857" customFormat="1" ht="18" customHeight="1" thickBot="1">
      <c r="A15" s="1201" t="s">
        <v>1036</v>
      </c>
      <c r="B15" s="347" t="s">
        <v>1422</v>
      </c>
      <c r="C15" s="23">
        <f ca="1">ROUND(C14*F15,0)</f>
        <v>769</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2188</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648.20000000000005</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385</v>
      </c>
      <c r="D18" s="347" t="s">
        <v>1423</v>
      </c>
      <c r="E18" s="347" t="s">
        <v>1424</v>
      </c>
      <c r="F18" s="367">
        <f>'数据-取费表'!B36</f>
        <v>1.4999999999999999E-2</v>
      </c>
      <c r="G18" s="1853"/>
      <c r="H18" s="1201" t="s">
        <v>1034</v>
      </c>
      <c r="I18" s="347" t="s">
        <v>1435</v>
      </c>
      <c r="J18" s="23">
        <f ca="1">ROUND(J5*M18/(1+'数据-取费表'!C42),2)</f>
        <v>298.2</v>
      </c>
      <c r="K18" s="2936"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27936</v>
      </c>
      <c r="D19" s="139" t="s">
        <v>1438</v>
      </c>
      <c r="E19" s="2941"/>
      <c r="F19" s="25"/>
      <c r="G19" s="1850"/>
      <c r="H19" s="1201" t="s">
        <v>1036</v>
      </c>
      <c r="I19" s="347" t="s">
        <v>1439</v>
      </c>
      <c r="J19" s="23">
        <f ca="1">IF(K19="按租金收入计税",ROUND(J5*M19,2),ROUND(C29*M19*0.7,2))</f>
        <v>339.93</v>
      </c>
      <c r="K19" s="1827" t="s">
        <v>1440</v>
      </c>
      <c r="L19" s="347" t="s">
        <v>1424</v>
      </c>
      <c r="M19" s="367">
        <f>IF(K19="按租金收入计税",'数据-取费表'!B51,'数据-取费表'!B50)</f>
        <v>1.2E-2</v>
      </c>
    </row>
    <row r="20" spans="1:37" s="1857" customFormat="1" ht="18" customHeight="1">
      <c r="A20" s="1201" t="s">
        <v>1039</v>
      </c>
      <c r="B20" s="347" t="s">
        <v>1441</v>
      </c>
      <c r="C20" s="23">
        <f ca="1">ROUND(C19*F20,0)</f>
        <v>838</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1214</v>
      </c>
      <c r="K22" s="2936"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2074</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66.099999999999994</v>
      </c>
      <c r="K23" s="2936"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260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3012</v>
      </c>
      <c r="K25" s="1345" t="s">
        <v>1466</v>
      </c>
      <c r="L25" s="1346"/>
      <c r="M25" s="1347"/>
    </row>
    <row r="26" spans="1:37">
      <c r="A26" s="1201" t="s">
        <v>1034</v>
      </c>
      <c r="B26" s="347" t="s">
        <v>1467</v>
      </c>
      <c r="C26" s="23">
        <f ca="1">ROUND((C19+C20)*F26,0)</f>
        <v>5755</v>
      </c>
      <c r="D26" s="369" t="s">
        <v>1468</v>
      </c>
      <c r="E26" s="358" t="s">
        <v>1469</v>
      </c>
      <c r="F26" s="357">
        <f ca="1">INDIRECT("'数据-取费表'!q"&amp;$G$1)</f>
        <v>0.2</v>
      </c>
      <c r="G26" s="1850"/>
      <c r="H26" s="344" t="s">
        <v>1032</v>
      </c>
      <c r="I26" s="345" t="s">
        <v>1470</v>
      </c>
      <c r="J26" s="346">
        <f ca="1">IF(J5&lt;&gt;0,ROUND(J25*(1-((1+M28)/(1+M26))^M27)/(M26-M28),0),0)</f>
        <v>48699</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0.02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40468</v>
      </c>
      <c r="D29" s="1342"/>
      <c r="E29" s="1340"/>
      <c r="F29" s="1343"/>
      <c r="G29" s="1853"/>
      <c r="H29" s="380" t="s">
        <v>1033</v>
      </c>
      <c r="I29" s="381" t="s">
        <v>1481</v>
      </c>
      <c r="J29" s="382">
        <f ca="1">ROUND(J26/(1+F40)^F41,0)</f>
        <v>45942</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1631</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350</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339.93</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1214</v>
      </c>
      <c r="D36" s="2936"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66.8</v>
      </c>
      <c r="D37" s="2936"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-1631</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-1539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45942</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40468</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-60795</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45942</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33386</v>
      </c>
      <c r="D56" s="1913"/>
      <c r="E56" s="1914"/>
      <c r="F56" s="1906"/>
      <c r="I56" s="1915" t="s">
        <v>1556</v>
      </c>
      <c r="J56" s="1916" t="s">
        <v>3044</v>
      </c>
      <c r="K56" s="1886" t="s">
        <v>1557</v>
      </c>
      <c r="L56" s="1889" t="str">
        <f ca="1">IF(L48&lt;J51,"——",L48-J53)</f>
        <v>——</v>
      </c>
      <c r="O56" s="1883" t="s">
        <v>1040</v>
      </c>
      <c r="P56" s="1884" t="s">
        <v>1530</v>
      </c>
      <c r="Q56" s="1885">
        <f ca="1">C40+J29</f>
        <v>45942</v>
      </c>
      <c r="R56" s="1885" t="s">
        <v>1531</v>
      </c>
    </row>
    <row r="57" spans="1:18" s="1841" customFormat="1" ht="24.75" thickBot="1">
      <c r="A57" s="1917"/>
      <c r="B57" s="1169" t="s">
        <v>1480</v>
      </c>
      <c r="C57" s="282">
        <f ca="1">C29</f>
        <v>40468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1631</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350</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339.93</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45942</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1214</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66.8</v>
      </c>
      <c r="D65" s="1183" t="s">
        <v>1456</v>
      </c>
      <c r="E65" s="1169" t="s">
        <v>1424</v>
      </c>
      <c r="F65" s="376">
        <f t="shared" ca="1" si="0"/>
        <v>2E-3</v>
      </c>
      <c r="I65" s="1928" t="s">
        <v>1581</v>
      </c>
      <c r="J65" s="1929">
        <v>40</v>
      </c>
      <c r="K65" s="1929">
        <v>30</v>
      </c>
      <c r="L65" s="1929">
        <v>50</v>
      </c>
      <c r="M65" s="1931">
        <v>0.02</v>
      </c>
      <c r="O65" s="1883" t="s">
        <v>1040</v>
      </c>
      <c r="P65" s="1884" t="s">
        <v>1530</v>
      </c>
      <c r="Q65" s="1885">
        <f ca="1">C40+J29</f>
        <v>45942</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-1631</v>
      </c>
      <c r="D67" s="1182" t="s">
        <v>1466</v>
      </c>
      <c r="E67" s="1187"/>
      <c r="F67" s="1188"/>
      <c r="O67" s="1893" t="s">
        <v>1042</v>
      </c>
      <c r="P67" s="1884" t="s">
        <v>1564</v>
      </c>
      <c r="Q67" s="1932">
        <f ca="1">L51</f>
        <v>-60795</v>
      </c>
      <c r="R67" s="1885" t="s">
        <v>1584</v>
      </c>
    </row>
    <row r="68" spans="1:18" s="1841" customFormat="1" ht="16.5" thickBot="1">
      <c r="A68" s="1166" t="s">
        <v>1032</v>
      </c>
      <c r="B68" s="1167" t="s">
        <v>1487</v>
      </c>
      <c r="C68" s="346">
        <f ca="1">ROUND(C67*(1-((1+F70)/(1+F68))^F69)/(F68-F70),0)</f>
        <v>-1539</v>
      </c>
      <c r="D68" s="1184" t="s">
        <v>1471</v>
      </c>
      <c r="E68" s="1169" t="s">
        <v>1472</v>
      </c>
      <c r="F68" s="357">
        <f ca="1">F40</f>
        <v>0.06</v>
      </c>
      <c r="O68" s="1893" t="s">
        <v>1043</v>
      </c>
      <c r="P68" s="1933" t="s">
        <v>1585</v>
      </c>
      <c r="Q68" s="1885">
        <f ca="1">ROUND(Q69-Q70*Q71,0)</f>
        <v>-4302</v>
      </c>
      <c r="R68" s="1885" t="s">
        <v>1051</v>
      </c>
    </row>
    <row r="69" spans="1:18" s="1841" customFormat="1" ht="13.5" thickBot="1">
      <c r="A69" s="1170"/>
      <c r="B69" s="1171"/>
      <c r="C69" s="351"/>
      <c r="D69" s="1189" t="s">
        <v>1475</v>
      </c>
      <c r="E69" s="1169" t="s">
        <v>1476</v>
      </c>
      <c r="F69" s="379">
        <f ca="1">F41</f>
        <v>1</v>
      </c>
      <c r="O69" s="1893" t="s">
        <v>1048</v>
      </c>
      <c r="P69" s="1933" t="s">
        <v>1586</v>
      </c>
      <c r="Q69" s="1885">
        <f ca="1">C39</f>
        <v>-1631</v>
      </c>
      <c r="R69" s="1885" t="s">
        <v>1531</v>
      </c>
    </row>
    <row r="70" spans="1:18" s="1841" customFormat="1" ht="13.5" thickBot="1">
      <c r="A70" s="1173"/>
      <c r="B70" s="1174"/>
      <c r="C70" s="355"/>
      <c r="D70" s="1185"/>
      <c r="E70" s="1169" t="s">
        <v>1479</v>
      </c>
      <c r="F70" s="1275"/>
      <c r="O70" s="1893" t="s">
        <v>1049</v>
      </c>
      <c r="P70" s="1933" t="s">
        <v>1587</v>
      </c>
      <c r="Q70" s="1885">
        <f ca="1">C13</f>
        <v>33386</v>
      </c>
      <c r="R70" s="1885" t="s">
        <v>1531</v>
      </c>
    </row>
    <row r="71" spans="1:18" s="1841" customFormat="1" ht="13.5" thickBot="1">
      <c r="A71" s="1190" t="s">
        <v>1033</v>
      </c>
      <c r="B71" s="1191" t="s">
        <v>1489</v>
      </c>
      <c r="C71" s="382">
        <f ca="1">ROUND(C68*10000/F71,0)</f>
        <v>-270</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2671</v>
      </c>
      <c r="D75" s="1841"/>
      <c r="E75" s="1841"/>
      <c r="F75" s="1841"/>
      <c r="K75" s="1867"/>
      <c r="L75" s="1841"/>
      <c r="O75" s="1883" t="s">
        <v>1046</v>
      </c>
      <c r="P75" s="1884" t="s">
        <v>1551</v>
      </c>
      <c r="Q75" s="1885">
        <f ca="1">Q65+Q66</f>
        <v>45942</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2.6379999999999999</v>
      </c>
    </row>
    <row r="80" spans="1:18">
      <c r="B80" s="386" t="s">
        <v>1513</v>
      </c>
      <c r="C80" s="318">
        <f ca="1">ROUND(C75/C39,3)</f>
        <v>-1.6379999999999999</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F25" sqref="F25"/>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301" t="s">
        <v>1079</v>
      </c>
      <c r="E2" s="1301" t="s">
        <v>1080</v>
      </c>
      <c r="F2" s="1301" t="s">
        <v>1081</v>
      </c>
      <c r="G2" s="1301" t="s">
        <v>1082</v>
      </c>
      <c r="H2" s="1301" t="s">
        <v>1083</v>
      </c>
      <c r="I2" s="1302" t="s">
        <v>1084</v>
      </c>
    </row>
    <row r="3" spans="1:9">
      <c r="A3" s="3243"/>
      <c r="B3" s="3244" t="s">
        <v>1085</v>
      </c>
      <c r="C3" s="3244"/>
      <c r="D3" s="1303"/>
      <c r="E3" s="1301"/>
      <c r="F3" s="1304"/>
      <c r="G3" s="1304"/>
      <c r="H3" s="1305"/>
      <c r="I3" s="1306">
        <f>ROUND(D3*E3*F3*G3*H3/10000,0)</f>
        <v>0</v>
      </c>
    </row>
    <row r="4" spans="1:9">
      <c r="A4" s="3243"/>
      <c r="B4" s="3244" t="s">
        <v>1086</v>
      </c>
      <c r="C4" s="3244"/>
      <c r="D4" s="1303"/>
      <c r="E4" s="1301"/>
      <c r="F4" s="1304"/>
      <c r="G4" s="1304"/>
      <c r="H4" s="1305"/>
      <c r="I4" s="1306">
        <f t="shared" ref="I4:I9" si="0">ROUND(D4*E4*F4*G4*H4/10000,0)</f>
        <v>0</v>
      </c>
    </row>
    <row r="5" spans="1:9">
      <c r="A5" s="3243"/>
      <c r="B5" s="3244" t="s">
        <v>1087</v>
      </c>
      <c r="C5" s="3244"/>
      <c r="D5" s="1303"/>
      <c r="E5" s="1301"/>
      <c r="F5" s="1304"/>
      <c r="G5" s="1304"/>
      <c r="H5" s="1305"/>
      <c r="I5" s="1306">
        <f t="shared" si="0"/>
        <v>0</v>
      </c>
    </row>
    <row r="6" spans="1:9">
      <c r="A6" s="3243"/>
      <c r="B6" s="3244" t="s">
        <v>1088</v>
      </c>
      <c r="C6" s="3244"/>
      <c r="D6" s="1303"/>
      <c r="E6" s="1301"/>
      <c r="F6" s="1304"/>
      <c r="G6" s="1304"/>
      <c r="H6" s="1305"/>
      <c r="I6" s="1306">
        <f t="shared" si="0"/>
        <v>0</v>
      </c>
    </row>
    <row r="7" spans="1:9">
      <c r="A7" s="3243"/>
      <c r="B7" s="3244" t="s">
        <v>1089</v>
      </c>
      <c r="C7" s="3244"/>
      <c r="D7" s="1303"/>
      <c r="E7" s="1301"/>
      <c r="F7" s="1304"/>
      <c r="G7" s="1304"/>
      <c r="H7" s="1305"/>
      <c r="I7" s="1306">
        <f t="shared" si="0"/>
        <v>0</v>
      </c>
    </row>
    <row r="8" spans="1:9">
      <c r="A8" s="3243"/>
      <c r="B8" s="3244" t="s">
        <v>1090</v>
      </c>
      <c r="C8" s="3244"/>
      <c r="D8" s="1303"/>
      <c r="E8" s="1301"/>
      <c r="F8" s="1304"/>
      <c r="G8" s="1304"/>
      <c r="H8" s="1305"/>
      <c r="I8" s="1306">
        <f t="shared" si="0"/>
        <v>0</v>
      </c>
    </row>
    <row r="9" spans="1:9">
      <c r="A9" s="3243"/>
      <c r="B9" s="3244" t="s">
        <v>1091</v>
      </c>
      <c r="C9" s="3244"/>
      <c r="D9" s="1303"/>
      <c r="E9" s="1301"/>
      <c r="F9" s="1304"/>
      <c r="G9" s="1304"/>
      <c r="H9" s="1305"/>
      <c r="I9" s="1306">
        <f t="shared" si="0"/>
        <v>0</v>
      </c>
    </row>
    <row r="10" spans="1:9">
      <c r="A10" s="3243"/>
      <c r="B10" s="3245" t="s">
        <v>1092</v>
      </c>
      <c r="C10" s="3245"/>
      <c r="D10" s="1307"/>
      <c r="E10" s="1307" t="e">
        <f>ROUND(D1*10000/D10/H9,0)</f>
        <v>#DIV/0!</v>
      </c>
      <c r="F10" s="1308"/>
      <c r="G10" s="1308"/>
      <c r="H10" s="1309"/>
      <c r="I10" s="1310">
        <f>SUM(I3:I9)</f>
        <v>0</v>
      </c>
    </row>
    <row r="11" spans="1:9" ht="14.25">
      <c r="A11" s="3243" t="s">
        <v>1093</v>
      </c>
      <c r="B11" s="3244" t="s">
        <v>1094</v>
      </c>
      <c r="C11" s="3244"/>
      <c r="D11" s="1303" t="s">
        <v>1095</v>
      </c>
      <c r="E11" s="1303" t="s">
        <v>1096</v>
      </c>
      <c r="F11" s="1304" t="s">
        <v>1097</v>
      </c>
      <c r="G11" s="1304" t="s">
        <v>1083</v>
      </c>
      <c r="H11" s="1311" t="s">
        <v>1098</v>
      </c>
      <c r="I11" s="1302" t="s">
        <v>1084</v>
      </c>
    </row>
    <row r="12" spans="1:9">
      <c r="A12" s="3243"/>
      <c r="B12" s="3244" t="s">
        <v>1099</v>
      </c>
      <c r="C12" s="3244"/>
      <c r="D12" s="1303"/>
      <c r="E12" s="1303"/>
      <c r="F12" s="1304"/>
      <c r="G12" s="1305"/>
      <c r="H12" s="1312"/>
      <c r="I12" s="1302">
        <f>ROUND(D12*E12*F12*G12/10000,0)</f>
        <v>0</v>
      </c>
    </row>
    <row r="13" spans="1:9">
      <c r="A13" s="3243"/>
      <c r="B13" s="3244" t="s">
        <v>1100</v>
      </c>
      <c r="C13" s="3244"/>
      <c r="D13" s="1303"/>
      <c r="E13" s="1303"/>
      <c r="F13" s="1304"/>
      <c r="G13" s="1305"/>
      <c r="H13" s="1312"/>
      <c r="I13" s="1302">
        <f>ROUND(D13*E13*F13*G13/10000,0)</f>
        <v>0</v>
      </c>
    </row>
    <row r="14" spans="1:9">
      <c r="A14" s="3243"/>
      <c r="B14" s="3244" t="s">
        <v>1101</v>
      </c>
      <c r="C14" s="3244"/>
      <c r="D14" s="1303"/>
      <c r="E14" s="1303"/>
      <c r="F14" s="1304"/>
      <c r="G14" s="1305"/>
      <c r="H14" s="1312"/>
      <c r="I14" s="1302">
        <f>ROUND(D14*E14*F14*G14/10000,0)</f>
        <v>0</v>
      </c>
    </row>
    <row r="15" spans="1:9">
      <c r="A15" s="3243"/>
      <c r="B15" s="3245" t="s">
        <v>1092</v>
      </c>
      <c r="C15" s="3245"/>
      <c r="D15" s="1307"/>
      <c r="E15" s="1307">
        <f>SUM(E12:E14)</f>
        <v>0</v>
      </c>
      <c r="F15" s="1308"/>
      <c r="G15" s="1305"/>
      <c r="H15" s="1312"/>
      <c r="I15" s="1313">
        <f>SUM(I12:I14)</f>
        <v>0</v>
      </c>
    </row>
    <row r="16" spans="1:9" ht="24">
      <c r="A16" s="3243" t="s">
        <v>1102</v>
      </c>
      <c r="B16" s="3244" t="s">
        <v>1103</v>
      </c>
      <c r="C16" s="3244"/>
      <c r="D16" s="1303" t="s">
        <v>1079</v>
      </c>
      <c r="E16" s="1314" t="s">
        <v>1104</v>
      </c>
      <c r="F16" s="1304" t="s">
        <v>1105</v>
      </c>
      <c r="G16" s="1305" t="s">
        <v>1083</v>
      </c>
      <c r="H16" s="1311" t="s">
        <v>1098</v>
      </c>
      <c r="I16" s="1302" t="s">
        <v>1084</v>
      </c>
    </row>
    <row r="17" spans="1:13" ht="14.25">
      <c r="A17" s="3243"/>
      <c r="B17" s="3244" t="s">
        <v>1106</v>
      </c>
      <c r="C17" s="3244"/>
      <c r="D17" s="1303"/>
      <c r="E17" s="1303"/>
      <c r="F17" s="1304"/>
      <c r="G17" s="1305"/>
      <c r="H17" s="1315"/>
      <c r="I17" s="1316">
        <f>ROUND(D17*E17*F17*G17/10000,0)</f>
        <v>0</v>
      </c>
    </row>
    <row r="18" spans="1:13" ht="14.25">
      <c r="A18" s="3243"/>
      <c r="B18" s="3244" t="s">
        <v>1107</v>
      </c>
      <c r="C18" s="3244"/>
      <c r="D18" s="1303"/>
      <c r="E18" s="1303"/>
      <c r="F18" s="1304"/>
      <c r="G18" s="1305"/>
      <c r="H18" s="1315"/>
      <c r="I18" s="1316">
        <f>ROUND(D18*E18*F18*G18/10000,0)</f>
        <v>0</v>
      </c>
    </row>
    <row r="19" spans="1:13" ht="14.25">
      <c r="A19" s="3243"/>
      <c r="B19" s="3244" t="s">
        <v>1108</v>
      </c>
      <c r="C19" s="3244"/>
      <c r="D19" s="1303"/>
      <c r="E19" s="1303"/>
      <c r="F19" s="1304"/>
      <c r="G19" s="1305"/>
      <c r="H19" s="1315"/>
      <c r="I19" s="1316">
        <f>ROUND(D19*E19*F19*G19/10000,0)</f>
        <v>0</v>
      </c>
    </row>
    <row r="20" spans="1:13">
      <c r="A20" s="3243"/>
      <c r="B20" s="3245" t="s">
        <v>1092</v>
      </c>
      <c r="C20" s="3245"/>
      <c r="D20" s="1307">
        <f>SUM(D17:D19)</f>
        <v>0</v>
      </c>
      <c r="E20" s="1307"/>
      <c r="F20" s="1308"/>
      <c r="G20" s="1305"/>
      <c r="H20" s="1312"/>
      <c r="I20" s="1313">
        <f>SUM(I17:I19)</f>
        <v>0</v>
      </c>
    </row>
    <row r="21" spans="1:13">
      <c r="A21" s="3243" t="s">
        <v>1109</v>
      </c>
      <c r="B21" s="3247"/>
      <c r="C21" s="3247"/>
      <c r="D21" s="3247"/>
      <c r="E21" s="3247"/>
      <c r="F21" s="3247"/>
      <c r="G21" s="3247"/>
      <c r="H21" s="1764">
        <v>0.1</v>
      </c>
      <c r="I21" s="1310">
        <f>ROUND(I10*H21,0)</f>
        <v>0</v>
      </c>
    </row>
    <row r="22" spans="1:13" ht="14.25">
      <c r="A22" s="3248" t="s">
        <v>1110</v>
      </c>
      <c r="B22" s="3249"/>
      <c r="C22" s="3250"/>
      <c r="D22" s="1317" t="s">
        <v>1111</v>
      </c>
      <c r="E22" s="1317" t="s">
        <v>1112</v>
      </c>
      <c r="F22" s="1318" t="s">
        <v>1113</v>
      </c>
      <c r="G22" s="1318" t="s">
        <v>1114</v>
      </c>
      <c r="H22" s="1311" t="s">
        <v>1115</v>
      </c>
      <c r="I22" s="1302" t="s">
        <v>1116</v>
      </c>
    </row>
    <row r="23" spans="1:13" ht="14.25" thickBot="1">
      <c r="A23" s="3251"/>
      <c r="B23" s="3252"/>
      <c r="C23" s="3253"/>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54">
        <f>C27-C30-C31-C32</f>
        <v>7938.1499999999987</v>
      </c>
      <c r="F26" s="3254"/>
      <c r="G26" s="3254"/>
      <c r="H26" s="1736" t="s">
        <v>1341</v>
      </c>
      <c r="M26">
        <v>131925847.18000001</v>
      </c>
    </row>
    <row r="27" spans="1:13">
      <c r="A27" s="1324">
        <v>1</v>
      </c>
      <c r="B27" s="1325" t="s">
        <v>1118</v>
      </c>
      <c r="C27" s="1325">
        <f>M29</f>
        <v>14433</v>
      </c>
      <c r="D27" s="1325"/>
      <c r="E27" s="3255"/>
      <c r="F27" s="3255"/>
      <c r="G27" s="3255"/>
      <c r="M27">
        <v>156734882.27000001</v>
      </c>
    </row>
    <row r="28" spans="1:13">
      <c r="A28" s="1326" t="s">
        <v>1119</v>
      </c>
      <c r="B28" s="1325" t="s">
        <v>1120</v>
      </c>
      <c r="C28" s="1325"/>
      <c r="D28" s="1325"/>
      <c r="E28" s="3255"/>
      <c r="F28" s="3255"/>
      <c r="G28" s="3255"/>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46"/>
      <c r="F32" s="3246"/>
      <c r="G32" s="3246"/>
    </row>
    <row r="33" spans="1:7" hidden="1">
      <c r="A33" s="3256" t="s">
        <v>1129</v>
      </c>
      <c r="B33" s="3257"/>
      <c r="C33" s="3257"/>
      <c r="D33" s="3258"/>
      <c r="E33" s="3254"/>
      <c r="F33" s="3254"/>
      <c r="G33" s="3254"/>
    </row>
    <row r="34" spans="1:7" hidden="1">
      <c r="A34" s="1328">
        <v>1</v>
      </c>
      <c r="B34" s="1325" t="s">
        <v>1130</v>
      </c>
      <c r="C34" s="1325"/>
      <c r="D34" s="1325"/>
      <c r="E34" s="3255"/>
      <c r="F34" s="3255"/>
      <c r="G34" s="3255"/>
    </row>
    <row r="35" spans="1:7" hidden="1">
      <c r="A35" s="1328">
        <v>2</v>
      </c>
      <c r="B35" s="1325" t="s">
        <v>1131</v>
      </c>
      <c r="C35" s="1325"/>
      <c r="D35" s="1325"/>
      <c r="E35" s="3255"/>
      <c r="F35" s="3255"/>
      <c r="G35" s="3255"/>
    </row>
    <row r="36" spans="1:7" hidden="1">
      <c r="A36" s="1328">
        <v>3</v>
      </c>
      <c r="B36" s="1325" t="s">
        <v>1132</v>
      </c>
      <c r="C36" s="1325"/>
      <c r="D36" s="1325"/>
      <c r="E36" s="3255"/>
      <c r="F36" s="3255"/>
      <c r="G36" s="3255"/>
    </row>
    <row r="37" spans="1:7" hidden="1">
      <c r="A37" s="1328">
        <v>4</v>
      </c>
      <c r="B37" s="1325" t="s">
        <v>1133</v>
      </c>
      <c r="C37" s="1325"/>
      <c r="D37" s="1325"/>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92" t="s">
        <v>2537</v>
      </c>
      <c r="D4" s="3193"/>
      <c r="E4" s="3194" t="s">
        <v>2538</v>
      </c>
      <c r="F4" s="3195"/>
      <c r="G4" s="3192" t="s">
        <v>2539</v>
      </c>
      <c r="H4" s="3193"/>
      <c r="I4" s="3192" t="s">
        <v>2540</v>
      </c>
      <c r="J4" s="3193"/>
      <c r="K4" s="2598" t="s">
        <v>2541</v>
      </c>
      <c r="L4" s="1130"/>
      <c r="M4" s="1131"/>
      <c r="N4" s="1131"/>
      <c r="O4" s="1131"/>
      <c r="P4" s="3196" t="s">
        <v>2542</v>
      </c>
      <c r="Q4" s="3197"/>
      <c r="R4" s="3179" t="s">
        <v>2538</v>
      </c>
      <c r="S4" s="3180"/>
      <c r="T4" s="3179" t="s">
        <v>2539</v>
      </c>
      <c r="U4" s="3180"/>
      <c r="V4" s="3204" t="s">
        <v>2540</v>
      </c>
      <c r="W4" s="3204"/>
      <c r="X4" s="1812"/>
      <c r="Y4" s="3179" t="s">
        <v>2542</v>
      </c>
      <c r="Z4" s="3180"/>
      <c r="AA4" s="3174" t="s">
        <v>2538</v>
      </c>
      <c r="AB4" s="3174" t="s">
        <v>2539</v>
      </c>
      <c r="AC4" s="3174" t="s">
        <v>2540</v>
      </c>
    </row>
    <row r="5" spans="1:29" ht="15">
      <c r="A5" s="404"/>
      <c r="B5" s="405"/>
      <c r="C5" s="3185" t="s">
        <v>2543</v>
      </c>
      <c r="D5" s="3186"/>
      <c r="E5" s="3183" t="s">
        <v>2544</v>
      </c>
      <c r="F5" s="3184"/>
      <c r="G5" s="3185" t="s">
        <v>2545</v>
      </c>
      <c r="H5" s="3186"/>
      <c r="I5" s="3185" t="s">
        <v>2546</v>
      </c>
      <c r="J5" s="3186"/>
      <c r="K5" s="2599"/>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2599"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7" t="s">
        <v>2550</v>
      </c>
      <c r="Q7" s="3205"/>
      <c r="R7" s="770" t="s">
        <v>23</v>
      </c>
      <c r="S7" s="771">
        <f t="shared" ref="S7:S15" si="0">F7</f>
        <v>0</v>
      </c>
      <c r="T7" s="770" t="s">
        <v>23</v>
      </c>
      <c r="U7" s="771">
        <f t="shared" ref="U7:U15" si="1">H7</f>
        <v>0</v>
      </c>
      <c r="V7" s="770" t="s">
        <v>23</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7" t="s">
        <v>2553</v>
      </c>
      <c r="Q8" s="3178"/>
      <c r="R8" s="770" t="s">
        <v>23</v>
      </c>
      <c r="S8" s="771">
        <f t="shared" si="0"/>
        <v>0</v>
      </c>
      <c r="T8" s="770" t="s">
        <v>23</v>
      </c>
      <c r="U8" s="771">
        <f t="shared" si="1"/>
        <v>0</v>
      </c>
      <c r="V8" s="770" t="s">
        <v>23</v>
      </c>
      <c r="W8" s="771">
        <f t="shared" si="2"/>
        <v>0</v>
      </c>
      <c r="X8" s="772"/>
      <c r="Y8" s="3177" t="s">
        <v>2553</v>
      </c>
      <c r="Z8" s="3178"/>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215"/>
      <c r="Q11" s="1794" t="str">
        <f t="shared" si="6"/>
        <v>容积率</v>
      </c>
      <c r="R11" s="770" t="s">
        <v>21</v>
      </c>
      <c r="S11" s="771" t="e">
        <f t="shared" si="0"/>
        <v>#N/A</v>
      </c>
      <c r="T11" s="770" t="s">
        <v>21</v>
      </c>
      <c r="U11" s="771" t="e">
        <f t="shared" si="1"/>
        <v>#N/A</v>
      </c>
      <c r="V11" s="770" t="s">
        <v>21</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215"/>
      <c r="Q12" s="1794">
        <f t="shared" si="6"/>
        <v>111</v>
      </c>
      <c r="R12" s="770" t="s">
        <v>21</v>
      </c>
      <c r="S12" s="771">
        <f t="shared" si="0"/>
        <v>100</v>
      </c>
      <c r="T12" s="770" t="s">
        <v>21</v>
      </c>
      <c r="U12" s="771">
        <f t="shared" si="1"/>
        <v>100</v>
      </c>
      <c r="V12" s="770" t="s">
        <v>21</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5"/>
      <c r="Q13" s="1794">
        <f t="shared" si="6"/>
        <v>111</v>
      </c>
      <c r="R13" s="770" t="s">
        <v>21</v>
      </c>
      <c r="S13" s="771">
        <f t="shared" si="0"/>
        <v>100</v>
      </c>
      <c r="T13" s="770" t="s">
        <v>21</v>
      </c>
      <c r="U13" s="771">
        <f t="shared" si="1"/>
        <v>100</v>
      </c>
      <c r="V13" s="770" t="s">
        <v>21</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5"/>
      <c r="Q14" s="1794">
        <f t="shared" si="6"/>
        <v>111</v>
      </c>
      <c r="R14" s="770" t="s">
        <v>21</v>
      </c>
      <c r="S14" s="771">
        <f t="shared" si="0"/>
        <v>100</v>
      </c>
      <c r="T14" s="770" t="s">
        <v>21</v>
      </c>
      <c r="U14" s="771">
        <f t="shared" si="1"/>
        <v>100</v>
      </c>
      <c r="V14" s="770" t="s">
        <v>21</v>
      </c>
      <c r="W14" s="771">
        <f t="shared" si="2"/>
        <v>100</v>
      </c>
      <c r="X14" s="772"/>
      <c r="Y14" s="3051"/>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5" t="s">
        <v>2561</v>
      </c>
      <c r="Q15" s="1809" t="str">
        <f t="shared" si="6"/>
        <v>居住社区成熟度</v>
      </c>
      <c r="R15" s="774" t="s">
        <v>21</v>
      </c>
      <c r="S15" s="775">
        <f t="shared" si="0"/>
        <v>100</v>
      </c>
      <c r="T15" s="774" t="s">
        <v>21</v>
      </c>
      <c r="U15" s="775">
        <f t="shared" si="1"/>
        <v>100</v>
      </c>
      <c r="V15" s="774" t="s">
        <v>21</v>
      </c>
      <c r="W15" s="775">
        <f t="shared" si="2"/>
        <v>100</v>
      </c>
      <c r="X15" s="1812"/>
      <c r="Y15" s="3206"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6"/>
      <c r="Q16" s="1809"/>
      <c r="R16" s="774"/>
      <c r="S16" s="775"/>
      <c r="T16" s="774"/>
      <c r="U16" s="775"/>
      <c r="V16" s="774"/>
      <c r="W16" s="775"/>
      <c r="X16" s="1812"/>
      <c r="Y16" s="3207"/>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6"/>
      <c r="Q17" s="1809" t="str">
        <f>B17</f>
        <v>交通便捷度</v>
      </c>
      <c r="R17" s="774" t="s">
        <v>21</v>
      </c>
      <c r="S17" s="775">
        <f>F17</f>
        <v>100</v>
      </c>
      <c r="T17" s="774" t="s">
        <v>21</v>
      </c>
      <c r="U17" s="775">
        <f>H17</f>
        <v>100</v>
      </c>
      <c r="V17" s="774" t="s">
        <v>21</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6"/>
      <c r="Q18" s="1809"/>
      <c r="R18" s="774"/>
      <c r="S18" s="775"/>
      <c r="T18" s="774"/>
      <c r="U18" s="775"/>
      <c r="V18" s="774"/>
      <c r="W18" s="775"/>
      <c r="X18" s="1812"/>
      <c r="Y18" s="3207"/>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6"/>
      <c r="Q19" s="1809" t="str">
        <f>B19</f>
        <v>公共配套设施</v>
      </c>
      <c r="R19" s="774" t="s">
        <v>21</v>
      </c>
      <c r="S19" s="775">
        <f>F19</f>
        <v>100</v>
      </c>
      <c r="T19" s="774" t="s">
        <v>21</v>
      </c>
      <c r="U19" s="775">
        <f>H19</f>
        <v>100</v>
      </c>
      <c r="V19" s="774" t="s">
        <v>21</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6"/>
      <c r="Q20" s="1809"/>
      <c r="R20" s="774"/>
      <c r="S20" s="775"/>
      <c r="T20" s="774"/>
      <c r="U20" s="775"/>
      <c r="V20" s="774"/>
      <c r="W20" s="775"/>
      <c r="X20" s="1812"/>
      <c r="Y20" s="3207"/>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6"/>
      <c r="Q22" s="1809"/>
      <c r="R22" s="774"/>
      <c r="S22" s="775"/>
      <c r="T22" s="774"/>
      <c r="U22" s="775"/>
      <c r="V22" s="774"/>
      <c r="W22" s="775"/>
      <c r="X22" s="1812"/>
      <c r="Y22" s="3207"/>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6"/>
      <c r="Q23" s="1809" t="str">
        <f>B23</f>
        <v>自然及人文环境</v>
      </c>
      <c r="R23" s="774" t="s">
        <v>21</v>
      </c>
      <c r="S23" s="775">
        <f>F23</f>
        <v>100</v>
      </c>
      <c r="T23" s="774" t="s">
        <v>21</v>
      </c>
      <c r="U23" s="775">
        <f>H23</f>
        <v>100</v>
      </c>
      <c r="V23" s="774" t="s">
        <v>21</v>
      </c>
      <c r="W23" s="775">
        <f>J23</f>
        <v>100</v>
      </c>
      <c r="X23" s="1812"/>
      <c r="Y23" s="320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6"/>
      <c r="Q24" s="1809"/>
      <c r="R24" s="774"/>
      <c r="S24" s="775"/>
      <c r="T24" s="774"/>
      <c r="U24" s="775"/>
      <c r="V24" s="774"/>
      <c r="W24" s="775"/>
      <c r="X24" s="1812"/>
      <c r="Y24" s="3207"/>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7"/>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6"/>
      <c r="Q26" s="1809" t="str">
        <f t="shared" si="11"/>
        <v>朝向</v>
      </c>
      <c r="R26" s="774" t="s">
        <v>21</v>
      </c>
      <c r="S26" s="775">
        <f t="shared" si="12"/>
        <v>100</v>
      </c>
      <c r="T26" s="774" t="s">
        <v>21</v>
      </c>
      <c r="U26" s="775">
        <f t="shared" si="13"/>
        <v>100</v>
      </c>
      <c r="V26" s="774" t="s">
        <v>21</v>
      </c>
      <c r="W26" s="775">
        <f t="shared" si="14"/>
        <v>100</v>
      </c>
      <c r="X26" s="1812"/>
      <c r="Y26" s="3207"/>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6"/>
      <c r="Q27" s="1794">
        <f t="shared" si="11"/>
        <v>111</v>
      </c>
      <c r="R27" s="770" t="s">
        <v>21</v>
      </c>
      <c r="S27" s="771">
        <f t="shared" si="12"/>
        <v>100</v>
      </c>
      <c r="T27" s="770" t="s">
        <v>21</v>
      </c>
      <c r="U27" s="771">
        <f t="shared" si="13"/>
        <v>100</v>
      </c>
      <c r="V27" s="770" t="s">
        <v>21</v>
      </c>
      <c r="W27" s="771">
        <f t="shared" si="14"/>
        <v>100</v>
      </c>
      <c r="X27" s="772"/>
      <c r="Y27" s="3207"/>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6"/>
      <c r="Q28" s="1809">
        <f t="shared" si="11"/>
        <v>111</v>
      </c>
      <c r="R28" s="774" t="s">
        <v>21</v>
      </c>
      <c r="S28" s="775">
        <f t="shared" si="12"/>
        <v>100</v>
      </c>
      <c r="T28" s="774" t="s">
        <v>21</v>
      </c>
      <c r="U28" s="775">
        <f t="shared" si="13"/>
        <v>100</v>
      </c>
      <c r="V28" s="774" t="s">
        <v>21</v>
      </c>
      <c r="W28" s="775">
        <f t="shared" si="14"/>
        <v>100</v>
      </c>
      <c r="X28" s="1812"/>
      <c r="Y28" s="320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6"/>
      <c r="Q29" s="1809">
        <f t="shared" si="11"/>
        <v>111</v>
      </c>
      <c r="R29" s="774" t="s">
        <v>21</v>
      </c>
      <c r="S29" s="775">
        <f t="shared" si="12"/>
        <v>100</v>
      </c>
      <c r="T29" s="774" t="s">
        <v>21</v>
      </c>
      <c r="U29" s="775">
        <f t="shared" si="13"/>
        <v>100</v>
      </c>
      <c r="V29" s="774" t="s">
        <v>21</v>
      </c>
      <c r="W29" s="775">
        <f t="shared" si="14"/>
        <v>100</v>
      </c>
      <c r="X29" s="1812"/>
      <c r="Y29" s="320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6"/>
      <c r="Q30" s="1809">
        <f t="shared" si="11"/>
        <v>111</v>
      </c>
      <c r="R30" s="774" t="s">
        <v>21</v>
      </c>
      <c r="S30" s="775">
        <f t="shared" si="12"/>
        <v>100</v>
      </c>
      <c r="T30" s="774" t="s">
        <v>21</v>
      </c>
      <c r="U30" s="775">
        <f t="shared" si="13"/>
        <v>100</v>
      </c>
      <c r="V30" s="774" t="s">
        <v>21</v>
      </c>
      <c r="W30" s="775">
        <f t="shared" si="14"/>
        <v>100</v>
      </c>
      <c r="X30" s="1812"/>
      <c r="Y30" s="320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6"/>
      <c r="Q31" s="1809">
        <f t="shared" si="11"/>
        <v>111</v>
      </c>
      <c r="R31" s="774" t="s">
        <v>21</v>
      </c>
      <c r="S31" s="775">
        <f t="shared" si="12"/>
        <v>100</v>
      </c>
      <c r="T31" s="774" t="s">
        <v>21</v>
      </c>
      <c r="U31" s="775">
        <f t="shared" si="13"/>
        <v>100</v>
      </c>
      <c r="V31" s="774" t="s">
        <v>21</v>
      </c>
      <c r="W31" s="775">
        <f t="shared" si="14"/>
        <v>100</v>
      </c>
      <c r="X31" s="1812"/>
      <c r="Y31" s="3207"/>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1" t="s">
        <v>2566</v>
      </c>
      <c r="Q32" s="1809" t="str">
        <f t="shared" si="11"/>
        <v>建筑类型</v>
      </c>
      <c r="R32" s="774" t="s">
        <v>21</v>
      </c>
      <c r="S32" s="775">
        <f t="shared" si="12"/>
        <v>100</v>
      </c>
      <c r="T32" s="774" t="s">
        <v>21</v>
      </c>
      <c r="U32" s="775">
        <f t="shared" si="13"/>
        <v>100</v>
      </c>
      <c r="V32" s="774" t="s">
        <v>21</v>
      </c>
      <c r="W32" s="775">
        <f t="shared" si="14"/>
        <v>100</v>
      </c>
      <c r="X32" s="1812"/>
      <c r="Y32" s="3209"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2"/>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2"/>
      <c r="Q34" s="1809" t="str">
        <f t="shared" si="11"/>
        <v>建筑结构</v>
      </c>
      <c r="R34" s="774" t="s">
        <v>21</v>
      </c>
      <c r="S34" s="775">
        <f t="shared" si="12"/>
        <v>100</v>
      </c>
      <c r="T34" s="774" t="s">
        <v>21</v>
      </c>
      <c r="U34" s="775">
        <f t="shared" si="13"/>
        <v>100</v>
      </c>
      <c r="V34" s="774" t="s">
        <v>21</v>
      </c>
      <c r="W34" s="775">
        <f t="shared" si="14"/>
        <v>100</v>
      </c>
      <c r="X34" s="1812"/>
      <c r="Y34" s="3209"/>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2"/>
      <c r="Q35" s="1809" t="str">
        <f t="shared" si="11"/>
        <v>建筑品质</v>
      </c>
      <c r="R35" s="774" t="s">
        <v>21</v>
      </c>
      <c r="S35" s="775">
        <f t="shared" si="12"/>
        <v>100</v>
      </c>
      <c r="T35" s="774" t="s">
        <v>21</v>
      </c>
      <c r="U35" s="775">
        <f t="shared" si="13"/>
        <v>100</v>
      </c>
      <c r="V35" s="774" t="s">
        <v>21</v>
      </c>
      <c r="W35" s="775">
        <f t="shared" si="14"/>
        <v>100</v>
      </c>
      <c r="X35" s="1812"/>
      <c r="Y35" s="3209"/>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2"/>
      <c r="Q36" s="1809" t="str">
        <f t="shared" si="11"/>
        <v>公共部分装修</v>
      </c>
      <c r="R36" s="774" t="s">
        <v>21</v>
      </c>
      <c r="S36" s="775">
        <f t="shared" si="12"/>
        <v>100</v>
      </c>
      <c r="T36" s="774" t="s">
        <v>21</v>
      </c>
      <c r="U36" s="775">
        <f t="shared" si="13"/>
        <v>100</v>
      </c>
      <c r="V36" s="774" t="s">
        <v>21</v>
      </c>
      <c r="W36" s="775">
        <f t="shared" si="14"/>
        <v>100</v>
      </c>
      <c r="X36" s="1812"/>
      <c r="Y36" s="3209"/>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2"/>
      <c r="Q37" s="1794" t="str">
        <f t="shared" si="11"/>
        <v>成新度</v>
      </c>
      <c r="R37" s="770" t="s">
        <v>21</v>
      </c>
      <c r="S37" s="771" t="e">
        <f t="shared" si="12"/>
        <v>#N/A</v>
      </c>
      <c r="T37" s="770" t="s">
        <v>21</v>
      </c>
      <c r="U37" s="771" t="e">
        <f t="shared" si="13"/>
        <v>#N/A</v>
      </c>
      <c r="V37" s="770" t="s">
        <v>21</v>
      </c>
      <c r="W37" s="771" t="e">
        <f t="shared" si="14"/>
        <v>#N/A</v>
      </c>
      <c r="X37" s="772"/>
      <c r="Y37" s="3209"/>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2" t="s">
        <v>2566</v>
      </c>
      <c r="Q38" s="1809" t="str">
        <f t="shared" si="11"/>
        <v>物业管理</v>
      </c>
      <c r="R38" s="774" t="s">
        <v>21</v>
      </c>
      <c r="S38" s="775">
        <f t="shared" si="12"/>
        <v>100</v>
      </c>
      <c r="T38" s="774" t="s">
        <v>21</v>
      </c>
      <c r="U38" s="775">
        <f t="shared" si="13"/>
        <v>100</v>
      </c>
      <c r="V38" s="774" t="s">
        <v>21</v>
      </c>
      <c r="W38" s="775">
        <f t="shared" si="14"/>
        <v>100</v>
      </c>
      <c r="X38" s="1812"/>
      <c r="Y38" s="3209"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2"/>
      <c r="Q39" s="1809" t="str">
        <f t="shared" si="11"/>
        <v>市政基础设施</v>
      </c>
      <c r="R39" s="774" t="s">
        <v>21</v>
      </c>
      <c r="S39" s="775">
        <f t="shared" si="12"/>
        <v>100</v>
      </c>
      <c r="T39" s="774" t="s">
        <v>21</v>
      </c>
      <c r="U39" s="775">
        <f t="shared" si="13"/>
        <v>100</v>
      </c>
      <c r="V39" s="774" t="s">
        <v>21</v>
      </c>
      <c r="W39" s="775">
        <f t="shared" si="14"/>
        <v>100</v>
      </c>
      <c r="X39" s="1812"/>
      <c r="Y39" s="3209"/>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2"/>
      <c r="Q40" s="1809" t="str">
        <f t="shared" si="11"/>
        <v>房型</v>
      </c>
      <c r="R40" s="774" t="s">
        <v>21</v>
      </c>
      <c r="S40" s="775">
        <f t="shared" si="12"/>
        <v>100</v>
      </c>
      <c r="T40" s="774" t="s">
        <v>21</v>
      </c>
      <c r="U40" s="775">
        <f t="shared" si="13"/>
        <v>100</v>
      </c>
      <c r="V40" s="774" t="s">
        <v>21</v>
      </c>
      <c r="W40" s="775">
        <f t="shared" si="14"/>
        <v>100</v>
      </c>
      <c r="X40" s="1812"/>
      <c r="Y40" s="3209"/>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2"/>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2"/>
      <c r="Q42" s="1809" t="str">
        <f t="shared" si="11"/>
        <v>内部装修</v>
      </c>
      <c r="R42" s="774" t="s">
        <v>21</v>
      </c>
      <c r="S42" s="775">
        <f t="shared" si="12"/>
        <v>100</v>
      </c>
      <c r="T42" s="774" t="s">
        <v>21</v>
      </c>
      <c r="U42" s="775">
        <f t="shared" si="13"/>
        <v>100</v>
      </c>
      <c r="V42" s="774" t="s">
        <v>21</v>
      </c>
      <c r="W42" s="775">
        <f t="shared" si="14"/>
        <v>100</v>
      </c>
      <c r="X42" s="1812"/>
      <c r="Y42" s="3209"/>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2"/>
      <c r="Q43" s="1809" t="str">
        <f t="shared" si="11"/>
        <v>内部装修维护情况</v>
      </c>
      <c r="R43" s="774" t="s">
        <v>21</v>
      </c>
      <c r="S43" s="775">
        <f t="shared" si="12"/>
        <v>100</v>
      </c>
      <c r="T43" s="774" t="s">
        <v>21</v>
      </c>
      <c r="U43" s="775">
        <f t="shared" si="13"/>
        <v>100</v>
      </c>
      <c r="V43" s="774" t="s">
        <v>21</v>
      </c>
      <c r="W43" s="775">
        <f t="shared" si="14"/>
        <v>100</v>
      </c>
      <c r="X43" s="1812"/>
      <c r="Y43" s="3209"/>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2"/>
      <c r="Q44" s="1794">
        <f t="shared" si="11"/>
        <v>111</v>
      </c>
      <c r="R44" s="770" t="s">
        <v>21</v>
      </c>
      <c r="S44" s="771">
        <f t="shared" si="12"/>
        <v>100</v>
      </c>
      <c r="T44" s="770" t="s">
        <v>21</v>
      </c>
      <c r="U44" s="771">
        <f t="shared" si="13"/>
        <v>100</v>
      </c>
      <c r="V44" s="770" t="s">
        <v>21</v>
      </c>
      <c r="W44" s="771">
        <f t="shared" si="14"/>
        <v>100</v>
      </c>
      <c r="X44" s="772"/>
      <c r="Y44" s="3209"/>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2"/>
      <c r="Q45" s="1809">
        <f t="shared" si="11"/>
        <v>111</v>
      </c>
      <c r="R45" s="774" t="s">
        <v>21</v>
      </c>
      <c r="S45" s="775">
        <f t="shared" si="12"/>
        <v>100</v>
      </c>
      <c r="T45" s="774" t="s">
        <v>21</v>
      </c>
      <c r="U45" s="775">
        <f t="shared" si="13"/>
        <v>100</v>
      </c>
      <c r="V45" s="774" t="s">
        <v>21</v>
      </c>
      <c r="W45" s="775">
        <f t="shared" si="14"/>
        <v>100</v>
      </c>
      <c r="X45" s="1812"/>
      <c r="Y45" s="3209"/>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3"/>
      <c r="Q46" s="1809">
        <f t="shared" si="11"/>
        <v>111</v>
      </c>
      <c r="R46" s="774" t="s">
        <v>20</v>
      </c>
      <c r="S46" s="775">
        <f t="shared" si="12"/>
        <v>100</v>
      </c>
      <c r="T46" s="774" t="s">
        <v>20</v>
      </c>
      <c r="U46" s="775">
        <f t="shared" si="13"/>
        <v>100</v>
      </c>
      <c r="V46" s="774" t="s">
        <v>20</v>
      </c>
      <c r="W46" s="775">
        <f t="shared" si="14"/>
        <v>100</v>
      </c>
      <c r="X46" s="1812"/>
      <c r="Y46" s="3264"/>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91" t="str">
        <f>A47</f>
        <v>成交单价（元/平方米）</v>
      </c>
      <c r="Q47" s="3191"/>
      <c r="R47" s="3260">
        <f>E47</f>
        <v>0</v>
      </c>
      <c r="S47" s="3260"/>
      <c r="T47" s="3260">
        <f>G47</f>
        <v>0</v>
      </c>
      <c r="U47" s="3260"/>
      <c r="V47" s="3260">
        <f>I47</f>
        <v>0</v>
      </c>
      <c r="W47" s="326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91" t="str">
        <f>A48</f>
        <v>比较价值（元/平方米）</v>
      </c>
      <c r="Q48" s="319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211" t="str">
        <f>A49</f>
        <v>估价对象XX用房的比较价值（楼面单价，元/平方米）</v>
      </c>
      <c r="Q49" s="3212"/>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204"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204"/>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204"/>
      <c r="AC6" s="3176"/>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5" t="s">
        <v>2561</v>
      </c>
      <c r="Q15" s="1809" t="str">
        <f t="shared" si="6"/>
        <v>商业繁华度</v>
      </c>
      <c r="R15" s="774" t="s">
        <v>17</v>
      </c>
      <c r="S15" s="775">
        <f t="shared" si="0"/>
        <v>100</v>
      </c>
      <c r="T15" s="774" t="s">
        <v>17</v>
      </c>
      <c r="U15" s="775">
        <f t="shared" si="1"/>
        <v>100</v>
      </c>
      <c r="V15" s="774" t="s">
        <v>17</v>
      </c>
      <c r="W15" s="775">
        <f t="shared" si="2"/>
        <v>100</v>
      </c>
      <c r="X15" s="1812"/>
      <c r="Y15" s="3206"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6"/>
      <c r="Q16" s="1809"/>
      <c r="R16" s="774"/>
      <c r="S16" s="775"/>
      <c r="T16" s="774"/>
      <c r="U16" s="775"/>
      <c r="V16" s="774"/>
      <c r="W16" s="775"/>
      <c r="X16" s="1812"/>
      <c r="Y16" s="3207"/>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6"/>
      <c r="Q18" s="1809"/>
      <c r="R18" s="774"/>
      <c r="S18" s="775"/>
      <c r="T18" s="774"/>
      <c r="U18" s="775"/>
      <c r="V18" s="774"/>
      <c r="W18" s="775"/>
      <c r="X18" s="1812"/>
      <c r="Y18" s="3207"/>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6"/>
      <c r="Q20" s="1809"/>
      <c r="R20" s="774"/>
      <c r="S20" s="775"/>
      <c r="T20" s="774"/>
      <c r="U20" s="775"/>
      <c r="V20" s="774"/>
      <c r="W20" s="775"/>
      <c r="X20" s="1812"/>
      <c r="Y20" s="3207"/>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6"/>
      <c r="Q22" s="1809"/>
      <c r="R22" s="774"/>
      <c r="S22" s="775"/>
      <c r="T22" s="774"/>
      <c r="U22" s="775"/>
      <c r="V22" s="774"/>
      <c r="W22" s="775"/>
      <c r="X22" s="1812"/>
      <c r="Y22" s="3207"/>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6"/>
      <c r="Q23" s="1809" t="str">
        <f>B23</f>
        <v>自然及人文环境</v>
      </c>
      <c r="R23" s="774" t="s">
        <v>17</v>
      </c>
      <c r="S23" s="775">
        <f>F23</f>
        <v>100</v>
      </c>
      <c r="T23" s="774" t="s">
        <v>17</v>
      </c>
      <c r="U23" s="775">
        <f>H23</f>
        <v>100</v>
      </c>
      <c r="V23" s="774" t="s">
        <v>17</v>
      </c>
      <c r="W23" s="775">
        <f>J23</f>
        <v>100</v>
      </c>
      <c r="X23" s="1812"/>
      <c r="Y23" s="320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6"/>
      <c r="Q24" s="1809"/>
      <c r="R24" s="774"/>
      <c r="S24" s="775"/>
      <c r="T24" s="774"/>
      <c r="U24" s="775"/>
      <c r="V24" s="774"/>
      <c r="W24" s="775"/>
      <c r="X24" s="1812"/>
      <c r="Y24" s="3207"/>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6"/>
      <c r="Q25" s="1809" t="str">
        <f t="shared" ref="Q25:Q46" si="11">B25</f>
        <v>临街状况</v>
      </c>
      <c r="R25" s="774" t="s">
        <v>17</v>
      </c>
      <c r="S25" s="775">
        <f>F25</f>
        <v>100</v>
      </c>
      <c r="T25" s="774" t="s">
        <v>17</v>
      </c>
      <c r="U25" s="775">
        <f>H25</f>
        <v>100</v>
      </c>
      <c r="V25" s="774" t="s">
        <v>17</v>
      </c>
      <c r="W25" s="775">
        <f>J25</f>
        <v>100</v>
      </c>
      <c r="X25" s="1812"/>
      <c r="Y25" s="3207"/>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6"/>
      <c r="Q26" s="1809" t="str">
        <f t="shared" si="11"/>
        <v>平面位置/可视性</v>
      </c>
      <c r="R26" s="774" t="s">
        <v>17</v>
      </c>
      <c r="S26" s="775">
        <f>F26</f>
        <v>100</v>
      </c>
      <c r="T26" s="774" t="s">
        <v>17</v>
      </c>
      <c r="U26" s="775">
        <f>H26</f>
        <v>100</v>
      </c>
      <c r="V26" s="774" t="s">
        <v>17</v>
      </c>
      <c r="W26" s="775">
        <f>J26</f>
        <v>100</v>
      </c>
      <c r="X26" s="1812"/>
      <c r="Y26" s="3207"/>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6"/>
      <c r="Q27" s="1794" t="str">
        <f t="shared" si="11"/>
        <v>人流量</v>
      </c>
      <c r="R27" s="770" t="s">
        <v>17</v>
      </c>
      <c r="S27" s="771">
        <f>F27</f>
        <v>100</v>
      </c>
      <c r="T27" s="770" t="s">
        <v>17</v>
      </c>
      <c r="U27" s="771">
        <f>H27</f>
        <v>100</v>
      </c>
      <c r="V27" s="770" t="s">
        <v>17</v>
      </c>
      <c r="W27" s="771">
        <f>J27</f>
        <v>100</v>
      </c>
      <c r="X27" s="772"/>
      <c r="Y27" s="3207"/>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6"/>
      <c r="Q29" s="1809">
        <f t="shared" si="11"/>
        <v>111</v>
      </c>
      <c r="R29" s="774" t="s">
        <v>17</v>
      </c>
      <c r="S29" s="775">
        <f t="shared" si="12"/>
        <v>100</v>
      </c>
      <c r="T29" s="774" t="s">
        <v>17</v>
      </c>
      <c r="U29" s="775">
        <f t="shared" si="13"/>
        <v>100</v>
      </c>
      <c r="V29" s="774" t="s">
        <v>17</v>
      </c>
      <c r="W29" s="775">
        <f t="shared" si="14"/>
        <v>100</v>
      </c>
      <c r="X29" s="1812"/>
      <c r="Y29" s="320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1" t="s">
        <v>2566</v>
      </c>
      <c r="Q32" s="1809" t="str">
        <f t="shared" si="11"/>
        <v>商业类型</v>
      </c>
      <c r="R32" s="774" t="s">
        <v>17</v>
      </c>
      <c r="S32" s="775">
        <f t="shared" si="12"/>
        <v>100</v>
      </c>
      <c r="T32" s="774" t="s">
        <v>17</v>
      </c>
      <c r="U32" s="775">
        <f t="shared" si="13"/>
        <v>100</v>
      </c>
      <c r="V32" s="774" t="s">
        <v>17</v>
      </c>
      <c r="W32" s="775">
        <f t="shared" si="14"/>
        <v>100</v>
      </c>
      <c r="X32" s="1812"/>
      <c r="Y32" s="3209"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2"/>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2"/>
      <c r="Q34" s="1809" t="str">
        <f t="shared" si="11"/>
        <v>建筑结构</v>
      </c>
      <c r="R34" s="774" t="s">
        <v>17</v>
      </c>
      <c r="S34" s="775">
        <f t="shared" si="12"/>
        <v>100</v>
      </c>
      <c r="T34" s="774" t="s">
        <v>17</v>
      </c>
      <c r="U34" s="775">
        <f t="shared" si="13"/>
        <v>100</v>
      </c>
      <c r="V34" s="774" t="s">
        <v>17</v>
      </c>
      <c r="W34" s="775">
        <f t="shared" si="14"/>
        <v>100</v>
      </c>
      <c r="X34" s="1812"/>
      <c r="Y34" s="3209"/>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2"/>
      <c r="Q35" s="1809" t="str">
        <f t="shared" si="11"/>
        <v>公共部分装修</v>
      </c>
      <c r="R35" s="774" t="s">
        <v>17</v>
      </c>
      <c r="S35" s="775">
        <f t="shared" si="12"/>
        <v>100</v>
      </c>
      <c r="T35" s="774" t="s">
        <v>17</v>
      </c>
      <c r="U35" s="775">
        <f t="shared" si="13"/>
        <v>100</v>
      </c>
      <c r="V35" s="774" t="s">
        <v>17</v>
      </c>
      <c r="W35" s="775">
        <f t="shared" si="14"/>
        <v>100</v>
      </c>
      <c r="X35" s="1812"/>
      <c r="Y35" s="3209"/>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2"/>
      <c r="Q36" s="1809" t="str">
        <f t="shared" si="11"/>
        <v>成新度</v>
      </c>
      <c r="R36" s="774" t="s">
        <v>17</v>
      </c>
      <c r="S36" s="775" t="e">
        <f t="shared" si="12"/>
        <v>#N/A</v>
      </c>
      <c r="T36" s="774" t="s">
        <v>17</v>
      </c>
      <c r="U36" s="775" t="e">
        <f t="shared" si="13"/>
        <v>#N/A</v>
      </c>
      <c r="V36" s="774" t="s">
        <v>17</v>
      </c>
      <c r="W36" s="775" t="e">
        <f t="shared" si="14"/>
        <v>#N/A</v>
      </c>
      <c r="X36" s="1812"/>
      <c r="Y36" s="3209"/>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2"/>
      <c r="Q37" s="1794" t="str">
        <f t="shared" si="11"/>
        <v>市政基础设施</v>
      </c>
      <c r="R37" s="770" t="s">
        <v>17</v>
      </c>
      <c r="S37" s="771">
        <f t="shared" si="12"/>
        <v>100</v>
      </c>
      <c r="T37" s="770" t="s">
        <v>17</v>
      </c>
      <c r="U37" s="771">
        <f t="shared" si="13"/>
        <v>100</v>
      </c>
      <c r="V37" s="770" t="s">
        <v>17</v>
      </c>
      <c r="W37" s="771">
        <f t="shared" si="14"/>
        <v>100</v>
      </c>
      <c r="X37" s="772"/>
      <c r="Y37" s="3209"/>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2" t="s">
        <v>2566</v>
      </c>
      <c r="Q38" s="1809" t="str">
        <f t="shared" si="11"/>
        <v>业态</v>
      </c>
      <c r="R38" s="774" t="s">
        <v>17</v>
      </c>
      <c r="S38" s="775">
        <f t="shared" si="12"/>
        <v>100</v>
      </c>
      <c r="T38" s="774" t="s">
        <v>17</v>
      </c>
      <c r="U38" s="775">
        <f t="shared" si="13"/>
        <v>100</v>
      </c>
      <c r="V38" s="774" t="s">
        <v>17</v>
      </c>
      <c r="W38" s="775">
        <f t="shared" si="14"/>
        <v>100</v>
      </c>
      <c r="X38" s="1812"/>
      <c r="Y38" s="3209"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2"/>
      <c r="Q39" s="1809" t="str">
        <f t="shared" si="11"/>
        <v>层高</v>
      </c>
      <c r="R39" s="774" t="s">
        <v>17</v>
      </c>
      <c r="S39" s="775">
        <f t="shared" si="12"/>
        <v>100</v>
      </c>
      <c r="T39" s="774" t="s">
        <v>17</v>
      </c>
      <c r="U39" s="775">
        <f t="shared" si="13"/>
        <v>100</v>
      </c>
      <c r="V39" s="774" t="s">
        <v>17</v>
      </c>
      <c r="W39" s="775">
        <f t="shared" si="14"/>
        <v>100</v>
      </c>
      <c r="X39" s="1812"/>
      <c r="Y39" s="3209"/>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1809" t="str">
        <f t="shared" si="11"/>
        <v>单套建筑面积</v>
      </c>
      <c r="R40" s="774" t="s">
        <v>17</v>
      </c>
      <c r="S40" s="775">
        <f t="shared" si="12"/>
        <v>100</v>
      </c>
      <c r="T40" s="774" t="s">
        <v>17</v>
      </c>
      <c r="U40" s="775">
        <f t="shared" si="13"/>
        <v>100</v>
      </c>
      <c r="V40" s="774" t="s">
        <v>17</v>
      </c>
      <c r="W40" s="775">
        <f t="shared" si="14"/>
        <v>100</v>
      </c>
      <c r="X40" s="1812"/>
      <c r="Y40" s="3209"/>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2"/>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2"/>
      <c r="Q42" s="1809" t="str">
        <f t="shared" si="11"/>
        <v>内部装修</v>
      </c>
      <c r="R42" s="774" t="s">
        <v>17</v>
      </c>
      <c r="S42" s="775">
        <f t="shared" si="12"/>
        <v>100</v>
      </c>
      <c r="T42" s="774" t="s">
        <v>17</v>
      </c>
      <c r="U42" s="775">
        <f t="shared" si="13"/>
        <v>100</v>
      </c>
      <c r="V42" s="774" t="s">
        <v>17</v>
      </c>
      <c r="W42" s="775">
        <f t="shared" si="14"/>
        <v>100</v>
      </c>
      <c r="X42" s="1812"/>
      <c r="Y42" s="3209"/>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2"/>
      <c r="Q43" s="1809" t="str">
        <f t="shared" si="11"/>
        <v>内部装修维护情况</v>
      </c>
      <c r="R43" s="774" t="s">
        <v>17</v>
      </c>
      <c r="S43" s="775">
        <f t="shared" si="12"/>
        <v>100</v>
      </c>
      <c r="T43" s="774" t="s">
        <v>17</v>
      </c>
      <c r="U43" s="775">
        <f t="shared" si="13"/>
        <v>100</v>
      </c>
      <c r="V43" s="774" t="s">
        <v>17</v>
      </c>
      <c r="W43" s="775">
        <f t="shared" si="14"/>
        <v>100</v>
      </c>
      <c r="X43" s="1812"/>
      <c r="Y43" s="3209"/>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2"/>
      <c r="Q44" s="1794">
        <f t="shared" si="11"/>
        <v>111</v>
      </c>
      <c r="R44" s="770" t="s">
        <v>17</v>
      </c>
      <c r="S44" s="771">
        <f t="shared" si="12"/>
        <v>100</v>
      </c>
      <c r="T44" s="770" t="s">
        <v>17</v>
      </c>
      <c r="U44" s="771">
        <f t="shared" si="13"/>
        <v>100</v>
      </c>
      <c r="V44" s="770" t="s">
        <v>17</v>
      </c>
      <c r="W44" s="771">
        <f t="shared" si="14"/>
        <v>100</v>
      </c>
      <c r="X44" s="772"/>
      <c r="Y44" s="3209"/>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1809">
        <f t="shared" si="11"/>
        <v>111</v>
      </c>
      <c r="R45" s="774" t="s">
        <v>17</v>
      </c>
      <c r="S45" s="775">
        <f t="shared" si="12"/>
        <v>100</v>
      </c>
      <c r="T45" s="774" t="s">
        <v>17</v>
      </c>
      <c r="U45" s="775">
        <f t="shared" si="13"/>
        <v>100</v>
      </c>
      <c r="V45" s="774" t="s">
        <v>17</v>
      </c>
      <c r="W45" s="775">
        <f t="shared" si="14"/>
        <v>100</v>
      </c>
      <c r="X45" s="1812"/>
      <c r="Y45" s="3209"/>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1809">
        <f t="shared" si="11"/>
        <v>111</v>
      </c>
      <c r="R46" s="774" t="s">
        <v>17</v>
      </c>
      <c r="S46" s="775">
        <f t="shared" si="12"/>
        <v>100</v>
      </c>
      <c r="T46" s="774" t="s">
        <v>17</v>
      </c>
      <c r="U46" s="775">
        <f t="shared" si="13"/>
        <v>100</v>
      </c>
      <c r="V46" s="774" t="s">
        <v>17</v>
      </c>
      <c r="W46" s="775">
        <f t="shared" si="14"/>
        <v>100</v>
      </c>
      <c r="X46" s="1812"/>
      <c r="Y46" s="3264"/>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91" t="str">
        <f>A47</f>
        <v>成交单价（元/平方米）</v>
      </c>
      <c r="Q47" s="3191"/>
      <c r="R47" s="3204">
        <f>E47</f>
        <v>0</v>
      </c>
      <c r="S47" s="3204"/>
      <c r="T47" s="3204">
        <f>G47</f>
        <v>0</v>
      </c>
      <c r="U47" s="3204"/>
      <c r="V47" s="3204">
        <f>I47</f>
        <v>0</v>
      </c>
      <c r="W47" s="3204"/>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91" t="str">
        <f>A48</f>
        <v>比较价值（元/平方米）</v>
      </c>
      <c r="Q48" s="319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11" t="str">
        <f>A49</f>
        <v>估价对象XX用房的比较价值（楼面单价，元/平方米）</v>
      </c>
      <c r="Q49" s="3212"/>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273" t="s">
        <v>2652</v>
      </c>
      <c r="Q4" s="3274"/>
      <c r="R4" s="3268" t="s">
        <v>2648</v>
      </c>
      <c r="S4" s="3269"/>
      <c r="T4" s="3268" t="s">
        <v>2649</v>
      </c>
      <c r="U4" s="3269"/>
      <c r="V4" s="3277" t="s">
        <v>2650</v>
      </c>
      <c r="W4" s="3277"/>
      <c r="X4" s="2672"/>
      <c r="Y4" s="3268" t="s">
        <v>2652</v>
      </c>
      <c r="Z4" s="3269"/>
      <c r="AA4" s="3267" t="s">
        <v>2648</v>
      </c>
      <c r="AB4" s="3267" t="s">
        <v>2649</v>
      </c>
      <c r="AC4" s="3270" t="s">
        <v>2650</v>
      </c>
    </row>
    <row r="5" spans="1:29" ht="15">
      <c r="A5" s="404"/>
      <c r="B5" s="405"/>
      <c r="C5" s="3185" t="s">
        <v>2543</v>
      </c>
      <c r="D5" s="3186"/>
      <c r="E5" s="3183" t="s">
        <v>2544</v>
      </c>
      <c r="F5" s="3184"/>
      <c r="G5" s="3185" t="s">
        <v>2545</v>
      </c>
      <c r="H5" s="3186"/>
      <c r="I5" s="3185" t="s">
        <v>2546</v>
      </c>
      <c r="J5" s="3186"/>
      <c r="K5" s="610"/>
      <c r="L5" s="1130"/>
      <c r="M5" s="1131"/>
      <c r="N5" s="1131"/>
      <c r="O5" s="1131"/>
      <c r="P5" s="3275"/>
      <c r="Q5" s="3199"/>
      <c r="R5" s="3181"/>
      <c r="S5" s="3182"/>
      <c r="T5" s="3181"/>
      <c r="U5" s="3182"/>
      <c r="V5" s="3204"/>
      <c r="W5" s="3204"/>
      <c r="X5" s="1812"/>
      <c r="Y5" s="3181"/>
      <c r="Z5" s="3182"/>
      <c r="AA5" s="3175"/>
      <c r="AB5" s="3175"/>
      <c r="AC5" s="3271"/>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76"/>
      <c r="Q6" s="3201"/>
      <c r="R6" s="3181"/>
      <c r="S6" s="3182"/>
      <c r="T6" s="3202"/>
      <c r="U6" s="3203"/>
      <c r="V6" s="3204"/>
      <c r="W6" s="3204"/>
      <c r="X6" s="1812"/>
      <c r="Y6" s="3202"/>
      <c r="Z6" s="3203"/>
      <c r="AA6" s="3176"/>
      <c r="AB6" s="3176"/>
      <c r="AC6" s="3272"/>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2553</v>
      </c>
      <c r="Q8" s="3178"/>
      <c r="R8" s="770" t="s">
        <v>17</v>
      </c>
      <c r="S8" s="771">
        <f t="shared" si="0"/>
        <v>0</v>
      </c>
      <c r="T8" s="770" t="s">
        <v>17</v>
      </c>
      <c r="U8" s="771">
        <f t="shared" si="1"/>
        <v>0</v>
      </c>
      <c r="V8" s="770" t="s">
        <v>17</v>
      </c>
      <c r="W8" s="771">
        <f t="shared" si="2"/>
        <v>0</v>
      </c>
      <c r="X8" s="772"/>
      <c r="Y8" s="3177" t="s">
        <v>2553</v>
      </c>
      <c r="Z8" s="3178"/>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5" t="s">
        <v>2561</v>
      </c>
      <c r="Q15" s="1809" t="str">
        <f t="shared" si="6"/>
        <v>办公集聚程度</v>
      </c>
      <c r="R15" s="774" t="s">
        <v>17</v>
      </c>
      <c r="S15" s="775">
        <f t="shared" si="0"/>
        <v>100</v>
      </c>
      <c r="T15" s="774" t="s">
        <v>17</v>
      </c>
      <c r="U15" s="775">
        <f t="shared" si="1"/>
        <v>100</v>
      </c>
      <c r="V15" s="774" t="s">
        <v>17</v>
      </c>
      <c r="W15" s="775">
        <f t="shared" si="2"/>
        <v>100</v>
      </c>
      <c r="X15" s="1812"/>
      <c r="Y15" s="3206"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6"/>
      <c r="Q16" s="1809"/>
      <c r="R16" s="774"/>
      <c r="S16" s="775"/>
      <c r="T16" s="774"/>
      <c r="U16" s="775"/>
      <c r="V16" s="774"/>
      <c r="W16" s="775"/>
      <c r="X16" s="1812"/>
      <c r="Y16" s="3207"/>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6"/>
      <c r="Q18" s="1809"/>
      <c r="R18" s="774"/>
      <c r="S18" s="775"/>
      <c r="T18" s="774"/>
      <c r="U18" s="775"/>
      <c r="V18" s="774"/>
      <c r="W18" s="775"/>
      <c r="X18" s="1812"/>
      <c r="Y18" s="3207"/>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6"/>
      <c r="Q20" s="1809"/>
      <c r="R20" s="774"/>
      <c r="S20" s="775"/>
      <c r="T20" s="774"/>
      <c r="U20" s="775"/>
      <c r="V20" s="774"/>
      <c r="W20" s="775"/>
      <c r="X20" s="1812"/>
      <c r="Y20" s="3207"/>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6"/>
      <c r="Q22" s="1809"/>
      <c r="R22" s="774"/>
      <c r="S22" s="775"/>
      <c r="T22" s="774"/>
      <c r="U22" s="775"/>
      <c r="V22" s="774"/>
      <c r="W22" s="775"/>
      <c r="X22" s="1812"/>
      <c r="Y22" s="3207"/>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6"/>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6"/>
      <c r="Q24" s="1809"/>
      <c r="R24" s="774"/>
      <c r="S24" s="775"/>
      <c r="T24" s="774"/>
      <c r="U24" s="775"/>
      <c r="V24" s="774"/>
      <c r="W24" s="775"/>
      <c r="X24" s="1812"/>
      <c r="Y24" s="3207"/>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6"/>
      <c r="Q25" s="1809" t="str">
        <f>B25</f>
        <v>毗邻道路的类型与等级</v>
      </c>
      <c r="R25" s="774" t="s">
        <v>17</v>
      </c>
      <c r="S25" s="775">
        <f>F25</f>
        <v>100</v>
      </c>
      <c r="T25" s="774" t="s">
        <v>17</v>
      </c>
      <c r="U25" s="775">
        <f>H25</f>
        <v>100</v>
      </c>
      <c r="V25" s="774" t="s">
        <v>17</v>
      </c>
      <c r="W25" s="775">
        <f>J25</f>
        <v>100</v>
      </c>
      <c r="X25" s="1812"/>
      <c r="Y25" s="320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6"/>
      <c r="Q26" s="1809"/>
      <c r="R26" s="774"/>
      <c r="S26" s="775"/>
      <c r="T26" s="774"/>
      <c r="U26" s="775"/>
      <c r="V26" s="774"/>
      <c r="W26" s="775"/>
      <c r="X26" s="1812"/>
      <c r="Y26" s="3207"/>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6"/>
      <c r="Q27" s="1809" t="str">
        <f t="shared" ref="Q27:Q47" si="11">B27</f>
        <v>楼层</v>
      </c>
      <c r="R27" s="774" t="s">
        <v>17</v>
      </c>
      <c r="S27" s="775">
        <f>F27</f>
        <v>100</v>
      </c>
      <c r="T27" s="774" t="s">
        <v>17</v>
      </c>
      <c r="U27" s="775">
        <f>H27</f>
        <v>100</v>
      </c>
      <c r="V27" s="774" t="s">
        <v>17</v>
      </c>
      <c r="W27" s="775">
        <f>J27</f>
        <v>100</v>
      </c>
      <c r="X27" s="1812"/>
      <c r="Y27" s="3207"/>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6"/>
      <c r="Q28" s="1794" t="str">
        <f t="shared" si="11"/>
        <v>朝向</v>
      </c>
      <c r="R28" s="770" t="s">
        <v>17</v>
      </c>
      <c r="S28" s="771">
        <f>F28</f>
        <v>100</v>
      </c>
      <c r="T28" s="770" t="s">
        <v>17</v>
      </c>
      <c r="U28" s="771">
        <f>H28</f>
        <v>100</v>
      </c>
      <c r="V28" s="770" t="s">
        <v>17</v>
      </c>
      <c r="W28" s="771">
        <f>J28</f>
        <v>100</v>
      </c>
      <c r="X28" s="772"/>
      <c r="Y28" s="3207"/>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6"/>
      <c r="Q29" s="1809">
        <f t="shared" si="11"/>
        <v>111</v>
      </c>
      <c r="R29" s="774" t="s">
        <v>17</v>
      </c>
      <c r="S29" s="775">
        <f t="shared" ref="S29:S47" si="12">F29</f>
        <v>100</v>
      </c>
      <c r="T29" s="774" t="s">
        <v>17</v>
      </c>
      <c r="U29" s="775">
        <f t="shared" ref="U29:U47" si="13">H29</f>
        <v>100</v>
      </c>
      <c r="V29" s="774" t="s">
        <v>17</v>
      </c>
      <c r="W29" s="775">
        <f t="shared" ref="W29:W47" si="14">J29</f>
        <v>100</v>
      </c>
      <c r="X29" s="1812"/>
      <c r="Y29" s="320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6"/>
      <c r="Q32" s="1809">
        <f t="shared" si="11"/>
        <v>111</v>
      </c>
      <c r="R32" s="774" t="s">
        <v>17</v>
      </c>
      <c r="S32" s="775">
        <f t="shared" si="12"/>
        <v>100</v>
      </c>
      <c r="T32" s="774" t="s">
        <v>17</v>
      </c>
      <c r="U32" s="775">
        <f t="shared" si="13"/>
        <v>100</v>
      </c>
      <c r="V32" s="774" t="s">
        <v>17</v>
      </c>
      <c r="W32" s="775">
        <f t="shared" si="14"/>
        <v>100</v>
      </c>
      <c r="X32" s="1812"/>
      <c r="Y32" s="3207"/>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1" t="s">
        <v>2566</v>
      </c>
      <c r="Q33" s="1809" t="str">
        <f t="shared" si="11"/>
        <v>建筑类型</v>
      </c>
      <c r="R33" s="774" t="s">
        <v>17</v>
      </c>
      <c r="S33" s="775">
        <f t="shared" si="12"/>
        <v>100</v>
      </c>
      <c r="T33" s="774" t="s">
        <v>17</v>
      </c>
      <c r="U33" s="775">
        <f t="shared" si="13"/>
        <v>100</v>
      </c>
      <c r="V33" s="774" t="s">
        <v>17</v>
      </c>
      <c r="W33" s="775">
        <f t="shared" si="14"/>
        <v>100</v>
      </c>
      <c r="X33" s="1812"/>
      <c r="Y33" s="3209"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2"/>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2"/>
      <c r="Q35" s="1809" t="str">
        <f t="shared" si="11"/>
        <v>建筑结构</v>
      </c>
      <c r="R35" s="774" t="s">
        <v>17</v>
      </c>
      <c r="S35" s="775">
        <f t="shared" si="12"/>
        <v>100</v>
      </c>
      <c r="T35" s="774" t="s">
        <v>17</v>
      </c>
      <c r="U35" s="775">
        <f t="shared" si="13"/>
        <v>100</v>
      </c>
      <c r="V35" s="774" t="s">
        <v>17</v>
      </c>
      <c r="W35" s="775">
        <f t="shared" si="14"/>
        <v>100</v>
      </c>
      <c r="X35" s="1812"/>
      <c r="Y35" s="3209"/>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2"/>
      <c r="Q36" s="1809" t="str">
        <f t="shared" si="11"/>
        <v>公共部分装修</v>
      </c>
      <c r="R36" s="774" t="s">
        <v>17</v>
      </c>
      <c r="S36" s="775">
        <f t="shared" si="12"/>
        <v>100</v>
      </c>
      <c r="T36" s="774" t="s">
        <v>17</v>
      </c>
      <c r="U36" s="775">
        <f t="shared" si="13"/>
        <v>100</v>
      </c>
      <c r="V36" s="774" t="s">
        <v>17</v>
      </c>
      <c r="W36" s="775">
        <f t="shared" si="14"/>
        <v>100</v>
      </c>
      <c r="X36" s="1812"/>
      <c r="Y36" s="3209"/>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2"/>
      <c r="Q37" s="1809" t="str">
        <f t="shared" si="11"/>
        <v>成新度</v>
      </c>
      <c r="R37" s="774" t="s">
        <v>17</v>
      </c>
      <c r="S37" s="775" t="e">
        <f t="shared" si="12"/>
        <v>#N/A</v>
      </c>
      <c r="T37" s="774" t="s">
        <v>17</v>
      </c>
      <c r="U37" s="775" t="e">
        <f t="shared" si="13"/>
        <v>#N/A</v>
      </c>
      <c r="V37" s="774" t="s">
        <v>17</v>
      </c>
      <c r="W37" s="775" t="e">
        <f t="shared" si="14"/>
        <v>#N/A</v>
      </c>
      <c r="X37" s="1812"/>
      <c r="Y37" s="3209"/>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2"/>
      <c r="Q38" s="1794" t="str">
        <f t="shared" si="11"/>
        <v>写字楼等级</v>
      </c>
      <c r="R38" s="770" t="s">
        <v>17</v>
      </c>
      <c r="S38" s="771">
        <f t="shared" si="12"/>
        <v>100</v>
      </c>
      <c r="T38" s="770" t="s">
        <v>17</v>
      </c>
      <c r="U38" s="771">
        <f t="shared" si="13"/>
        <v>100</v>
      </c>
      <c r="V38" s="770" t="s">
        <v>17</v>
      </c>
      <c r="W38" s="771">
        <f t="shared" si="14"/>
        <v>100</v>
      </c>
      <c r="X38" s="772"/>
      <c r="Y38" s="3209"/>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2" t="s">
        <v>2566</v>
      </c>
      <c r="Q39" s="1809" t="str">
        <f t="shared" si="11"/>
        <v>物业管理</v>
      </c>
      <c r="R39" s="774" t="s">
        <v>17</v>
      </c>
      <c r="S39" s="775">
        <f t="shared" si="12"/>
        <v>100</v>
      </c>
      <c r="T39" s="774" t="s">
        <v>17</v>
      </c>
      <c r="U39" s="775">
        <f t="shared" si="13"/>
        <v>100</v>
      </c>
      <c r="V39" s="774" t="s">
        <v>17</v>
      </c>
      <c r="W39" s="775">
        <f t="shared" si="14"/>
        <v>100</v>
      </c>
      <c r="X39" s="1812"/>
      <c r="Y39" s="3209"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2"/>
      <c r="Q40" s="1809" t="str">
        <f t="shared" si="11"/>
        <v>市政基础设施</v>
      </c>
      <c r="R40" s="774" t="s">
        <v>17</v>
      </c>
      <c r="S40" s="775">
        <f t="shared" si="12"/>
        <v>100</v>
      </c>
      <c r="T40" s="774" t="s">
        <v>17</v>
      </c>
      <c r="U40" s="775">
        <f t="shared" si="13"/>
        <v>100</v>
      </c>
      <c r="V40" s="774" t="s">
        <v>17</v>
      </c>
      <c r="W40" s="775">
        <f t="shared" si="14"/>
        <v>100</v>
      </c>
      <c r="X40" s="1812"/>
      <c r="Y40" s="3209"/>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2"/>
      <c r="Q41" s="1809" t="str">
        <f t="shared" si="11"/>
        <v>层高</v>
      </c>
      <c r="R41" s="774" t="s">
        <v>17</v>
      </c>
      <c r="S41" s="775">
        <f t="shared" si="12"/>
        <v>100</v>
      </c>
      <c r="T41" s="774" t="s">
        <v>17</v>
      </c>
      <c r="U41" s="775">
        <f t="shared" si="13"/>
        <v>100</v>
      </c>
      <c r="V41" s="774" t="s">
        <v>17</v>
      </c>
      <c r="W41" s="775">
        <f t="shared" si="14"/>
        <v>100</v>
      </c>
      <c r="X41" s="1812"/>
      <c r="Y41" s="3209"/>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2"/>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2"/>
      <c r="Q43" s="1809" t="str">
        <f t="shared" si="11"/>
        <v>内部装修</v>
      </c>
      <c r="R43" s="774" t="s">
        <v>17</v>
      </c>
      <c r="S43" s="775">
        <f t="shared" si="12"/>
        <v>100</v>
      </c>
      <c r="T43" s="774" t="s">
        <v>17</v>
      </c>
      <c r="U43" s="775">
        <f t="shared" si="13"/>
        <v>100</v>
      </c>
      <c r="V43" s="774" t="s">
        <v>17</v>
      </c>
      <c r="W43" s="775">
        <f t="shared" si="14"/>
        <v>100</v>
      </c>
      <c r="X43" s="1812"/>
      <c r="Y43" s="3209"/>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2"/>
      <c r="Q44" s="1809" t="str">
        <f t="shared" si="11"/>
        <v>内部装修维护情况</v>
      </c>
      <c r="R44" s="774" t="s">
        <v>17</v>
      </c>
      <c r="S44" s="775">
        <f t="shared" si="12"/>
        <v>100</v>
      </c>
      <c r="T44" s="774" t="s">
        <v>17</v>
      </c>
      <c r="U44" s="775">
        <f t="shared" si="13"/>
        <v>100</v>
      </c>
      <c r="V44" s="774" t="s">
        <v>17</v>
      </c>
      <c r="W44" s="775">
        <f t="shared" si="14"/>
        <v>100</v>
      </c>
      <c r="X44" s="1812"/>
      <c r="Y44" s="3209"/>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2"/>
      <c r="Q45" s="1794">
        <f t="shared" si="11"/>
        <v>111</v>
      </c>
      <c r="R45" s="770" t="s">
        <v>17</v>
      </c>
      <c r="S45" s="771">
        <f t="shared" si="12"/>
        <v>100</v>
      </c>
      <c r="T45" s="770" t="s">
        <v>17</v>
      </c>
      <c r="U45" s="771">
        <f t="shared" si="13"/>
        <v>100</v>
      </c>
      <c r="V45" s="770" t="s">
        <v>17</v>
      </c>
      <c r="W45" s="771">
        <f t="shared" si="14"/>
        <v>100</v>
      </c>
      <c r="X45" s="772"/>
      <c r="Y45" s="3209"/>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2"/>
      <c r="Q46" s="1809">
        <f t="shared" si="11"/>
        <v>111</v>
      </c>
      <c r="R46" s="774" t="s">
        <v>17</v>
      </c>
      <c r="S46" s="775">
        <f t="shared" si="12"/>
        <v>100</v>
      </c>
      <c r="T46" s="774" t="s">
        <v>17</v>
      </c>
      <c r="U46" s="775">
        <f t="shared" si="13"/>
        <v>100</v>
      </c>
      <c r="V46" s="774" t="s">
        <v>17</v>
      </c>
      <c r="W46" s="775">
        <f t="shared" si="14"/>
        <v>100</v>
      </c>
      <c r="X46" s="1812"/>
      <c r="Y46" s="3209"/>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3"/>
      <c r="Q47" s="1809">
        <f t="shared" si="11"/>
        <v>111</v>
      </c>
      <c r="R47" s="774" t="s">
        <v>17</v>
      </c>
      <c r="S47" s="775">
        <f t="shared" si="12"/>
        <v>100</v>
      </c>
      <c r="T47" s="774" t="s">
        <v>17</v>
      </c>
      <c r="U47" s="775">
        <f t="shared" si="13"/>
        <v>100</v>
      </c>
      <c r="V47" s="774" t="s">
        <v>17</v>
      </c>
      <c r="W47" s="775">
        <f t="shared" si="14"/>
        <v>100</v>
      </c>
      <c r="X47" s="1812"/>
      <c r="Y47" s="3264"/>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215" t="str">
        <f>A48</f>
        <v>成交单价（元/平方米）</v>
      </c>
      <c r="Q48" s="3191"/>
      <c r="R48" s="3260">
        <f>E48</f>
        <v>0</v>
      </c>
      <c r="S48" s="3260"/>
      <c r="T48" s="3260">
        <f>G48</f>
        <v>0</v>
      </c>
      <c r="U48" s="3260"/>
      <c r="V48" s="3260">
        <f>I48</f>
        <v>0</v>
      </c>
      <c r="W48" s="3260"/>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215" t="str">
        <f>A49</f>
        <v>比较价值（元/平方米）</v>
      </c>
      <c r="Q49" s="3191"/>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79" t="str">
        <f>A50</f>
        <v>估价对象XX用房的比较价值（楼面单价，元/平方米）</v>
      </c>
      <c r="Q50" s="3280"/>
      <c r="R50" s="3281" t="e">
        <f>IF(F1="售价",ROUND(AVERAGE(R49:V49),0),ROUND(AVERAGE(R49:V49),1))</f>
        <v>#DIV/0!</v>
      </c>
      <c r="S50" s="3281"/>
      <c r="T50" s="3281"/>
      <c r="U50" s="3281"/>
      <c r="V50" s="3281"/>
      <c r="W50" s="328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91"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2561</v>
      </c>
      <c r="Q15" s="1809" t="str">
        <f t="shared" si="6"/>
        <v>产业集聚程度</v>
      </c>
      <c r="R15" s="774" t="s">
        <v>17</v>
      </c>
      <c r="S15" s="775">
        <f t="shared" si="0"/>
        <v>100</v>
      </c>
      <c r="T15" s="774" t="s">
        <v>17</v>
      </c>
      <c r="U15" s="775">
        <f t="shared" si="1"/>
        <v>100</v>
      </c>
      <c r="V15" s="774" t="s">
        <v>17</v>
      </c>
      <c r="W15" s="775">
        <f t="shared" si="2"/>
        <v>100</v>
      </c>
      <c r="X15" s="1812"/>
      <c r="Y15" s="3206"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07"/>
      <c r="Q18" s="1809"/>
      <c r="R18" s="774"/>
      <c r="S18" s="775"/>
      <c r="T18" s="774"/>
      <c r="U18" s="775"/>
      <c r="V18" s="774"/>
      <c r="W18" s="775"/>
      <c r="X18" s="1812"/>
      <c r="Y18" s="3207"/>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07"/>
      <c r="Q20" s="1809"/>
      <c r="R20" s="774"/>
      <c r="S20" s="775"/>
      <c r="T20" s="774"/>
      <c r="U20" s="775"/>
      <c r="V20" s="774"/>
      <c r="W20" s="775"/>
      <c r="X20" s="1812"/>
      <c r="Y20" s="3207"/>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07"/>
      <c r="Q22" s="1809"/>
      <c r="R22" s="774"/>
      <c r="S22" s="775"/>
      <c r="T22" s="774"/>
      <c r="U22" s="775"/>
      <c r="V22" s="774"/>
      <c r="W22" s="775"/>
      <c r="X22" s="1812"/>
      <c r="Y22" s="3207"/>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07"/>
      <c r="Q24" s="1809"/>
      <c r="R24" s="774"/>
      <c r="S24" s="775"/>
      <c r="T24" s="774"/>
      <c r="U24" s="775"/>
      <c r="V24" s="774"/>
      <c r="W24" s="775"/>
      <c r="X24" s="1812"/>
      <c r="Y24" s="320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09">
        <f>B25</f>
        <v>111</v>
      </c>
      <c r="R25" s="774" t="s">
        <v>17</v>
      </c>
      <c r="S25" s="775">
        <f>F25</f>
        <v>100</v>
      </c>
      <c r="T25" s="774" t="s">
        <v>17</v>
      </c>
      <c r="U25" s="775">
        <f>H25</f>
        <v>100</v>
      </c>
      <c r="V25" s="774" t="s">
        <v>17</v>
      </c>
      <c r="W25" s="775">
        <f>J25</f>
        <v>100</v>
      </c>
      <c r="X25" s="1812"/>
      <c r="Y25" s="320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09">
        <f t="shared" ref="Q26:Q40" si="11">B26</f>
        <v>111</v>
      </c>
      <c r="R26" s="774" t="s">
        <v>17</v>
      </c>
      <c r="S26" s="775">
        <f>F26</f>
        <v>100</v>
      </c>
      <c r="T26" s="774" t="s">
        <v>17</v>
      </c>
      <c r="U26" s="775">
        <f>H26</f>
        <v>100</v>
      </c>
      <c r="V26" s="774" t="s">
        <v>17</v>
      </c>
      <c r="W26" s="775">
        <f>J26</f>
        <v>100</v>
      </c>
      <c r="X26" s="1812"/>
      <c r="Y26" s="3207"/>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4">
        <f t="shared" si="11"/>
        <v>111</v>
      </c>
      <c r="R27" s="770" t="s">
        <v>17</v>
      </c>
      <c r="S27" s="771">
        <f>F27</f>
        <v>100</v>
      </c>
      <c r="T27" s="770" t="s">
        <v>17</v>
      </c>
      <c r="U27" s="771">
        <f>H27</f>
        <v>100</v>
      </c>
      <c r="V27" s="770" t="s">
        <v>17</v>
      </c>
      <c r="W27" s="771">
        <f>J27</f>
        <v>100</v>
      </c>
      <c r="X27" s="772"/>
      <c r="Y27" s="3207"/>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09">
        <f t="shared" si="11"/>
        <v>111</v>
      </c>
      <c r="R28" s="774" t="s">
        <v>17</v>
      </c>
      <c r="S28" s="775">
        <f t="shared" ref="S28:S40" si="12">F28</f>
        <v>100</v>
      </c>
      <c r="T28" s="774" t="s">
        <v>17</v>
      </c>
      <c r="U28" s="775">
        <f t="shared" ref="U28:U40" si="13">H28</f>
        <v>100</v>
      </c>
      <c r="V28" s="774" t="s">
        <v>17</v>
      </c>
      <c r="W28" s="775">
        <f t="shared" ref="W28:W40" si="14">J28</f>
        <v>100</v>
      </c>
      <c r="X28" s="1812"/>
      <c r="Y28" s="3207"/>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08" t="s">
        <v>2566</v>
      </c>
      <c r="Q29" s="1809" t="str">
        <f t="shared" si="11"/>
        <v>建筑类型</v>
      </c>
      <c r="R29" s="774" t="s">
        <v>17</v>
      </c>
      <c r="S29" s="775">
        <f t="shared" si="12"/>
        <v>100</v>
      </c>
      <c r="T29" s="774" t="s">
        <v>17</v>
      </c>
      <c r="U29" s="775">
        <f t="shared" si="13"/>
        <v>100</v>
      </c>
      <c r="V29" s="774" t="s">
        <v>17</v>
      </c>
      <c r="W29" s="775">
        <f t="shared" si="14"/>
        <v>100</v>
      </c>
      <c r="X29" s="1812"/>
      <c r="Y29" s="3209"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09" t="str">
        <f t="shared" si="11"/>
        <v>建筑结构</v>
      </c>
      <c r="R31" s="774" t="s">
        <v>17</v>
      </c>
      <c r="S31" s="775">
        <f t="shared" si="12"/>
        <v>100</v>
      </c>
      <c r="T31" s="774" t="s">
        <v>17</v>
      </c>
      <c r="U31" s="775">
        <f t="shared" si="13"/>
        <v>100</v>
      </c>
      <c r="V31" s="774" t="s">
        <v>17</v>
      </c>
      <c r="W31" s="775">
        <f t="shared" si="14"/>
        <v>100</v>
      </c>
      <c r="X31" s="1812"/>
      <c r="Y31" s="3209"/>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09" t="str">
        <f t="shared" si="11"/>
        <v>公共部分装修</v>
      </c>
      <c r="R32" s="774" t="s">
        <v>17</v>
      </c>
      <c r="S32" s="775">
        <f t="shared" si="12"/>
        <v>100</v>
      </c>
      <c r="T32" s="774" t="s">
        <v>17</v>
      </c>
      <c r="U32" s="775">
        <f t="shared" si="13"/>
        <v>100</v>
      </c>
      <c r="V32" s="774" t="s">
        <v>17</v>
      </c>
      <c r="W32" s="775">
        <f t="shared" si="14"/>
        <v>100</v>
      </c>
      <c r="X32" s="1812"/>
      <c r="Y32" s="3209"/>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09" t="str">
        <f t="shared" si="11"/>
        <v>成新度</v>
      </c>
      <c r="R33" s="774" t="s">
        <v>17</v>
      </c>
      <c r="S33" s="775" t="e">
        <f t="shared" si="12"/>
        <v>#N/A</v>
      </c>
      <c r="T33" s="774" t="s">
        <v>17</v>
      </c>
      <c r="U33" s="775" t="e">
        <f t="shared" si="13"/>
        <v>#N/A</v>
      </c>
      <c r="V33" s="774" t="s">
        <v>17</v>
      </c>
      <c r="W33" s="775" t="e">
        <f t="shared" si="14"/>
        <v>#N/A</v>
      </c>
      <c r="X33" s="1812"/>
      <c r="Y33" s="3209"/>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94" t="str">
        <f t="shared" si="11"/>
        <v>物业管理</v>
      </c>
      <c r="R34" s="770" t="s">
        <v>17</v>
      </c>
      <c r="S34" s="771">
        <f t="shared" si="12"/>
        <v>100</v>
      </c>
      <c r="T34" s="770" t="s">
        <v>17</v>
      </c>
      <c r="U34" s="771">
        <f t="shared" si="13"/>
        <v>100</v>
      </c>
      <c r="V34" s="770" t="s">
        <v>17</v>
      </c>
      <c r="W34" s="771">
        <f t="shared" si="14"/>
        <v>100</v>
      </c>
      <c r="X34" s="772"/>
      <c r="Y34" s="3209"/>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2566</v>
      </c>
      <c r="Q35" s="1809" t="str">
        <f t="shared" si="11"/>
        <v>市政基础设施</v>
      </c>
      <c r="R35" s="774" t="s">
        <v>17</v>
      </c>
      <c r="S35" s="775">
        <f t="shared" si="12"/>
        <v>100</v>
      </c>
      <c r="T35" s="774" t="s">
        <v>17</v>
      </c>
      <c r="U35" s="775">
        <f t="shared" si="13"/>
        <v>100</v>
      </c>
      <c r="V35" s="774" t="s">
        <v>17</v>
      </c>
      <c r="W35" s="775">
        <f t="shared" si="14"/>
        <v>100</v>
      </c>
      <c r="X35" s="1812"/>
      <c r="Y35" s="3209"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09" t="str">
        <f t="shared" si="11"/>
        <v>内部装修</v>
      </c>
      <c r="R36" s="774" t="s">
        <v>17</v>
      </c>
      <c r="S36" s="775">
        <f t="shared" si="12"/>
        <v>100</v>
      </c>
      <c r="T36" s="774" t="s">
        <v>17</v>
      </c>
      <c r="U36" s="775">
        <f t="shared" si="13"/>
        <v>100</v>
      </c>
      <c r="V36" s="774" t="s">
        <v>17</v>
      </c>
      <c r="W36" s="775">
        <f t="shared" si="14"/>
        <v>100</v>
      </c>
      <c r="X36" s="1812"/>
      <c r="Y36" s="3209"/>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09" t="str">
        <f t="shared" si="11"/>
        <v>内部装修状况</v>
      </c>
      <c r="R37" s="774" t="s">
        <v>17</v>
      </c>
      <c r="S37" s="775">
        <f t="shared" si="12"/>
        <v>100</v>
      </c>
      <c r="T37" s="774" t="s">
        <v>17</v>
      </c>
      <c r="U37" s="775">
        <f t="shared" si="13"/>
        <v>100</v>
      </c>
      <c r="V37" s="774" t="s">
        <v>17</v>
      </c>
      <c r="W37" s="775">
        <f t="shared" si="14"/>
        <v>100</v>
      </c>
      <c r="X37" s="1812"/>
      <c r="Y37" s="320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09">
        <f t="shared" si="11"/>
        <v>111</v>
      </c>
      <c r="R39" s="774" t="s">
        <v>17</v>
      </c>
      <c r="S39" s="775">
        <f t="shared" si="12"/>
        <v>100</v>
      </c>
      <c r="T39" s="774" t="s">
        <v>17</v>
      </c>
      <c r="U39" s="775">
        <f t="shared" si="13"/>
        <v>100</v>
      </c>
      <c r="V39" s="774" t="s">
        <v>17</v>
      </c>
      <c r="W39" s="775">
        <f t="shared" si="14"/>
        <v>100</v>
      </c>
      <c r="X39" s="1812"/>
      <c r="Y39" s="3209"/>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09">
        <f t="shared" si="11"/>
        <v>111</v>
      </c>
      <c r="R40" s="774" t="s">
        <v>17</v>
      </c>
      <c r="S40" s="775">
        <f t="shared" si="12"/>
        <v>100</v>
      </c>
      <c r="T40" s="774" t="s">
        <v>17</v>
      </c>
      <c r="U40" s="775">
        <f t="shared" si="13"/>
        <v>100</v>
      </c>
      <c r="V40" s="774" t="s">
        <v>17</v>
      </c>
      <c r="W40" s="775">
        <f t="shared" si="14"/>
        <v>100</v>
      </c>
      <c r="X40" s="1812"/>
      <c r="Y40" s="3264"/>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91" t="str">
        <f>A41</f>
        <v>成交单价（元/平方米）</v>
      </c>
      <c r="Q41" s="3191"/>
      <c r="R41" s="3260">
        <f>E41</f>
        <v>0</v>
      </c>
      <c r="S41" s="3260"/>
      <c r="T41" s="3260">
        <f>G41</f>
        <v>0</v>
      </c>
      <c r="U41" s="3260"/>
      <c r="V41" s="3260">
        <f>I41</f>
        <v>0</v>
      </c>
      <c r="W41" s="326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91" t="str">
        <f>A42</f>
        <v>比较价值（元/平方米）</v>
      </c>
      <c r="Q42" s="3191"/>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11" t="str">
        <f>A43</f>
        <v>估价对象XX用房的比较价值（楼面单价，元/平方米）</v>
      </c>
      <c r="Q43" s="3212"/>
      <c r="R43" s="3259" t="e">
        <f>IF(F1="售价",ROUND(AVERAGE(R42:V42),0),ROUND(AVERAGE(R42:V42),1))</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2550</v>
      </c>
      <c r="Q7" s="3205"/>
      <c r="R7" s="770" t="s">
        <v>17</v>
      </c>
      <c r="S7" s="771">
        <f t="shared" ref="S7:S14" si="0">F7</f>
        <v>0</v>
      </c>
      <c r="T7" s="770" t="s">
        <v>17</v>
      </c>
      <c r="U7" s="771">
        <f t="shared" ref="U7:U14" si="1">H7</f>
        <v>0</v>
      </c>
      <c r="V7" s="770" t="s">
        <v>17</v>
      </c>
      <c r="W7" s="771">
        <f t="shared" ref="W7:W14"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91" t="s">
        <v>2556</v>
      </c>
      <c r="Q9" s="1794" t="str">
        <f t="shared" ref="Q9:Q14" si="6">B9</f>
        <v>用途</v>
      </c>
      <c r="R9" s="770" t="s">
        <v>17</v>
      </c>
      <c r="S9" s="771">
        <f t="shared" si="0"/>
        <v>100</v>
      </c>
      <c r="T9" s="770" t="s">
        <v>17</v>
      </c>
      <c r="U9" s="771">
        <f t="shared" si="1"/>
        <v>100</v>
      </c>
      <c r="V9" s="770" t="s">
        <v>17</v>
      </c>
      <c r="W9" s="771">
        <f t="shared" si="2"/>
        <v>100</v>
      </c>
      <c r="X9" s="772"/>
      <c r="Y9" s="3051"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91"/>
      <c r="Q11" s="1794">
        <f t="shared" si="6"/>
        <v>111</v>
      </c>
      <c r="R11" s="770" t="s">
        <v>17</v>
      </c>
      <c r="S11" s="771">
        <f t="shared" si="0"/>
        <v>100</v>
      </c>
      <c r="T11" s="770" t="s">
        <v>17</v>
      </c>
      <c r="U11" s="771">
        <f t="shared" si="1"/>
        <v>100</v>
      </c>
      <c r="V11" s="770" t="s">
        <v>17</v>
      </c>
      <c r="W11" s="771">
        <f t="shared" si="2"/>
        <v>100</v>
      </c>
      <c r="X11" s="772"/>
      <c r="Y11" s="3051"/>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6" t="s">
        <v>2561</v>
      </c>
      <c r="Q14" s="1809" t="str">
        <f t="shared" si="6"/>
        <v>交通便捷度</v>
      </c>
      <c r="R14" s="774" t="s">
        <v>17</v>
      </c>
      <c r="S14" s="775">
        <f t="shared" si="0"/>
        <v>100</v>
      </c>
      <c r="T14" s="774" t="s">
        <v>17</v>
      </c>
      <c r="U14" s="775">
        <f t="shared" si="1"/>
        <v>100</v>
      </c>
      <c r="V14" s="774" t="s">
        <v>17</v>
      </c>
      <c r="W14" s="775">
        <f t="shared" si="2"/>
        <v>100</v>
      </c>
      <c r="X14" s="1812"/>
      <c r="Y14" s="3206"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7"/>
      <c r="Q15" s="1809"/>
      <c r="R15" s="774"/>
      <c r="S15" s="775"/>
      <c r="T15" s="774"/>
      <c r="U15" s="775"/>
      <c r="V15" s="774"/>
      <c r="W15" s="775"/>
      <c r="X15" s="1812"/>
      <c r="Y15" s="3207"/>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07"/>
      <c r="Q17" s="1809"/>
      <c r="R17" s="774"/>
      <c r="S17" s="775"/>
      <c r="T17" s="774"/>
      <c r="U17" s="775"/>
      <c r="V17" s="774"/>
      <c r="W17" s="775"/>
      <c r="X17" s="1812"/>
      <c r="Y17" s="3207"/>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07"/>
      <c r="Q19" s="1809"/>
      <c r="R19" s="774"/>
      <c r="S19" s="775"/>
      <c r="T19" s="774"/>
      <c r="U19" s="775"/>
      <c r="V19" s="774"/>
      <c r="W19" s="775"/>
      <c r="X19" s="1812"/>
      <c r="Y19" s="3207"/>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7"/>
      <c r="Q21" s="1809"/>
      <c r="R21" s="774"/>
      <c r="S21" s="775"/>
      <c r="T21" s="774"/>
      <c r="U21" s="775"/>
      <c r="V21" s="774"/>
      <c r="W21" s="775"/>
      <c r="X21" s="1812"/>
      <c r="Y21" s="3207"/>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09">
        <f t="shared" ref="Q24:Q36"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4">
        <f t="shared" si="11"/>
        <v>111</v>
      </c>
      <c r="R25" s="770" t="s">
        <v>17</v>
      </c>
      <c r="S25" s="771">
        <f>F25</f>
        <v>100</v>
      </c>
      <c r="T25" s="770" t="s">
        <v>17</v>
      </c>
      <c r="U25" s="771">
        <f>H25</f>
        <v>100</v>
      </c>
      <c r="V25" s="770" t="s">
        <v>17</v>
      </c>
      <c r="W25" s="771">
        <f>J25</f>
        <v>100</v>
      </c>
      <c r="X25" s="772"/>
      <c r="Y25" s="3207"/>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8"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9"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809" t="str">
        <f t="shared" si="11"/>
        <v>公共部分装修</v>
      </c>
      <c r="R28" s="774" t="s">
        <v>17</v>
      </c>
      <c r="S28" s="775">
        <f t="shared" si="12"/>
        <v>100</v>
      </c>
      <c r="T28" s="774" t="s">
        <v>17</v>
      </c>
      <c r="U28" s="775">
        <f t="shared" si="13"/>
        <v>100</v>
      </c>
      <c r="V28" s="774" t="s">
        <v>17</v>
      </c>
      <c r="W28" s="775">
        <f t="shared" si="14"/>
        <v>100</v>
      </c>
      <c r="X28" s="1812"/>
      <c r="Y28" s="3209"/>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809" t="str">
        <f t="shared" si="11"/>
        <v>成新率</v>
      </c>
      <c r="R29" s="774" t="s">
        <v>17</v>
      </c>
      <c r="S29" s="775" t="e">
        <f t="shared" si="12"/>
        <v>#N/A</v>
      </c>
      <c r="T29" s="774" t="s">
        <v>17</v>
      </c>
      <c r="U29" s="775" t="e">
        <f t="shared" si="13"/>
        <v>#N/A</v>
      </c>
      <c r="V29" s="774" t="s">
        <v>17</v>
      </c>
      <c r="W29" s="775" t="e">
        <f t="shared" si="14"/>
        <v>#N/A</v>
      </c>
      <c r="X29" s="1812"/>
      <c r="Y29" s="3209"/>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809" t="str">
        <f t="shared" si="11"/>
        <v>物业等级</v>
      </c>
      <c r="R30" s="774" t="s">
        <v>17</v>
      </c>
      <c r="S30" s="775">
        <f t="shared" si="12"/>
        <v>100</v>
      </c>
      <c r="T30" s="774" t="s">
        <v>17</v>
      </c>
      <c r="U30" s="775">
        <f t="shared" si="13"/>
        <v>100</v>
      </c>
      <c r="V30" s="774" t="s">
        <v>17</v>
      </c>
      <c r="W30" s="775">
        <f t="shared" si="14"/>
        <v>100</v>
      </c>
      <c r="X30" s="1812"/>
      <c r="Y30" s="3209"/>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794" t="str">
        <f t="shared" si="11"/>
        <v>停车位面积</v>
      </c>
      <c r="R31" s="770" t="s">
        <v>17</v>
      </c>
      <c r="S31" s="771" t="e">
        <f t="shared" si="12"/>
        <v>#N/A</v>
      </c>
      <c r="T31" s="770" t="s">
        <v>17</v>
      </c>
      <c r="U31" s="771" t="e">
        <f t="shared" si="13"/>
        <v>#N/A</v>
      </c>
      <c r="V31" s="770" t="s">
        <v>17</v>
      </c>
      <c r="W31" s="771" t="e">
        <f t="shared" si="14"/>
        <v>#N/A</v>
      </c>
      <c r="X31" s="772"/>
      <c r="Y31" s="3209"/>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2566</v>
      </c>
      <c r="Q32" s="1809" t="str">
        <f t="shared" si="11"/>
        <v>车位类型</v>
      </c>
      <c r="R32" s="774" t="s">
        <v>17</v>
      </c>
      <c r="S32" s="775">
        <f t="shared" si="12"/>
        <v>100</v>
      </c>
      <c r="T32" s="774" t="s">
        <v>17</v>
      </c>
      <c r="U32" s="775">
        <f t="shared" si="13"/>
        <v>100</v>
      </c>
      <c r="V32" s="774" t="s">
        <v>17</v>
      </c>
      <c r="W32" s="775">
        <f t="shared" si="14"/>
        <v>100</v>
      </c>
      <c r="X32" s="1812"/>
      <c r="Y32" s="3209"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809" t="str">
        <f t="shared" si="11"/>
        <v>是否直接入户</v>
      </c>
      <c r="R33" s="774" t="s">
        <v>17</v>
      </c>
      <c r="S33" s="775">
        <f t="shared" si="12"/>
        <v>100</v>
      </c>
      <c r="T33" s="774" t="s">
        <v>17</v>
      </c>
      <c r="U33" s="775">
        <f t="shared" si="13"/>
        <v>100</v>
      </c>
      <c r="V33" s="774" t="s">
        <v>17</v>
      </c>
      <c r="W33" s="775">
        <f t="shared" si="14"/>
        <v>100</v>
      </c>
      <c r="X33" s="1812"/>
      <c r="Y33" s="320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09">
        <f t="shared" si="11"/>
        <v>111</v>
      </c>
      <c r="R34" s="774" t="s">
        <v>17</v>
      </c>
      <c r="S34" s="775">
        <f t="shared" si="12"/>
        <v>100</v>
      </c>
      <c r="T34" s="774" t="s">
        <v>17</v>
      </c>
      <c r="U34" s="775">
        <f t="shared" si="13"/>
        <v>100</v>
      </c>
      <c r="V34" s="774" t="s">
        <v>17</v>
      </c>
      <c r="W34" s="775">
        <f t="shared" si="14"/>
        <v>100</v>
      </c>
      <c r="X34" s="1812"/>
      <c r="Y34" s="320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09">
        <f t="shared" si="11"/>
        <v>111</v>
      </c>
      <c r="R36" s="774" t="s">
        <v>17</v>
      </c>
      <c r="S36" s="775">
        <f t="shared" si="12"/>
        <v>100</v>
      </c>
      <c r="T36" s="774" t="s">
        <v>17</v>
      </c>
      <c r="U36" s="775">
        <f t="shared" si="13"/>
        <v>100</v>
      </c>
      <c r="V36" s="774" t="s">
        <v>17</v>
      </c>
      <c r="W36" s="775">
        <f t="shared" si="14"/>
        <v>100</v>
      </c>
      <c r="X36" s="1812"/>
      <c r="Y36" s="3209"/>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91" t="str">
        <f>A37</f>
        <v>成交单价</v>
      </c>
      <c r="Q37" s="3191"/>
      <c r="R37" s="3260">
        <f>E37</f>
        <v>0</v>
      </c>
      <c r="S37" s="3260"/>
      <c r="T37" s="3260">
        <f>G37</f>
        <v>0</v>
      </c>
      <c r="U37" s="3260"/>
      <c r="V37" s="3260">
        <f>I37</f>
        <v>0</v>
      </c>
      <c r="W37" s="326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91" t="str">
        <f>A38</f>
        <v>比较价值（元/平方米）</v>
      </c>
      <c r="Q38" s="3191"/>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11" t="str">
        <f>A39</f>
        <v>估价对象XX用房的比较价值（楼面单价，元/平方米）</v>
      </c>
      <c r="Q39" s="3212"/>
      <c r="R39" s="3259" t="e">
        <f>IF(F1="售价",ROUND(AVERAGE(R38:V38),0),ROUND(AVERAGE(R38:V38),1))</f>
        <v>#DIV/0!</v>
      </c>
      <c r="S39" s="3259"/>
      <c r="T39" s="3259"/>
      <c r="U39" s="3259"/>
      <c r="V39" s="3259"/>
      <c r="W39" s="325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7" t="s">
        <v>2550</v>
      </c>
      <c r="Q7" s="3205"/>
      <c r="R7" s="770" t="s">
        <v>17</v>
      </c>
      <c r="S7" s="771">
        <f t="shared" ref="S7:S14" si="0">F7</f>
        <v>0</v>
      </c>
      <c r="T7" s="770" t="s">
        <v>17</v>
      </c>
      <c r="U7" s="771">
        <f t="shared" ref="U7:U14" si="1">H7</f>
        <v>0</v>
      </c>
      <c r="V7" s="770" t="s">
        <v>17</v>
      </c>
      <c r="W7" s="771">
        <f t="shared" ref="W7:W14"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91" t="s">
        <v>2556</v>
      </c>
      <c r="Q9" s="1794" t="str">
        <f t="shared" ref="Q9:Q14" si="6">B9</f>
        <v>用途</v>
      </c>
      <c r="R9" s="770" t="s">
        <v>17</v>
      </c>
      <c r="S9" s="771">
        <f t="shared" si="0"/>
        <v>100</v>
      </c>
      <c r="T9" s="770" t="s">
        <v>17</v>
      </c>
      <c r="U9" s="771">
        <f t="shared" si="1"/>
        <v>100</v>
      </c>
      <c r="V9" s="770" t="s">
        <v>17</v>
      </c>
      <c r="W9" s="771">
        <f t="shared" si="2"/>
        <v>100</v>
      </c>
      <c r="X9" s="772"/>
      <c r="Y9" s="3051"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91"/>
      <c r="Q11" s="1794">
        <f t="shared" si="6"/>
        <v>111</v>
      </c>
      <c r="R11" s="770" t="s">
        <v>17</v>
      </c>
      <c r="S11" s="771">
        <f t="shared" si="0"/>
        <v>100</v>
      </c>
      <c r="T11" s="770" t="s">
        <v>17</v>
      </c>
      <c r="U11" s="771">
        <f t="shared" si="1"/>
        <v>100</v>
      </c>
      <c r="V11" s="770" t="s">
        <v>17</v>
      </c>
      <c r="W11" s="771">
        <f t="shared" si="2"/>
        <v>100</v>
      </c>
      <c r="X11" s="772"/>
      <c r="Y11" s="3051"/>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2561</v>
      </c>
      <c r="Q14" s="1809" t="str">
        <f t="shared" si="6"/>
        <v>交通便捷度</v>
      </c>
      <c r="R14" s="774" t="s">
        <v>17</v>
      </c>
      <c r="S14" s="775">
        <f t="shared" si="0"/>
        <v>100</v>
      </c>
      <c r="T14" s="774" t="s">
        <v>17</v>
      </c>
      <c r="U14" s="775">
        <f t="shared" si="1"/>
        <v>100</v>
      </c>
      <c r="V14" s="774" t="s">
        <v>17</v>
      </c>
      <c r="W14" s="775">
        <f t="shared" si="2"/>
        <v>100</v>
      </c>
      <c r="X14" s="1812"/>
      <c r="Y14" s="3206"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7"/>
      <c r="Q15" s="1809"/>
      <c r="R15" s="774"/>
      <c r="S15" s="775"/>
      <c r="T15" s="774"/>
      <c r="U15" s="775"/>
      <c r="V15" s="774"/>
      <c r="W15" s="775"/>
      <c r="X15" s="1812"/>
      <c r="Y15" s="3207"/>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07"/>
      <c r="Q17" s="1809"/>
      <c r="R17" s="774"/>
      <c r="S17" s="775"/>
      <c r="T17" s="774"/>
      <c r="U17" s="775"/>
      <c r="V17" s="774"/>
      <c r="W17" s="775"/>
      <c r="X17" s="1812"/>
      <c r="Y17" s="3207"/>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07"/>
      <c r="Q19" s="1809"/>
      <c r="R19" s="774"/>
      <c r="S19" s="775"/>
      <c r="T19" s="774"/>
      <c r="U19" s="775"/>
      <c r="V19" s="774"/>
      <c r="W19" s="775"/>
      <c r="X19" s="1812"/>
      <c r="Y19" s="3207"/>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7"/>
      <c r="Q21" s="1809"/>
      <c r="R21" s="774"/>
      <c r="S21" s="775"/>
      <c r="T21" s="774"/>
      <c r="U21" s="775"/>
      <c r="V21" s="774"/>
      <c r="W21" s="775"/>
      <c r="X21" s="1812"/>
      <c r="Y21" s="3207"/>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09">
        <f t="shared" ref="Q24:Q34"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7"/>
      <c r="Q25" s="1794">
        <f t="shared" si="11"/>
        <v>111</v>
      </c>
      <c r="R25" s="770" t="s">
        <v>17</v>
      </c>
      <c r="S25" s="771">
        <f>F25</f>
        <v>100</v>
      </c>
      <c r="T25" s="770" t="s">
        <v>17</v>
      </c>
      <c r="U25" s="771">
        <f>H25</f>
        <v>100</v>
      </c>
      <c r="V25" s="770" t="s">
        <v>17</v>
      </c>
      <c r="W25" s="771">
        <f>J25</f>
        <v>100</v>
      </c>
      <c r="X25" s="772"/>
      <c r="Y25" s="3207"/>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08"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9"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09" t="str">
        <f t="shared" si="11"/>
        <v>物业等级</v>
      </c>
      <c r="R28" s="774" t="s">
        <v>17</v>
      </c>
      <c r="S28" s="775">
        <f t="shared" si="12"/>
        <v>100</v>
      </c>
      <c r="T28" s="774" t="s">
        <v>17</v>
      </c>
      <c r="U28" s="775">
        <f t="shared" si="13"/>
        <v>100</v>
      </c>
      <c r="V28" s="774" t="s">
        <v>17</v>
      </c>
      <c r="W28" s="775">
        <f t="shared" si="14"/>
        <v>100</v>
      </c>
      <c r="X28" s="1812"/>
      <c r="Y28" s="3209"/>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09" t="str">
        <f t="shared" si="11"/>
        <v>有无电梯</v>
      </c>
      <c r="R29" s="774" t="s">
        <v>17</v>
      </c>
      <c r="S29" s="775">
        <f t="shared" si="12"/>
        <v>100</v>
      </c>
      <c r="T29" s="774" t="s">
        <v>17</v>
      </c>
      <c r="U29" s="775">
        <f t="shared" si="13"/>
        <v>100</v>
      </c>
      <c r="V29" s="774" t="s">
        <v>17</v>
      </c>
      <c r="W29" s="775">
        <f t="shared" si="14"/>
        <v>100</v>
      </c>
      <c r="X29" s="1812"/>
      <c r="Y29" s="3209"/>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09" t="str">
        <f t="shared" si="11"/>
        <v>建筑面积</v>
      </c>
      <c r="R30" s="774" t="s">
        <v>17</v>
      </c>
      <c r="S30" s="775" t="e">
        <f t="shared" si="12"/>
        <v>#N/A</v>
      </c>
      <c r="T30" s="774" t="s">
        <v>17</v>
      </c>
      <c r="U30" s="775" t="e">
        <f t="shared" si="13"/>
        <v>#N/A</v>
      </c>
      <c r="V30" s="774" t="s">
        <v>17</v>
      </c>
      <c r="W30" s="775" t="e">
        <f t="shared" si="14"/>
        <v>#N/A</v>
      </c>
      <c r="X30" s="1812"/>
      <c r="Y30" s="3209"/>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94" t="str">
        <f t="shared" si="11"/>
        <v>是否封闭</v>
      </c>
      <c r="R31" s="770" t="s">
        <v>17</v>
      </c>
      <c r="S31" s="771">
        <f t="shared" si="12"/>
        <v>100</v>
      </c>
      <c r="T31" s="770" t="s">
        <v>17</v>
      </c>
      <c r="U31" s="771">
        <f t="shared" si="13"/>
        <v>100</v>
      </c>
      <c r="V31" s="770" t="s">
        <v>17</v>
      </c>
      <c r="W31" s="771">
        <f t="shared" si="14"/>
        <v>100</v>
      </c>
      <c r="X31" s="772"/>
      <c r="Y31" s="3209"/>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2566</v>
      </c>
      <c r="Q32" s="1809">
        <f t="shared" si="11"/>
        <v>111</v>
      </c>
      <c r="R32" s="774" t="s">
        <v>17</v>
      </c>
      <c r="S32" s="775">
        <f t="shared" si="12"/>
        <v>100</v>
      </c>
      <c r="T32" s="774" t="s">
        <v>17</v>
      </c>
      <c r="U32" s="775">
        <f t="shared" si="13"/>
        <v>100</v>
      </c>
      <c r="V32" s="774" t="s">
        <v>17</v>
      </c>
      <c r="W32" s="775">
        <f t="shared" si="14"/>
        <v>100</v>
      </c>
      <c r="X32" s="1812"/>
      <c r="Y32" s="3209"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09">
        <f t="shared" si="11"/>
        <v>111</v>
      </c>
      <c r="R33" s="774" t="s">
        <v>17</v>
      </c>
      <c r="S33" s="775">
        <f t="shared" si="12"/>
        <v>100</v>
      </c>
      <c r="T33" s="774" t="s">
        <v>17</v>
      </c>
      <c r="U33" s="775">
        <f t="shared" si="13"/>
        <v>100</v>
      </c>
      <c r="V33" s="774" t="s">
        <v>17</v>
      </c>
      <c r="W33" s="775">
        <f t="shared" si="14"/>
        <v>100</v>
      </c>
      <c r="X33" s="1812"/>
      <c r="Y33" s="3209"/>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9"/>
      <c r="Q34" s="1809">
        <f t="shared" si="11"/>
        <v>111</v>
      </c>
      <c r="R34" s="774" t="s">
        <v>17</v>
      </c>
      <c r="S34" s="775">
        <f t="shared" si="12"/>
        <v>100</v>
      </c>
      <c r="T34" s="774" t="s">
        <v>17</v>
      </c>
      <c r="U34" s="775">
        <f t="shared" si="13"/>
        <v>100</v>
      </c>
      <c r="V34" s="774" t="s">
        <v>17</v>
      </c>
      <c r="W34" s="775">
        <f t="shared" si="14"/>
        <v>100</v>
      </c>
      <c r="X34" s="1812"/>
      <c r="Y34" s="3209"/>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91" t="str">
        <f>A35</f>
        <v>成交单价（元/平方米）</v>
      </c>
      <c r="Q35" s="3191"/>
      <c r="R35" s="3260">
        <f>E35</f>
        <v>0</v>
      </c>
      <c r="S35" s="3260"/>
      <c r="T35" s="3260">
        <f>G35</f>
        <v>0</v>
      </c>
      <c r="U35" s="3260"/>
      <c r="V35" s="3260">
        <f>I35</f>
        <v>0</v>
      </c>
      <c r="W35" s="326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91" t="str">
        <f>A36</f>
        <v>比较价值（元/平方米）</v>
      </c>
      <c r="Q36" s="3191"/>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11" t="str">
        <f>A37</f>
        <v>估价对象XX用房的比较价值（楼面单价，元/平方米）</v>
      </c>
      <c r="Q37" s="3212"/>
      <c r="R37" s="3259" t="e">
        <f>IF(F1="售价",ROUND(AVERAGE(R36:V36),0),ROUND(AVERAGE(R36:V36),1))</f>
        <v>#DIV/0!</v>
      </c>
      <c r="S37" s="3259"/>
      <c r="T37" s="3259"/>
      <c r="U37" s="3259"/>
      <c r="V37" s="3259"/>
      <c r="W37" s="325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282" t="s">
        <v>2796</v>
      </c>
      <c r="D6" s="3283"/>
      <c r="E6" s="3284" t="s">
        <v>2796</v>
      </c>
      <c r="F6" s="3285"/>
      <c r="G6" s="3282" t="s">
        <v>2796</v>
      </c>
      <c r="H6" s="3283"/>
      <c r="I6" s="3282" t="s">
        <v>2796</v>
      </c>
      <c r="J6" s="3283"/>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91"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113</v>
      </c>
      <c r="G10" s="432"/>
      <c r="H10" s="135">
        <f>ROUND(100/'数据-取费表'!G16,0)</f>
        <v>113</v>
      </c>
      <c r="I10" s="432"/>
      <c r="J10" s="135">
        <f>ROUND(100/'数据-取费表'!G16,0)</f>
        <v>113</v>
      </c>
      <c r="K10" s="672"/>
      <c r="L10" s="1135"/>
      <c r="M10" s="1136"/>
      <c r="N10" s="1136"/>
      <c r="O10" s="1137"/>
      <c r="P10" s="3191"/>
      <c r="Q10" s="1794" t="str">
        <f t="shared" si="6"/>
        <v>土地使用年限（年）</v>
      </c>
      <c r="R10" s="770" t="s">
        <v>17</v>
      </c>
      <c r="S10" s="771">
        <f t="shared" si="0"/>
        <v>113</v>
      </c>
      <c r="T10" s="770" t="s">
        <v>17</v>
      </c>
      <c r="U10" s="771">
        <f t="shared" si="1"/>
        <v>113</v>
      </c>
      <c r="V10" s="770" t="s">
        <v>17</v>
      </c>
      <c r="W10" s="771">
        <f t="shared" si="2"/>
        <v>113</v>
      </c>
      <c r="X10" s="772"/>
      <c r="Y10" s="3051"/>
      <c r="Z10" s="54" t="str">
        <f t="shared" si="7"/>
        <v>土地使用年限（年）</v>
      </c>
      <c r="AA10" s="773">
        <f t="shared" si="3"/>
        <v>0.88495575221238942</v>
      </c>
      <c r="AB10" s="773">
        <f t="shared" si="4"/>
        <v>0.88495575221238942</v>
      </c>
      <c r="AC10" s="773">
        <f t="shared" si="5"/>
        <v>0.88495575221238942</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2561</v>
      </c>
      <c r="Q15" s="1809" t="str">
        <f t="shared" si="6"/>
        <v>产业集聚程度</v>
      </c>
      <c r="R15" s="774" t="s">
        <v>17</v>
      </c>
      <c r="S15" s="775">
        <f t="shared" si="0"/>
        <v>100</v>
      </c>
      <c r="T15" s="774" t="s">
        <v>17</v>
      </c>
      <c r="U15" s="775">
        <f t="shared" si="1"/>
        <v>100</v>
      </c>
      <c r="V15" s="774" t="s">
        <v>17</v>
      </c>
      <c r="W15" s="775">
        <f t="shared" si="2"/>
        <v>100</v>
      </c>
      <c r="X15" s="1812"/>
      <c r="Y15" s="3206"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09" t="str">
        <f t="shared" ref="Q19:Q33" si="8">B19</f>
        <v>区域土地利用方向</v>
      </c>
      <c r="R19" s="774" t="s">
        <v>17</v>
      </c>
      <c r="S19" s="775">
        <f>F19</f>
        <v>100</v>
      </c>
      <c r="T19" s="774" t="s">
        <v>17</v>
      </c>
      <c r="U19" s="775">
        <f>H19</f>
        <v>100</v>
      </c>
      <c r="V19" s="774" t="s">
        <v>17</v>
      </c>
      <c r="W19" s="775">
        <f>J19</f>
        <v>100</v>
      </c>
      <c r="X19" s="1812"/>
      <c r="Y19" s="320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07"/>
      <c r="Q20" s="1809"/>
      <c r="R20" s="774"/>
      <c r="S20" s="775"/>
      <c r="T20" s="774"/>
      <c r="U20" s="775"/>
      <c r="V20" s="774"/>
      <c r="W20" s="775"/>
      <c r="X20" s="1812"/>
      <c r="Y20" s="3207"/>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09" t="str">
        <f t="shared" si="8"/>
        <v>环境状况</v>
      </c>
      <c r="R21" s="774" t="s">
        <v>17</v>
      </c>
      <c r="S21" s="775">
        <f>F21</f>
        <v>100</v>
      </c>
      <c r="T21" s="774" t="s">
        <v>17</v>
      </c>
      <c r="U21" s="775">
        <f>H21</f>
        <v>100</v>
      </c>
      <c r="V21" s="774" t="s">
        <v>17</v>
      </c>
      <c r="W21" s="775">
        <f>J21</f>
        <v>100</v>
      </c>
      <c r="X21" s="1812"/>
      <c r="Y21" s="320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4" t="str">
        <f t="shared" si="8"/>
        <v>公共配套设施</v>
      </c>
      <c r="R23" s="770" t="s">
        <v>17</v>
      </c>
      <c r="S23" s="771">
        <f>F23</f>
        <v>100</v>
      </c>
      <c r="T23" s="770" t="s">
        <v>17</v>
      </c>
      <c r="U23" s="771">
        <f>H23</f>
        <v>100</v>
      </c>
      <c r="V23" s="770" t="s">
        <v>17</v>
      </c>
      <c r="W23" s="771">
        <f>J23</f>
        <v>100</v>
      </c>
      <c r="X23" s="772"/>
      <c r="Y23" s="3207"/>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207"/>
      <c r="Q24" s="1794"/>
      <c r="R24" s="770"/>
      <c r="S24" s="771"/>
      <c r="T24" s="770"/>
      <c r="U24" s="771"/>
      <c r="V24" s="770"/>
      <c r="W24" s="771"/>
      <c r="X24" s="772"/>
      <c r="Y24" s="3207"/>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4" t="str">
        <f t="shared" ref="Q25" si="9">B25</f>
        <v>基础设施水平</v>
      </c>
      <c r="R25" s="770" t="s">
        <v>17</v>
      </c>
      <c r="S25" s="771">
        <f>F25</f>
        <v>100</v>
      </c>
      <c r="T25" s="770" t="s">
        <v>17</v>
      </c>
      <c r="U25" s="771">
        <f>H25</f>
        <v>100</v>
      </c>
      <c r="V25" s="770" t="s">
        <v>17</v>
      </c>
      <c r="W25" s="771">
        <f>J25</f>
        <v>100</v>
      </c>
      <c r="X25" s="772"/>
      <c r="Y25" s="3207"/>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207"/>
      <c r="Q26" s="1794"/>
      <c r="R26" s="770"/>
      <c r="S26" s="771"/>
      <c r="T26" s="770"/>
      <c r="U26" s="771"/>
      <c r="V26" s="770"/>
      <c r="W26" s="771"/>
      <c r="X26" s="772"/>
      <c r="Y26" s="3207"/>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7"/>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09" t="str">
        <f t="shared" si="8"/>
        <v>毗邻道路的类型与等级</v>
      </c>
      <c r="R28" s="774" t="s">
        <v>17</v>
      </c>
      <c r="S28" s="775">
        <f t="shared" si="10"/>
        <v>100</v>
      </c>
      <c r="T28" s="774" t="s">
        <v>17</v>
      </c>
      <c r="U28" s="775">
        <f t="shared" si="11"/>
        <v>100</v>
      </c>
      <c r="V28" s="774" t="s">
        <v>17</v>
      </c>
      <c r="W28" s="775">
        <f t="shared" si="12"/>
        <v>100</v>
      </c>
      <c r="X28" s="1812"/>
      <c r="Y28" s="320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07"/>
      <c r="Q29" s="1809"/>
      <c r="R29" s="774"/>
      <c r="S29" s="775"/>
      <c r="T29" s="774"/>
      <c r="U29" s="775"/>
      <c r="V29" s="774"/>
      <c r="W29" s="775"/>
      <c r="X29" s="1812"/>
      <c r="Y29" s="3207"/>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09" t="str">
        <f t="shared" si="8"/>
        <v>土地级别</v>
      </c>
      <c r="R30" s="774" t="s">
        <v>17</v>
      </c>
      <c r="S30" s="775">
        <f t="shared" si="10"/>
        <v>100</v>
      </c>
      <c r="T30" s="774" t="s">
        <v>17</v>
      </c>
      <c r="U30" s="775">
        <f t="shared" si="11"/>
        <v>100</v>
      </c>
      <c r="V30" s="774" t="s">
        <v>17</v>
      </c>
      <c r="W30" s="775">
        <f t="shared" si="12"/>
        <v>100</v>
      </c>
      <c r="X30" s="1812"/>
      <c r="Y30" s="320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09">
        <f t="shared" si="8"/>
        <v>111</v>
      </c>
      <c r="R31" s="774" t="s">
        <v>17</v>
      </c>
      <c r="S31" s="775">
        <f t="shared" si="10"/>
        <v>100</v>
      </c>
      <c r="T31" s="774" t="s">
        <v>17</v>
      </c>
      <c r="U31" s="775">
        <f t="shared" si="11"/>
        <v>100</v>
      </c>
      <c r="V31" s="774" t="s">
        <v>17</v>
      </c>
      <c r="W31" s="775">
        <f t="shared" si="12"/>
        <v>100</v>
      </c>
      <c r="X31" s="1812"/>
      <c r="Y31" s="320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8" t="s">
        <v>2566</v>
      </c>
      <c r="Q32" s="1809">
        <f t="shared" si="8"/>
        <v>111</v>
      </c>
      <c r="R32" s="774" t="s">
        <v>17</v>
      </c>
      <c r="S32" s="775">
        <f t="shared" si="10"/>
        <v>100</v>
      </c>
      <c r="T32" s="774" t="s">
        <v>17</v>
      </c>
      <c r="U32" s="775">
        <f t="shared" si="11"/>
        <v>100</v>
      </c>
      <c r="V32" s="774" t="s">
        <v>17</v>
      </c>
      <c r="W32" s="775">
        <f t="shared" si="12"/>
        <v>100</v>
      </c>
      <c r="X32" s="1812"/>
      <c r="Y32" s="3209"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09">
        <f t="shared" si="8"/>
        <v>111</v>
      </c>
      <c r="R33" s="777" t="s">
        <v>17</v>
      </c>
      <c r="S33" s="778">
        <f t="shared" si="10"/>
        <v>100</v>
      </c>
      <c r="T33" s="777" t="s">
        <v>17</v>
      </c>
      <c r="U33" s="778">
        <f t="shared" si="11"/>
        <v>100</v>
      </c>
      <c r="V33" s="777" t="s">
        <v>17</v>
      </c>
      <c r="W33" s="778">
        <f t="shared" si="12"/>
        <v>100</v>
      </c>
      <c r="X33" s="779"/>
      <c r="Y33" s="3209"/>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09" t="str">
        <f>B34</f>
        <v>宗地面积</v>
      </c>
      <c r="R34" s="774" t="s">
        <v>17</v>
      </c>
      <c r="S34" s="775" t="e">
        <f t="shared" si="10"/>
        <v>#N/A</v>
      </c>
      <c r="T34" s="774" t="s">
        <v>17</v>
      </c>
      <c r="U34" s="775" t="e">
        <f t="shared" si="11"/>
        <v>#N/A</v>
      </c>
      <c r="V34" s="774" t="s">
        <v>17</v>
      </c>
      <c r="W34" s="775" t="e">
        <f t="shared" si="12"/>
        <v>#N/A</v>
      </c>
      <c r="X34" s="1812"/>
      <c r="Y34" s="3209"/>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9"/>
      <c r="Q35" s="1809" t="str">
        <f t="shared" ref="Q35:Q40" si="14">B35</f>
        <v>宗地形状</v>
      </c>
      <c r="R35" s="774" t="s">
        <v>17</v>
      </c>
      <c r="S35" s="775">
        <f t="shared" si="10"/>
        <v>100</v>
      </c>
      <c r="T35" s="774" t="s">
        <v>17</v>
      </c>
      <c r="U35" s="775">
        <f t="shared" si="11"/>
        <v>100</v>
      </c>
      <c r="V35" s="774" t="s">
        <v>17</v>
      </c>
      <c r="W35" s="775">
        <f t="shared" si="12"/>
        <v>100</v>
      </c>
      <c r="X35" s="1812"/>
      <c r="Y35" s="3209"/>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9"/>
      <c r="Q36" s="1809" t="str">
        <f t="shared" si="14"/>
        <v>宗地开发程度</v>
      </c>
      <c r="R36" s="770" t="s">
        <v>17</v>
      </c>
      <c r="S36" s="771">
        <f t="shared" si="10"/>
        <v>100</v>
      </c>
      <c r="T36" s="770" t="s">
        <v>17</v>
      </c>
      <c r="U36" s="771">
        <f t="shared" si="11"/>
        <v>100</v>
      </c>
      <c r="V36" s="770" t="s">
        <v>17</v>
      </c>
      <c r="W36" s="771">
        <f t="shared" si="12"/>
        <v>100</v>
      </c>
      <c r="X36" s="772"/>
      <c r="Y36" s="3209"/>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9" t="s">
        <v>2566</v>
      </c>
      <c r="Q37" s="1809" t="str">
        <f t="shared" si="14"/>
        <v>工程地质条件</v>
      </c>
      <c r="R37" s="774" t="s">
        <v>17</v>
      </c>
      <c r="S37" s="775">
        <f t="shared" si="10"/>
        <v>100</v>
      </c>
      <c r="T37" s="774" t="s">
        <v>17</v>
      </c>
      <c r="U37" s="775">
        <f t="shared" si="11"/>
        <v>100</v>
      </c>
      <c r="V37" s="774" t="s">
        <v>17</v>
      </c>
      <c r="W37" s="775">
        <f t="shared" si="12"/>
        <v>100</v>
      </c>
      <c r="X37" s="1812"/>
      <c r="Y37" s="3209"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09">
        <f t="shared" si="14"/>
        <v>111</v>
      </c>
      <c r="R38" s="774" t="s">
        <v>17</v>
      </c>
      <c r="S38" s="775">
        <f t="shared" si="10"/>
        <v>100</v>
      </c>
      <c r="T38" s="774" t="s">
        <v>17</v>
      </c>
      <c r="U38" s="775">
        <f t="shared" si="11"/>
        <v>100</v>
      </c>
      <c r="V38" s="774" t="s">
        <v>17</v>
      </c>
      <c r="W38" s="775">
        <f t="shared" si="12"/>
        <v>100</v>
      </c>
      <c r="X38" s="1812"/>
      <c r="Y38" s="320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09">
        <f t="shared" si="14"/>
        <v>111</v>
      </c>
      <c r="R39" s="774" t="s">
        <v>17</v>
      </c>
      <c r="S39" s="775">
        <f t="shared" si="10"/>
        <v>100</v>
      </c>
      <c r="T39" s="774" t="s">
        <v>17</v>
      </c>
      <c r="U39" s="775">
        <f t="shared" si="11"/>
        <v>100</v>
      </c>
      <c r="V39" s="774" t="s">
        <v>17</v>
      </c>
      <c r="W39" s="775">
        <f t="shared" si="12"/>
        <v>100</v>
      </c>
      <c r="X39" s="1812"/>
      <c r="Y39" s="3209"/>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09">
        <f t="shared" si="14"/>
        <v>111</v>
      </c>
      <c r="R40" s="777" t="s">
        <v>17</v>
      </c>
      <c r="S40" s="778">
        <f t="shared" si="10"/>
        <v>100</v>
      </c>
      <c r="T40" s="777" t="s">
        <v>17</v>
      </c>
      <c r="U40" s="778">
        <f t="shared" si="11"/>
        <v>100</v>
      </c>
      <c r="V40" s="777" t="s">
        <v>17</v>
      </c>
      <c r="W40" s="778">
        <f t="shared" si="12"/>
        <v>100</v>
      </c>
      <c r="X40" s="779"/>
      <c r="Y40" s="3209"/>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91" t="str">
        <f>A41</f>
        <v>成交单价</v>
      </c>
      <c r="Q41" s="3191"/>
      <c r="R41" s="3204">
        <f>E41</f>
        <v>0</v>
      </c>
      <c r="S41" s="3204"/>
      <c r="T41" s="3204">
        <f>G41</f>
        <v>0</v>
      </c>
      <c r="U41" s="3204"/>
      <c r="V41" s="3204">
        <f>I41</f>
        <v>0</v>
      </c>
      <c r="W41" s="320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10" t="e">
        <f>ROUND(PRODUCT(R41,AA7:AA40),0)</f>
        <v>#DIV/0!</v>
      </c>
      <c r="S42" s="3210"/>
      <c r="T42" s="3210" t="e">
        <f>ROUND(PRODUCT(T41,AB7:AB40),0)</f>
        <v>#DIV/0!</v>
      </c>
      <c r="U42" s="3210"/>
      <c r="V42" s="3210" t="e">
        <f>ROUND(PRODUCT(V41,AC7:AC40),0)</f>
        <v>#DIV/0!</v>
      </c>
      <c r="W42" s="321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13" t="e">
        <f>ROUND(AVERAGE(R42:V42),0)</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2" t="s">
        <v>2764</v>
      </c>
      <c r="H50" s="3214"/>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215"/>
      <c r="H51" s="319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1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1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1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1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0"/>
      <c r="B4" s="3301"/>
      <c r="C4" s="3301"/>
      <c r="D4" s="3302"/>
      <c r="E4" s="3302"/>
      <c r="F4" s="3302"/>
      <c r="G4" s="3302"/>
      <c r="H4" s="3302"/>
      <c r="I4" s="3302"/>
      <c r="J4" s="3303"/>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86"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87"/>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7" t="s">
        <v>2839</v>
      </c>
      <c r="X8" s="3298"/>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7"/>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9"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7"/>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7"/>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9"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86"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9"/>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99"/>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304"/>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5"/>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6"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7"/>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94"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5"/>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5"/>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296"/>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88" t="s">
        <v>2973</v>
      </c>
      <c r="B90" s="3288"/>
      <c r="C90" s="3288"/>
      <c r="D90" s="3288"/>
      <c r="E90" s="3288"/>
      <c r="F90" s="3288"/>
      <c r="G90" s="3288"/>
      <c r="H90" s="3288"/>
      <c r="I90" s="3288"/>
      <c r="J90" s="3288"/>
      <c r="K90" s="2894"/>
      <c r="L90" s="2894"/>
      <c r="M90" s="2894"/>
      <c r="N90" s="2894"/>
    </row>
    <row r="91" spans="1:37">
      <c r="A91" s="3290" t="s">
        <v>2974</v>
      </c>
      <c r="B91" s="3290" t="s">
        <v>2975</v>
      </c>
      <c r="C91" s="2848" t="s">
        <v>2976</v>
      </c>
      <c r="D91" s="2849"/>
      <c r="E91" s="2849"/>
      <c r="F91" s="2849"/>
      <c r="G91" s="2849"/>
      <c r="H91" s="2849"/>
      <c r="I91" s="2849"/>
      <c r="J91" s="2895"/>
      <c r="K91" s="2896"/>
      <c r="L91" s="2896"/>
      <c r="M91" s="2896"/>
      <c r="N91" s="2896"/>
    </row>
    <row r="92" spans="1:37">
      <c r="A92" s="3290"/>
      <c r="B92" s="3290"/>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91"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2"/>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1"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292"/>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292"/>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292"/>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292"/>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292"/>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292"/>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292"/>
      <c r="B108" s="3105"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3"/>
      <c r="B109" s="3106"/>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89" t="s">
        <v>2981</v>
      </c>
      <c r="B110" s="3289"/>
      <c r="C110" s="3289"/>
      <c r="D110" s="3289"/>
      <c r="E110" s="3289"/>
      <c r="F110" s="3289"/>
      <c r="G110" s="3289"/>
      <c r="H110" s="3289"/>
      <c r="I110" s="3289"/>
      <c r="J110" s="3289"/>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0"/>
      <c r="B4" s="2989" t="s">
        <v>1632</v>
      </c>
      <c r="C4" s="2989"/>
      <c r="D4" s="2989"/>
      <c r="E4" s="1960"/>
    </row>
    <row r="5" spans="1:5" ht="16.5" thickTop="1">
      <c r="A5" s="1958"/>
      <c r="B5" s="2987" t="s">
        <v>1624</v>
      </c>
      <c r="C5" s="1961" t="s">
        <v>1625</v>
      </c>
      <c r="D5" s="1040">
        <f ca="1">结果表!H101</f>
        <v>117820</v>
      </c>
      <c r="E5" s="1958"/>
    </row>
    <row r="6" spans="1:5" ht="15.75">
      <c r="A6" s="1958"/>
      <c r="B6" s="2987"/>
      <c r="C6" s="1961" t="s">
        <v>1626</v>
      </c>
      <c r="D6" s="1040" t="str">
        <f ca="1">NUMBERSTRING(INT(D5*10000),2)&amp;"元整"</f>
        <v>壹拾壹亿柒仟捌佰贰拾万元整</v>
      </c>
      <c r="E6" s="1958"/>
    </row>
    <row r="7" spans="1:5" ht="15.75">
      <c r="A7" s="1958"/>
      <c r="B7" s="2992"/>
      <c r="C7" s="1962" t="s">
        <v>1627</v>
      </c>
      <c r="D7" s="1041">
        <f ca="1">结果表!H102</f>
        <v>10075</v>
      </c>
      <c r="E7" s="1958"/>
    </row>
    <row r="8" spans="1:5" ht="15.75">
      <c r="A8" s="1958"/>
      <c r="B8" s="2993" t="str">
        <f>结果表!E103</f>
        <v>2.估价师知悉的法定优先受偿款</v>
      </c>
      <c r="C8" s="1963" t="s">
        <v>1628</v>
      </c>
      <c r="D8" s="1041">
        <f>结果表!H103</f>
        <v>0</v>
      </c>
      <c r="E8" s="1958"/>
    </row>
    <row r="9" spans="1:5" ht="15.75">
      <c r="A9" s="1958"/>
      <c r="B9" s="2995"/>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6" t="str">
        <f>结果表!E107</f>
        <v>3.房地产抵押价值</v>
      </c>
      <c r="C13" s="1966" t="s">
        <v>1625</v>
      </c>
      <c r="D13" s="1043">
        <f ca="1">结果表!H107</f>
        <v>117820</v>
      </c>
      <c r="E13" s="1958"/>
    </row>
    <row r="14" spans="1:5" ht="15.75">
      <c r="A14" s="1958"/>
      <c r="B14" s="2987"/>
      <c r="C14" s="1961" t="s">
        <v>1626</v>
      </c>
      <c r="D14" s="1040" t="str">
        <f ca="1">NUMBERSTRING(INT(D13*10000),2)&amp;"元整"</f>
        <v>壹拾壹亿柒仟捌佰贰拾万元整</v>
      </c>
      <c r="E14" s="1958"/>
    </row>
    <row r="15" spans="1:5" ht="15">
      <c r="A15" s="1958"/>
      <c r="B15" s="2992"/>
      <c r="C15" s="1962" t="s">
        <v>1636</v>
      </c>
      <c r="D15" s="1052">
        <f ca="1">结果表!H108</f>
        <v>10075</v>
      </c>
      <c r="E15" s="1958"/>
    </row>
    <row r="16" spans="1:5" ht="15">
      <c r="A16" s="1958"/>
      <c r="B16" s="2993" t="str">
        <f>结果表!E109</f>
        <v>——</v>
      </c>
      <c r="C16" s="1966" t="s">
        <v>1637</v>
      </c>
      <c r="D16" s="1967" t="str">
        <f>结果表!H109</f>
        <v>——</v>
      </c>
      <c r="E16" s="1958"/>
    </row>
    <row r="17" spans="1:5" ht="15.75">
      <c r="A17" s="1958"/>
      <c r="B17" s="2994"/>
      <c r="C17" s="1961" t="s">
        <v>1638</v>
      </c>
      <c r="D17" s="1040" t="e">
        <f>NUMBERSTRING(INT(D16*10000),2)&amp;"元整"</f>
        <v>#VALUE!</v>
      </c>
      <c r="E17" s="1958"/>
    </row>
    <row r="18" spans="1:5" ht="15">
      <c r="A18" s="1958"/>
      <c r="B18" s="2995"/>
      <c r="C18" s="1962" t="s">
        <v>1627</v>
      </c>
      <c r="D18" s="1052" t="str">
        <f>结果表!H110</f>
        <v>——</v>
      </c>
      <c r="E18" s="1958"/>
    </row>
    <row r="19" spans="1:5" ht="15.75">
      <c r="A19" s="1958"/>
      <c r="B19" s="2986" t="str">
        <f>结果表!E111</f>
        <v>——</v>
      </c>
      <c r="C19" s="1966" t="s">
        <v>1625</v>
      </c>
      <c r="D19" s="1041" t="str">
        <f>结果表!H111</f>
        <v>——</v>
      </c>
      <c r="E19" s="1958"/>
    </row>
    <row r="20" spans="1:5" ht="15.75">
      <c r="A20" s="1958"/>
      <c r="B20" s="2987"/>
      <c r="C20" s="1961" t="s">
        <v>1638</v>
      </c>
      <c r="D20" s="1040" t="e">
        <f>NUMBERSTRING(INT(D19*10000),2)&amp;"元整"</f>
        <v>#VALUE!</v>
      </c>
      <c r="E20" s="1958"/>
    </row>
    <row r="21" spans="1:5" ht="15.75" thickBot="1">
      <c r="A21" s="1958"/>
      <c r="B21" s="2988"/>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2" t="s">
        <v>1150</v>
      </c>
      <c r="C1" s="3312"/>
      <c r="D1" s="3312"/>
      <c r="E1" s="3312"/>
      <c r="F1" s="3312"/>
      <c r="G1" s="3308" t="s">
        <v>1151</v>
      </c>
      <c r="H1" s="3308"/>
      <c r="I1" s="3308"/>
      <c r="J1" s="3308"/>
      <c r="K1" s="3308"/>
      <c r="L1" s="3308"/>
      <c r="N1" s="3308" t="s">
        <v>1152</v>
      </c>
      <c r="O1" s="3308"/>
      <c r="P1" s="3308"/>
      <c r="Q1" s="3308"/>
      <c r="R1" s="1445"/>
      <c r="S1" s="3308" t="s">
        <v>1153</v>
      </c>
      <c r="T1" s="3308"/>
      <c r="U1" s="3308"/>
      <c r="V1" s="3308"/>
      <c r="X1" s="3307" t="s">
        <v>1154</v>
      </c>
      <c r="Y1" s="3308"/>
      <c r="Z1" s="3308"/>
      <c r="AA1" s="3308"/>
      <c r="AB1" s="3308"/>
      <c r="AD1" s="3307" t="s">
        <v>1155</v>
      </c>
      <c r="AE1" s="3308"/>
      <c r="AF1" s="3308"/>
      <c r="AG1" s="3308"/>
      <c r="AH1" s="3308"/>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3">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10"/>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10"/>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11"/>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9">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10"/>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10"/>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11"/>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9">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10"/>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10"/>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11"/>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4">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5"/>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5"/>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6"/>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9">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10"/>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10"/>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11"/>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9">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10">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10">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11">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9">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10">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10">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11">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9">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10">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10">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11">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9">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10">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10">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11">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9">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10">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10">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11">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9">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10">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10">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11">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9">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10">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10">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11">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9">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10">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10">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11">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9">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10">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10">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11">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9">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10">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10">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11">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18" t="s">
        <v>3007</v>
      </c>
      <c r="D1" s="3319"/>
      <c r="E1" s="3319"/>
      <c r="F1" s="3319"/>
      <c r="G1" s="3319"/>
      <c r="H1" s="3319"/>
      <c r="I1" s="3319"/>
      <c r="J1" s="3319"/>
      <c r="K1" s="3319"/>
      <c r="L1" s="3319"/>
      <c r="M1" s="3319"/>
      <c r="N1" s="3319"/>
      <c r="O1" s="3319"/>
      <c r="P1" s="3319"/>
      <c r="Q1" s="3319"/>
      <c r="R1" s="3319"/>
      <c r="S1" s="3320"/>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086" t="s">
        <v>33</v>
      </c>
      <c r="D22" s="3087"/>
      <c r="E22" s="3087"/>
      <c r="F22" s="3087"/>
      <c r="G22" s="3087"/>
      <c r="H22" s="3087"/>
      <c r="I22" s="3087"/>
      <c r="J22" s="3087"/>
      <c r="K22" s="3087"/>
      <c r="L22" s="3087"/>
      <c r="M22" s="3087"/>
      <c r="N22" s="3087"/>
      <c r="O22" s="3087"/>
      <c r="P22" s="3087"/>
      <c r="Q22" s="3317"/>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103726</v>
      </c>
      <c r="C2" s="2" t="s">
        <v>133</v>
      </c>
      <c r="D2" s="243"/>
      <c r="E2" s="243"/>
      <c r="F2" s="243"/>
      <c r="G2" s="243"/>
    </row>
    <row r="3" spans="1:7" s="244" customFormat="1" ht="18" customHeight="1" thickBot="1">
      <c r="A3" s="247" t="s">
        <v>85</v>
      </c>
      <c r="B3" s="248">
        <f ca="1">ROUND(B2*10000/'数据-汇总表'!E3,0)</f>
        <v>8870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4727</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4727</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6.0499999999999998E-2</v>
      </c>
      <c r="D30" s="280" t="s">
        <v>127</v>
      </c>
      <c r="E30" s="285"/>
      <c r="F30" s="281">
        <f>'数据-取费表'!B41</f>
        <v>6.0499999999999998E-2</v>
      </c>
      <c r="G30" s="278" t="s">
        <v>113</v>
      </c>
    </row>
    <row r="31" spans="1:7" ht="16.5" customHeight="1">
      <c r="A31" s="253">
        <v>1</v>
      </c>
      <c r="B31" s="254" t="s">
        <v>128</v>
      </c>
      <c r="C31" s="255">
        <f ca="1">ROUND((C5+C19+C20+C22+C27)/(1-C21-D22-D27-C30/(1+'数据-取费表'!B42)),0)</f>
        <v>35206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57332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52625</v>
      </c>
      <c r="D34" s="261"/>
      <c r="E34" s="264"/>
      <c r="F34" s="301">
        <f>IF('数据-取费表'!B24=0,1,'数据-取费表'!N16)</f>
        <v>1</v>
      </c>
      <c r="G34" s="263" t="s">
        <v>116</v>
      </c>
    </row>
    <row r="35" spans="1:7" ht="13.5" customHeight="1">
      <c r="A35" s="951" t="s">
        <v>796</v>
      </c>
      <c r="B35" s="259" t="s">
        <v>60</v>
      </c>
      <c r="C35" s="264">
        <f>ROUND(C34*F35,0)</f>
        <v>1579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789</v>
      </c>
      <c r="D38" s="264"/>
      <c r="E38" s="264"/>
      <c r="F38" s="303">
        <f>'数据-取费表'!B36</f>
        <v>1.4999999999999999E-2</v>
      </c>
      <c r="G38" s="263" t="s">
        <v>117</v>
      </c>
    </row>
    <row r="39" spans="1:7" s="258" customFormat="1" ht="13.5" customHeight="1">
      <c r="A39" s="948" t="s">
        <v>783</v>
      </c>
      <c r="B39" s="254" t="s">
        <v>104</v>
      </c>
      <c r="C39" s="276">
        <f>ROUND(C33*F20,0)</f>
        <v>1720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4257</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4133</v>
      </c>
      <c r="D42" s="282"/>
      <c r="E42" s="282"/>
      <c r="F42" s="283"/>
      <c r="G42" s="3171" t="s">
        <v>121</v>
      </c>
    </row>
    <row r="43" spans="1:7" ht="13.5" customHeight="1">
      <c r="A43" s="951" t="s">
        <v>792</v>
      </c>
      <c r="B43" s="259" t="s">
        <v>1064</v>
      </c>
      <c r="C43" s="282">
        <f ca="1">ROUND(IF('数据-取费表'!B22&lt;=1,C39*F22*'数据-取费表'!B21/2,C39*(POWER((1+F22),'数据-取费表'!B21/2)-1)),0)</f>
        <v>124</v>
      </c>
      <c r="D43" s="282"/>
      <c r="E43" s="282"/>
      <c r="F43" s="283"/>
      <c r="G43" s="3172"/>
    </row>
    <row r="44" spans="1:7" ht="13.5" customHeight="1">
      <c r="A44" s="951" t="s">
        <v>793</v>
      </c>
      <c r="B44" s="259" t="s">
        <v>1066</v>
      </c>
      <c r="C44" s="282">
        <f ca="1">ROUND(IF('数据-取费表'!B22&lt;=1,C40*F22*'数据-取费表'!B21/2,C40*(POWER((1+F22),'数据-取费表'!B21/2)-1)),4)</f>
        <v>2.2000000000000001E-3</v>
      </c>
      <c r="D44" s="282"/>
      <c r="E44" s="282"/>
      <c r="F44" s="283"/>
      <c r="G44" s="3173"/>
    </row>
    <row r="45" spans="1:7" s="258" customFormat="1" ht="13.5" customHeight="1">
      <c r="A45" s="948" t="s">
        <v>786</v>
      </c>
      <c r="B45" s="288" t="s">
        <v>112</v>
      </c>
      <c r="C45" s="289">
        <f>C46</f>
        <v>11810</v>
      </c>
      <c r="D45" s="279">
        <f>C47</f>
        <v>6.0000000000000001E-3</v>
      </c>
      <c r="E45" s="280" t="s">
        <v>129</v>
      </c>
      <c r="F45" s="290"/>
      <c r="G45" s="291" t="s">
        <v>1072</v>
      </c>
    </row>
    <row r="46" spans="1:7" s="258" customFormat="1" ht="13.5" customHeight="1">
      <c r="A46" s="951" t="s">
        <v>794</v>
      </c>
      <c r="B46" s="292" t="s">
        <v>1065</v>
      </c>
      <c r="C46" s="293">
        <f>ROUND((C33+C39)*F27,0)</f>
        <v>11810</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6.0499999999999998E-2</v>
      </c>
      <c r="D48" s="280" t="s">
        <v>130</v>
      </c>
      <c r="E48" s="276"/>
      <c r="F48" s="281"/>
      <c r="G48" s="278" t="s">
        <v>123</v>
      </c>
    </row>
    <row r="49" spans="1:7" ht="16.5" customHeight="1">
      <c r="A49" s="948" t="s">
        <v>788</v>
      </c>
      <c r="B49" s="254" t="s">
        <v>131</v>
      </c>
      <c r="C49" s="276">
        <f ca="1">ROUND((C33+C39+C41+C45)/(1-C40-D41-D45-C48/(1+'数据-取费表'!B42)),0)</f>
        <v>83055</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68520</v>
      </c>
      <c r="D51" s="276"/>
      <c r="E51" s="276"/>
      <c r="F51" s="308"/>
      <c r="G51" s="278" t="s">
        <v>64</v>
      </c>
    </row>
    <row r="52" spans="1:7" s="252" customFormat="1" ht="16.5" thickBot="1">
      <c r="A52" s="309" t="s">
        <v>65</v>
      </c>
      <c r="B52" s="310"/>
      <c r="C52" s="311">
        <f ca="1">C31+C51</f>
        <v>103726</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871</v>
      </c>
      <c r="B1" s="332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1643</v>
      </c>
      <c r="B2" s="2997" t="s">
        <v>1644</v>
      </c>
      <c r="C2" s="2997" t="s">
        <v>1645</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8"/>
      <c r="B3" s="2998"/>
      <c r="C3" s="2998"/>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56907</v>
      </c>
      <c r="E4" s="1044">
        <f ca="1">结果表!E118</f>
        <v>4866</v>
      </c>
      <c r="F4" s="1044">
        <f ca="1">结果表!F118</f>
        <v>60913</v>
      </c>
      <c r="G4" s="1044">
        <f ca="1">结果表!G118</f>
        <v>5209</v>
      </c>
      <c r="H4" s="1044">
        <f ca="1">结果表!H118</f>
        <v>117820</v>
      </c>
      <c r="I4" s="1044">
        <f ca="1">结果表!I118</f>
        <v>10075</v>
      </c>
    </row>
    <row r="5" spans="1:9" ht="30" customHeight="1">
      <c r="A5" s="2998" t="s">
        <v>1642</v>
      </c>
      <c r="B5" s="2998"/>
      <c r="C5" s="2998"/>
      <c r="D5" s="2999" t="str">
        <f ca="1">结果表!D119</f>
        <v>伍亿陆仟玖佰零柒万元整</v>
      </c>
      <c r="E5" s="2999"/>
      <c r="F5" s="2999" t="str">
        <f ca="1">结果表!F119</f>
        <v>陆亿零玖佰壹拾叁万元整</v>
      </c>
      <c r="G5" s="2999"/>
      <c r="H5" s="2999" t="str">
        <f ca="1">结果表!H119</f>
        <v>壹拾壹亿柒仟捌佰贰拾万元整</v>
      </c>
      <c r="I5" s="2999"/>
    </row>
    <row r="6" spans="1:9" ht="15.75">
      <c r="A6" s="3000" t="str">
        <f>结果表!A120</f>
        <v>估价师知悉的法定优先受偿款</v>
      </c>
      <c r="B6" s="3000"/>
      <c r="C6" s="3000"/>
      <c r="D6" s="3000">
        <f>结果表!D120</f>
        <v>0</v>
      </c>
      <c r="E6" s="3000"/>
      <c r="F6" s="3000"/>
      <c r="G6" s="3000"/>
      <c r="H6" s="3000"/>
      <c r="I6" s="3000"/>
    </row>
    <row r="7" spans="1:9" ht="15">
      <c r="A7" s="2998" t="s">
        <v>1642</v>
      </c>
      <c r="B7" s="2998"/>
      <c r="C7" s="2998"/>
      <c r="D7" s="3001" t="str">
        <f>结果表!D121</f>
        <v>零元整</v>
      </c>
      <c r="E7" s="3002"/>
      <c r="F7" s="3002"/>
      <c r="G7" s="3002"/>
      <c r="H7" s="3002"/>
      <c r="I7" s="3003"/>
    </row>
    <row r="8" spans="1:9" ht="15.75">
      <c r="A8" s="3000" t="str">
        <f>结果表!A122</f>
        <v>房地产抵押价值</v>
      </c>
      <c r="B8" s="3000"/>
      <c r="C8" s="3000"/>
      <c r="D8" s="3000">
        <f ca="1">结果表!D122</f>
        <v>117820</v>
      </c>
      <c r="E8" s="3000"/>
      <c r="F8" s="3000"/>
      <c r="G8" s="3000"/>
      <c r="H8" s="3000"/>
      <c r="I8" s="3000"/>
    </row>
    <row r="9" spans="1:9" ht="15">
      <c r="A9" s="2998" t="s">
        <v>1642</v>
      </c>
      <c r="B9" s="2998"/>
      <c r="C9" s="2998"/>
      <c r="D9" s="2999" t="str">
        <f ca="1">结果表!D123</f>
        <v>壹拾壹亿柒仟捌佰贰拾万元整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1642</v>
      </c>
      <c r="B11" s="2998"/>
      <c r="C11" s="2998"/>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1642</v>
      </c>
      <c r="B13" s="3004"/>
      <c r="C13" s="3004"/>
      <c r="D13" s="3005" t="e">
        <f>结果表!D127</f>
        <v>#VALUE!</v>
      </c>
      <c r="E13" s="3005"/>
      <c r="F13" s="3005"/>
      <c r="G13" s="3005"/>
      <c r="H13" s="3005"/>
      <c r="I13" s="3005"/>
    </row>
    <row r="14" spans="1:9" ht="15" thickTop="1">
      <c r="A14" s="3006" t="s">
        <v>1647</v>
      </c>
      <c r="B14" s="3006"/>
      <c r="C14" s="3006"/>
      <c r="D14" s="3006"/>
      <c r="E14" s="3006"/>
      <c r="F14" s="3006"/>
      <c r="G14" s="3006"/>
      <c r="H14" s="3006"/>
      <c r="I14" s="3006"/>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7" t="s">
        <v>1664</v>
      </c>
      <c r="B1" s="3007"/>
      <c r="C1" s="3007"/>
      <c r="D1" s="3007"/>
    </row>
    <row r="2" spans="1:4" ht="18">
      <c r="A2" s="3008" t="s">
        <v>1648</v>
      </c>
      <c r="B2" s="3008"/>
      <c r="C2" s="3008"/>
      <c r="D2" s="3008"/>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8" t="s">
        <v>1654</v>
      </c>
      <c r="B6" s="3008"/>
      <c r="C6" s="3008"/>
      <c r="D6" s="3008"/>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9" t="s">
        <v>1657</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1"/>
      <c r="C12" s="3011"/>
      <c r="D12" s="3011"/>
    </row>
    <row r="13" spans="1:4" ht="30" customHeight="1">
      <c r="A13" s="3010" t="str">
        <f>IF(项目基本情况!B8="抵押","3.抵押双方在办理抵押登记手续时，应使用本公司出具的正式《房地产评估报告》，特提醒报告使用者注意。","——")</f>
        <v>——</v>
      </c>
      <c r="B13" s="3011"/>
      <c r="C13" s="3011"/>
      <c r="D13" s="3011"/>
    </row>
    <row r="14" spans="1:4" ht="15.75" customHeight="1">
      <c r="A14" s="3010" t="str">
        <f>IF(项目基本情况!B8="抵押","4.本次评估估价师所知悉的法定优先受偿款情况说明如下：","——")</f>
        <v>——</v>
      </c>
      <c r="B14" s="3011"/>
      <c r="C14" s="3011"/>
      <c r="D14" s="3011"/>
    </row>
    <row r="15" spans="1:4" ht="42" customHeight="1">
      <c r="A15" s="3010" t="str">
        <f>IF(项目基本情况!B8="抵押","（1）"&amp;CONCATENATE(项目基本情况!L20,项目基本情况!L21,项目基本情况!L22),"——")</f>
        <v>——</v>
      </c>
      <c r="B15" s="3010"/>
      <c r="C15" s="3010"/>
      <c r="D15" s="3010"/>
    </row>
    <row r="16" spans="1:4" ht="30" customHeight="1">
      <c r="A16" s="3013" t="s">
        <v>1658</v>
      </c>
      <c r="B16" s="3013"/>
      <c r="C16" s="3013"/>
      <c r="D16" s="3013"/>
    </row>
    <row r="17" spans="1:4" ht="144" customHeight="1">
      <c r="A17" s="3013" t="s">
        <v>1659</v>
      </c>
      <c r="B17" s="3013"/>
      <c r="C17" s="3013"/>
      <c r="D17" s="3013"/>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1660</v>
      </c>
      <c r="B22" s="3015"/>
      <c r="C22" s="3015"/>
      <c r="D22" s="3015"/>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1" t="s">
        <v>1671</v>
      </c>
      <c r="B15" s="3016" t="s">
        <v>136</v>
      </c>
      <c r="C15" s="3017"/>
    </row>
    <row r="16" spans="1:7" ht="13.5">
      <c r="A16" s="3022"/>
      <c r="B16" s="3016" t="s">
        <v>69</v>
      </c>
      <c r="C16" s="3017"/>
    </row>
    <row r="17" spans="1:3" ht="13.5">
      <c r="A17" s="3022"/>
      <c r="B17" s="3019" t="s">
        <v>1672</v>
      </c>
      <c r="C17" s="1999" t="s">
        <v>1671</v>
      </c>
    </row>
    <row r="18" spans="1:3" ht="13.5">
      <c r="A18" s="3022"/>
      <c r="B18" s="3019"/>
      <c r="C18" s="1999" t="s">
        <v>1673</v>
      </c>
    </row>
    <row r="19" spans="1:3" ht="13.5">
      <c r="A19" s="3022"/>
      <c r="B19" s="3019"/>
      <c r="C19" s="1999" t="s">
        <v>1674</v>
      </c>
    </row>
    <row r="20" spans="1:3" ht="13.5">
      <c r="A20" s="3023"/>
      <c r="B20" s="3018" t="s">
        <v>1675</v>
      </c>
      <c r="C20" s="3017"/>
    </row>
    <row r="21" spans="1:3" ht="13.5">
      <c r="A21" s="2000" t="s">
        <v>1676</v>
      </c>
      <c r="B21" s="2001"/>
      <c r="C21" s="2002"/>
    </row>
    <row r="22" spans="1:3" ht="13.5">
      <c r="A22" s="3020" t="s">
        <v>1677</v>
      </c>
      <c r="B22" s="3018" t="s">
        <v>1678</v>
      </c>
      <c r="C22" s="3017"/>
    </row>
    <row r="23" spans="1:3" ht="13.5">
      <c r="A23" s="3020"/>
      <c r="B23" s="3018" t="s">
        <v>1679</v>
      </c>
      <c r="C23" s="3017"/>
    </row>
    <row r="24" spans="1:3" ht="13.5">
      <c r="A24" s="3020"/>
      <c r="B24" s="3018" t="s">
        <v>1680</v>
      </c>
      <c r="C24" s="3017"/>
    </row>
    <row r="25" spans="1:3" ht="13.5">
      <c r="A25" s="3020"/>
      <c r="B25" s="3019" t="s">
        <v>1681</v>
      </c>
      <c r="C25" s="1999" t="s">
        <v>1682</v>
      </c>
    </row>
    <row r="26" spans="1:3" ht="13.5">
      <c r="A26" s="3020"/>
      <c r="B26" s="3019"/>
      <c r="C26" s="1999" t="s">
        <v>1683</v>
      </c>
    </row>
    <row r="27" spans="1:3" ht="13.5">
      <c r="A27" s="3020"/>
      <c r="B27" s="3019"/>
      <c r="C27" s="1999" t="s">
        <v>1684</v>
      </c>
    </row>
    <row r="28" spans="1:3" ht="13.5">
      <c r="A28" s="3020"/>
      <c r="B28" s="3019"/>
      <c r="C28" s="1999" t="s">
        <v>1685</v>
      </c>
    </row>
    <row r="29" spans="1:3" ht="13.5">
      <c r="A29" s="3020"/>
      <c r="B29" s="3019"/>
      <c r="C29" s="1999" t="s">
        <v>1686</v>
      </c>
    </row>
    <row r="30" spans="1:3" ht="13.5">
      <c r="A30" s="3020"/>
      <c r="B30" s="3019"/>
      <c r="C30" s="1999" t="s">
        <v>1687</v>
      </c>
    </row>
    <row r="31" spans="1:3" ht="13.5">
      <c r="A31" s="3020"/>
      <c r="B31" s="3019"/>
      <c r="C31" s="1999" t="s">
        <v>1688</v>
      </c>
    </row>
    <row r="32" spans="1:3" ht="13.5">
      <c r="A32" s="3020"/>
      <c r="B32" s="3019"/>
      <c r="C32" s="1999" t="s">
        <v>1689</v>
      </c>
    </row>
    <row r="33" spans="1:3" ht="13.5">
      <c r="A33" s="3020"/>
      <c r="B33" s="3019"/>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43077</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2017-12-08T02:35:52Z</dcterms:modified>
</cp:coreProperties>
</file>