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4" firstSheet="15"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案例" sheetId="77" r:id="rId23"/>
    <sheet name="收益法（汇总）" sheetId="70" r:id="rId24"/>
    <sheet name="收益法-主楼" sheetId="15" r:id="rId25"/>
    <sheet name="收益法 (元)" sheetId="67" state="hidden" r:id="rId26"/>
    <sheet name="收益法别墅" sheetId="79" state="hidden" r:id="rId27"/>
    <sheet name="收益法-别墅" sheetId="80" r:id="rId28"/>
    <sheet name="收益法三期" sheetId="78" r:id="rId29"/>
    <sheet name="酒店收入计算" sheetId="66"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6">收益法别墅!$A$1:$AK$69</definedName>
    <definedName name="_xlnm.Print_Area" localSheetId="27">'收益法-别墅'!$A$1:$AK$69</definedName>
    <definedName name="_xlnm.Print_Area" localSheetId="28">收益法三期!$A$1:$AK$69</definedName>
    <definedName name="_xlnm.Print_Area" localSheetId="24">'收益法-主楼'!$A$1:$AK$69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0" i="9" l="1"/>
  <c r="D12" i="9"/>
  <c r="C12" i="9"/>
  <c r="C10" i="9"/>
  <c r="D8" i="9"/>
  <c r="B21" i="1" l="1"/>
  <c r="H6" i="1"/>
  <c r="A81" i="77"/>
  <c r="A80" i="77"/>
  <c r="AL7" i="1"/>
  <c r="AL8" i="1" s="1"/>
  <c r="AM7" i="1"/>
  <c r="AM8" i="1" s="1"/>
  <c r="AK7" i="1"/>
  <c r="AK8" i="1" s="1"/>
  <c r="M28" i="66"/>
  <c r="M29" i="66" s="1"/>
  <c r="C27" i="66" s="1"/>
  <c r="I38" i="39"/>
  <c r="G38" i="39"/>
  <c r="E38" i="39"/>
  <c r="I46" i="39"/>
  <c r="G46" i="39"/>
  <c r="E46" i="39"/>
  <c r="I7" i="39"/>
  <c r="G7" i="39"/>
  <c r="E7" i="39"/>
  <c r="I5" i="39"/>
  <c r="G5" i="39"/>
  <c r="E5" i="39"/>
  <c r="AD20" i="1"/>
  <c r="AD8" i="1" s="1"/>
  <c r="Q72" i="80"/>
  <c r="Q59" i="80"/>
  <c r="K59" i="80"/>
  <c r="P74" i="80" s="1"/>
  <c r="Q58" i="80"/>
  <c r="Q51" i="80"/>
  <c r="J50" i="80"/>
  <c r="M47" i="80"/>
  <c r="D46" i="80"/>
  <c r="F33" i="80"/>
  <c r="F61" i="80" s="1"/>
  <c r="F23" i="80"/>
  <c r="D23" i="80" s="1"/>
  <c r="F21" i="80"/>
  <c r="F20" i="80"/>
  <c r="M19" i="80"/>
  <c r="F18" i="80"/>
  <c r="F17" i="80"/>
  <c r="F15" i="80"/>
  <c r="Q72" i="79"/>
  <c r="Q59" i="79"/>
  <c r="K59" i="79"/>
  <c r="P74" i="79" s="1"/>
  <c r="Q58" i="79"/>
  <c r="Q51" i="79"/>
  <c r="J50" i="79"/>
  <c r="J49" i="79"/>
  <c r="M47" i="79"/>
  <c r="D46" i="79"/>
  <c r="F33" i="79"/>
  <c r="F61" i="79" s="1"/>
  <c r="F23" i="79"/>
  <c r="D23" i="79" s="1"/>
  <c r="F21" i="79"/>
  <c r="F20" i="79"/>
  <c r="M19" i="79"/>
  <c r="F18" i="79"/>
  <c r="F17" i="79"/>
  <c r="F15" i="79"/>
  <c r="AA8" i="1"/>
  <c r="V8" i="1"/>
  <c r="L7" i="1"/>
  <c r="D22" i="80"/>
  <c r="P61" i="80"/>
  <c r="P61" i="79"/>
  <c r="O18" i="1"/>
  <c r="O20" i="1" s="1"/>
  <c r="N6" i="1" s="1"/>
  <c r="J49" i="78"/>
  <c r="V7" i="1"/>
  <c r="G27" i="77"/>
  <c r="G18" i="77"/>
  <c r="G14" i="77"/>
  <c r="G9" i="77"/>
  <c r="Q7" i="1"/>
  <c r="Q8" i="1" s="1"/>
  <c r="Q72" i="78"/>
  <c r="Q59" i="78"/>
  <c r="K59" i="78"/>
  <c r="P61" i="78" s="1"/>
  <c r="Q58" i="78"/>
  <c r="Q51" i="78"/>
  <c r="J50" i="78"/>
  <c r="M47" i="78"/>
  <c r="D46" i="78"/>
  <c r="F33" i="78"/>
  <c r="F61" i="78" s="1"/>
  <c r="F23" i="78"/>
  <c r="D24" i="78" s="1"/>
  <c r="F21" i="78"/>
  <c r="F20" i="78"/>
  <c r="M19" i="78"/>
  <c r="F18" i="78"/>
  <c r="F17" i="78"/>
  <c r="F15" i="78"/>
  <c r="D23" i="78"/>
  <c r="P74" i="78"/>
  <c r="I7" i="1"/>
  <c r="H7" i="1" s="1"/>
  <c r="J7" i="1"/>
  <c r="J8" i="1" s="1"/>
  <c r="I17" i="3"/>
  <c r="I18" i="3"/>
  <c r="C18" i="3"/>
  <c r="C17" i="3"/>
  <c r="C16" i="3"/>
  <c r="C15" i="3"/>
  <c r="C14" i="3"/>
  <c r="C13" i="3"/>
  <c r="H27" i="77"/>
  <c r="H18" i="77"/>
  <c r="I15" i="3" s="1"/>
  <c r="H14" i="77"/>
  <c r="I14" i="3" s="1"/>
  <c r="H9" i="77"/>
  <c r="I13" i="3"/>
  <c r="F19" i="6" s="1"/>
  <c r="F21" i="6"/>
  <c r="B27" i="9" s="1"/>
  <c r="D27" i="9" s="1"/>
  <c r="I5" i="71"/>
  <c r="I4" i="71" s="1"/>
  <c r="L5" i="71"/>
  <c r="L4" i="71" s="1"/>
  <c r="K5" i="71"/>
  <c r="J5" i="71"/>
  <c r="O5" i="71" s="1"/>
  <c r="P5" i="71"/>
  <c r="K4" i="71"/>
  <c r="P4" i="71" s="1"/>
  <c r="AA3" i="71" s="1"/>
  <c r="Q5"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6" i="71"/>
  <c r="P6" i="71"/>
  <c r="O6" i="71"/>
  <c r="N6"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G3" i="71"/>
  <c r="AD5" i="71"/>
  <c r="AE5" i="71"/>
  <c r="AF5" i="71" s="1"/>
  <c r="AG5" i="71"/>
  <c r="AH5" i="71"/>
  <c r="AD6" i="71"/>
  <c r="AE6" i="71"/>
  <c r="AF6" i="71" s="1"/>
  <c r="AG6" i="71"/>
  <c r="AH6" i="71"/>
  <c r="AD7" i="71"/>
  <c r="AE7" i="71"/>
  <c r="AF7" i="71" s="1"/>
  <c r="AG7" i="71"/>
  <c r="AH7"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K49" i="9"/>
  <c r="E107" i="9"/>
  <c r="A122" i="9" s="1"/>
  <c r="A8" i="52" s="1"/>
  <c r="E111" i="9"/>
  <c r="A126" i="9" s="1"/>
  <c r="E109" i="9"/>
  <c r="A124" i="9" s="1"/>
  <c r="B44" i="72"/>
  <c r="B42" i="72"/>
  <c r="B69" i="72"/>
  <c r="B68" i="72"/>
  <c r="B63" i="72"/>
  <c r="B62" i="72"/>
  <c r="B16" i="72"/>
  <c r="B65" i="72"/>
  <c r="B60" i="72"/>
  <c r="B59" i="72"/>
  <c r="B58" i="72"/>
  <c r="B67" i="72"/>
  <c r="B66" i="72"/>
  <c r="B12" i="72"/>
  <c r="B10" i="72"/>
  <c r="C53" i="10"/>
  <c r="B51" i="10"/>
  <c r="B19" i="72"/>
  <c r="A18" i="51"/>
  <c r="B13" i="72" s="1"/>
  <c r="B49" i="48"/>
  <c r="B5" i="72" s="1"/>
  <c r="I19" i="43"/>
  <c r="D69" i="71"/>
  <c r="F68" i="71"/>
  <c r="F67" i="71" s="1"/>
  <c r="F66" i="71" s="1"/>
  <c r="E68" i="71"/>
  <c r="E67" i="71"/>
  <c r="E66" i="71" s="1"/>
  <c r="C68" i="71"/>
  <c r="D68" i="71" s="1"/>
  <c r="B68" i="71"/>
  <c r="B67" i="71" s="1"/>
  <c r="B66" i="71" s="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F47" i="71"/>
  <c r="F46" i="71" s="1"/>
  <c r="Q46"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B23" i="71" s="1"/>
  <c r="B24" i="71" s="1"/>
  <c r="S24" i="71" s="1"/>
  <c r="D21" i="71"/>
  <c r="Q20" i="71"/>
  <c r="P20" i="71"/>
  <c r="O20" i="71"/>
  <c r="N20" i="71"/>
  <c r="Q19" i="71"/>
  <c r="AB19" i="71" s="1"/>
  <c r="P19" i="71"/>
  <c r="AA19" i="71" s="1"/>
  <c r="O19" i="71"/>
  <c r="Y19" i="71" s="1"/>
  <c r="Z19" i="71" s="1"/>
  <c r="N19" i="71"/>
  <c r="X19" i="71" s="1"/>
  <c r="Q18" i="71"/>
  <c r="AB18" i="71" s="1"/>
  <c r="P18" i="71"/>
  <c r="AA18" i="71" s="1"/>
  <c r="O18" i="71"/>
  <c r="Y18" i="71" s="1"/>
  <c r="Z18" i="71" s="1"/>
  <c r="N18" i="71"/>
  <c r="Q17" i="71"/>
  <c r="F18" i="71" s="1"/>
  <c r="P17" i="71"/>
  <c r="O17" i="71"/>
  <c r="N17" i="71"/>
  <c r="B18" i="71" s="1"/>
  <c r="B19" i="71" s="1"/>
  <c r="D17" i="71"/>
  <c r="Q16" i="71"/>
  <c r="P16" i="71"/>
  <c r="O16" i="71"/>
  <c r="Y16" i="71" s="1"/>
  <c r="Z16" i="71" s="1"/>
  <c r="N16" i="71"/>
  <c r="Q15" i="71"/>
  <c r="P15" i="71"/>
  <c r="O15" i="71"/>
  <c r="N15" i="71"/>
  <c r="X13" i="71" s="1"/>
  <c r="Q14" i="71"/>
  <c r="P14" i="71"/>
  <c r="AA14" i="71" s="1"/>
  <c r="O14" i="71"/>
  <c r="Y14" i="71"/>
  <c r="Z14" i="71" s="1"/>
  <c r="N14" i="71"/>
  <c r="Q13" i="71"/>
  <c r="F14" i="71" s="1"/>
  <c r="F15" i="71" s="1"/>
  <c r="F16" i="71" s="1"/>
  <c r="V16" i="71" s="1"/>
  <c r="P13" i="71"/>
  <c r="O13" i="71"/>
  <c r="N13" i="71"/>
  <c r="D13" i="71"/>
  <c r="Q12" i="71"/>
  <c r="P12" i="71"/>
  <c r="AA10" i="71" s="1"/>
  <c r="O12" i="71"/>
  <c r="Y12" i="71"/>
  <c r="Z12" i="71" s="1"/>
  <c r="N12" i="71"/>
  <c r="Q11" i="71"/>
  <c r="AB11" i="71" s="1"/>
  <c r="P11" i="71"/>
  <c r="O11" i="71"/>
  <c r="N11" i="71"/>
  <c r="Q10" i="71"/>
  <c r="P10" i="71"/>
  <c r="O10" i="71"/>
  <c r="Y10" i="71" s="1"/>
  <c r="Z10" i="71" s="1"/>
  <c r="N10" i="71"/>
  <c r="Q9" i="71"/>
  <c r="F10" i="71" s="1"/>
  <c r="P9" i="71"/>
  <c r="E10" i="71" s="1"/>
  <c r="O9" i="71"/>
  <c r="N9" i="71"/>
  <c r="X9" i="71" s="1"/>
  <c r="D9" i="71"/>
  <c r="O8" i="71"/>
  <c r="C8" i="71" s="1"/>
  <c r="N8" i="71"/>
  <c r="B10" i="71"/>
  <c r="B11" i="71" s="1"/>
  <c r="B14" i="71"/>
  <c r="B15" i="71" s="1"/>
  <c r="B16" i="71" s="1"/>
  <c r="S16" i="71" s="1"/>
  <c r="E18" i="71"/>
  <c r="E19" i="71" s="1"/>
  <c r="E20" i="71" s="1"/>
  <c r="U20" i="71" s="1"/>
  <c r="AA17" i="71"/>
  <c r="N48" i="71"/>
  <c r="E14" i="71"/>
  <c r="E15" i="71" s="1"/>
  <c r="E16" i="71" s="1"/>
  <c r="U16" i="71" s="1"/>
  <c r="AA13" i="71"/>
  <c r="C10" i="71"/>
  <c r="AB9" i="71"/>
  <c r="AA11" i="71"/>
  <c r="C14" i="71"/>
  <c r="C15" i="71" s="1"/>
  <c r="X14" i="71"/>
  <c r="X15" i="71"/>
  <c r="X16" i="71"/>
  <c r="C18" i="71"/>
  <c r="C19" i="71" s="1"/>
  <c r="Y17" i="71"/>
  <c r="Z17" i="71" s="1"/>
  <c r="X18" i="71"/>
  <c r="F31" i="71"/>
  <c r="F32" i="71" s="1"/>
  <c r="V32" i="71" s="1"/>
  <c r="Y5" i="71"/>
  <c r="Z5" i="71" s="1"/>
  <c r="Y6" i="71"/>
  <c r="Z6" i="71" s="1"/>
  <c r="Y7" i="71"/>
  <c r="Z7" i="71" s="1"/>
  <c r="Y8" i="71"/>
  <c r="Z8" i="71" s="1"/>
  <c r="B8" i="71"/>
  <c r="B7" i="71" s="1"/>
  <c r="B6" i="71" s="1"/>
  <c r="X6" i="71"/>
  <c r="C11" i="71"/>
  <c r="C12" i="71" s="1"/>
  <c r="D10" i="71"/>
  <c r="D14" i="71"/>
  <c r="P8" i="71"/>
  <c r="E8" i="71" s="1"/>
  <c r="E43" i="71"/>
  <c r="E44" i="71" s="1"/>
  <c r="U44" i="71" s="1"/>
  <c r="Q45" i="71"/>
  <c r="U48" i="71"/>
  <c r="E47" i="71"/>
  <c r="P47" i="71" s="1"/>
  <c r="Q8" i="71"/>
  <c r="F8" i="71" s="1"/>
  <c r="F7" i="71" s="1"/>
  <c r="F6" i="71" s="1"/>
  <c r="F5" i="71" s="1"/>
  <c r="C35" i="71"/>
  <c r="C36" i="71" s="1"/>
  <c r="D34" i="71"/>
  <c r="C43" i="71"/>
  <c r="D43" i="71" s="1"/>
  <c r="D42" i="71"/>
  <c r="Q47" i="71"/>
  <c r="T48" i="71"/>
  <c r="O48" i="71"/>
  <c r="D48" i="71"/>
  <c r="C47" i="71"/>
  <c r="C46" i="71" s="1"/>
  <c r="Q48" i="71"/>
  <c r="C51" i="71"/>
  <c r="C50" i="71" s="1"/>
  <c r="D50" i="71" s="1"/>
  <c r="E51" i="71"/>
  <c r="E50" i="71" s="1"/>
  <c r="D52" i="71"/>
  <c r="C55" i="71"/>
  <c r="D55" i="71" s="1"/>
  <c r="E55" i="71"/>
  <c r="E54" i="71" s="1"/>
  <c r="D56" i="71"/>
  <c r="C59" i="71"/>
  <c r="D59" i="71" s="1"/>
  <c r="E59" i="71"/>
  <c r="E58" i="71" s="1"/>
  <c r="D60" i="71"/>
  <c r="C63" i="71"/>
  <c r="C62" i="71" s="1"/>
  <c r="D62" i="71" s="1"/>
  <c r="C67" i="71"/>
  <c r="D67" i="71" s="1"/>
  <c r="S8" i="71"/>
  <c r="AB6" i="71"/>
  <c r="AA8" i="71"/>
  <c r="O47" i="71"/>
  <c r="C44" i="71"/>
  <c r="T44" i="71" s="1"/>
  <c r="D63" i="71"/>
  <c r="C66" i="71"/>
  <c r="D66" i="71" s="1"/>
  <c r="C58" i="71"/>
  <c r="D58" i="71" s="1"/>
  <c r="D51" i="71"/>
  <c r="E46" i="71"/>
  <c r="P46" i="71" s="1"/>
  <c r="D11" i="71"/>
  <c r="P45"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C25" i="40"/>
  <c r="S25" i="40"/>
  <c r="S29" i="39"/>
  <c r="U18" i="36"/>
  <c r="S21" i="34"/>
  <c r="H25" i="40"/>
  <c r="AB25" i="40" s="1"/>
  <c r="J25" i="40"/>
  <c r="H29" i="39"/>
  <c r="J29" i="39"/>
  <c r="AC29" i="39" s="1"/>
  <c r="J18" i="36"/>
  <c r="AC18" i="36" s="1"/>
  <c r="H18" i="35"/>
  <c r="AB18" i="35" s="1"/>
  <c r="S18" i="35"/>
  <c r="G68" i="35"/>
  <c r="J18" i="35"/>
  <c r="W18" i="35" s="1"/>
  <c r="H21" i="37"/>
  <c r="F21" i="37"/>
  <c r="AA21" i="37" s="1"/>
  <c r="H21" i="34"/>
  <c r="AB21" i="34" s="1"/>
  <c r="H21" i="33"/>
  <c r="U21" i="33" s="1"/>
  <c r="F21" i="33"/>
  <c r="S21" i="33" s="1"/>
  <c r="E83" i="21"/>
  <c r="F83" i="21" s="1"/>
  <c r="H1" i="69"/>
  <c r="AC25" i="40"/>
  <c r="W25" i="40"/>
  <c r="U25" i="40"/>
  <c r="AB29" i="39"/>
  <c r="U29" i="39"/>
  <c r="W29" i="39"/>
  <c r="W18" i="36"/>
  <c r="AB21" i="37"/>
  <c r="U21" i="37"/>
  <c r="S21" i="37"/>
  <c r="AA21" i="33"/>
  <c r="U18" i="35"/>
  <c r="AC18" i="35"/>
  <c r="J21" i="37"/>
  <c r="W21" i="37" s="1"/>
  <c r="J21" i="34"/>
  <c r="W21" i="34" s="1"/>
  <c r="G83" i="33"/>
  <c r="J21" i="33"/>
  <c r="W21" i="33" s="1"/>
  <c r="H21" i="21"/>
  <c r="U21" i="21" s="1"/>
  <c r="F38" i="69"/>
  <c r="E37" i="69"/>
  <c r="F36" i="69"/>
  <c r="F35" i="69"/>
  <c r="F21" i="69"/>
  <c r="C21" i="69"/>
  <c r="F20" i="69"/>
  <c r="E10" i="69"/>
  <c r="E9" i="69"/>
  <c r="F7" i="69"/>
  <c r="C7" i="69" s="1"/>
  <c r="AC21" i="33"/>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2" i="66"/>
  <c r="I23" i="66"/>
  <c r="D20" i="66"/>
  <c r="I19" i="66"/>
  <c r="I18" i="66"/>
  <c r="I17" i="66"/>
  <c r="E15" i="66"/>
  <c r="I14" i="66"/>
  <c r="I13" i="66"/>
  <c r="I12" i="66"/>
  <c r="I15" i="66" s="1"/>
  <c r="I9" i="66"/>
  <c r="I8" i="66"/>
  <c r="I7" i="66"/>
  <c r="I6" i="66"/>
  <c r="I5" i="66"/>
  <c r="I4" i="66"/>
  <c r="I3" i="66"/>
  <c r="D1" i="43"/>
  <c r="F113" i="43"/>
  <c r="N99" i="43"/>
  <c r="N108" i="43" s="1"/>
  <c r="D99" i="43"/>
  <c r="D108" i="43" s="1"/>
  <c r="E99" i="43"/>
  <c r="F99" i="43"/>
  <c r="F108" i="43" s="1"/>
  <c r="G99" i="43"/>
  <c r="H99" i="43"/>
  <c r="H108" i="43" s="1"/>
  <c r="I99" i="43"/>
  <c r="J99" i="43"/>
  <c r="J108" i="43" s="1"/>
  <c r="K99" i="43"/>
  <c r="K108" i="43" s="1"/>
  <c r="L99" i="43"/>
  <c r="L108" i="43" s="1"/>
  <c r="M99" i="43"/>
  <c r="C99" i="43"/>
  <c r="C108"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9" s="1"/>
  <c r="J51" i="78"/>
  <c r="F15" i="4"/>
  <c r="F9" i="1"/>
  <c r="F10" i="1"/>
  <c r="F11" i="1"/>
  <c r="F12" i="1"/>
  <c r="F13" i="1"/>
  <c r="D6" i="1"/>
  <c r="D9" i="1"/>
  <c r="D10" i="1"/>
  <c r="D11" i="1"/>
  <c r="D12" i="1"/>
  <c r="D13" i="1"/>
  <c r="D7" i="1"/>
  <c r="D8" i="1"/>
  <c r="A7" i="1"/>
  <c r="A8" i="1"/>
  <c r="B8" i="1" s="1"/>
  <c r="E8" i="1" s="1"/>
  <c r="A9" i="1"/>
  <c r="A10" i="1"/>
  <c r="K10" i="1" s="1"/>
  <c r="M10" i="1" s="1"/>
  <c r="O10" i="1"/>
  <c r="A11" i="1"/>
  <c r="B11" i="1" s="1"/>
  <c r="E11" i="1" s="1"/>
  <c r="A12" i="1"/>
  <c r="A13" i="1"/>
  <c r="B13" i="1" s="1"/>
  <c r="E13" i="1" s="1"/>
  <c r="A6" i="1"/>
  <c r="F3" i="35"/>
  <c r="B7" i="1"/>
  <c r="E7"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F8" i="1" s="1"/>
  <c r="D15" i="4"/>
  <c r="L21" i="4"/>
  <c r="F19" i="4"/>
  <c r="F2" i="52"/>
  <c r="B50" i="72" s="1"/>
  <c r="D2" i="52"/>
  <c r="B46" i="72" s="1"/>
  <c r="B8" i="53"/>
  <c r="B23" i="72" s="1"/>
  <c r="L4" i="9"/>
  <c r="B17" i="72"/>
  <c r="B15" i="72"/>
  <c r="A3" i="51"/>
  <c r="C8" i="11"/>
  <c r="B2" i="49"/>
  <c r="B16" i="49" s="1"/>
  <c r="C4" i="4"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AC16" i="3"/>
  <c r="H17" i="3"/>
  <c r="AC17" i="3"/>
  <c r="AT5" i="3"/>
  <c r="AD5" i="3"/>
  <c r="AH5" i="3"/>
  <c r="AL5" i="3"/>
  <c r="AP5" i="3"/>
  <c r="F35" i="11"/>
  <c r="F36" i="11"/>
  <c r="F38" i="11"/>
  <c r="E37" i="11"/>
  <c r="F20" i="11"/>
  <c r="F21" i="11"/>
  <c r="C21" i="11"/>
  <c r="F7" i="11"/>
  <c r="C7" i="11"/>
  <c r="C5" i="11" s="1"/>
  <c r="F12" i="12"/>
  <c r="F13" i="12"/>
  <c r="F15" i="12"/>
  <c r="E14" i="12"/>
  <c r="BC11" i="3"/>
  <c r="BD11" i="3"/>
  <c r="BB11" i="3"/>
  <c r="E19" i="12"/>
  <c r="E20" i="12"/>
  <c r="F22" i="12"/>
  <c r="F23" i="12"/>
  <c r="F24" i="12"/>
  <c r="C17" i="9"/>
  <c r="D17" i="9"/>
  <c r="I55" i="9"/>
  <c r="F55" i="9" s="1"/>
  <c r="O53" i="9" s="1"/>
  <c r="D89" i="9"/>
  <c r="C89" i="9" s="1"/>
  <c r="C87" i="9" s="1"/>
  <c r="G12" i="1"/>
  <c r="J55" i="9"/>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30" i="9"/>
  <c r="B30" i="9"/>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G495" i="3" s="1"/>
  <c r="BB495" i="3"/>
  <c r="BC495" i="3"/>
  <c r="BA495" i="3" s="1"/>
  <c r="BD495" i="3"/>
  <c r="BE495" i="3"/>
  <c r="BF495" i="3"/>
  <c r="BG495" i="3"/>
  <c r="BH495" i="3"/>
  <c r="BI495" i="3"/>
  <c r="BJ495" i="3"/>
  <c r="BK495" i="3"/>
  <c r="BM495" i="3"/>
  <c r="BN495" i="3"/>
  <c r="BO495" i="3"/>
  <c r="BP495" i="3"/>
  <c r="BR495" i="3"/>
  <c r="BS495" i="3"/>
  <c r="BT495" i="3"/>
  <c r="H496" i="3"/>
  <c r="G496" i="3" s="1"/>
  <c r="AC496" i="3"/>
  <c r="BB496" i="3"/>
  <c r="BA496" i="3" s="1"/>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A503" i="3" s="1"/>
  <c r="BD503" i="3"/>
  <c r="BE503" i="3"/>
  <c r="BF503" i="3"/>
  <c r="BG503" i="3"/>
  <c r="BH503" i="3"/>
  <c r="BI503" i="3"/>
  <c r="BJ503" i="3"/>
  <c r="BK503" i="3"/>
  <c r="BM503" i="3"/>
  <c r="BN503" i="3"/>
  <c r="BL503" i="3" s="1"/>
  <c r="AZ503" i="3" s="1"/>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A508" i="3" s="1"/>
  <c r="BC508" i="3"/>
  <c r="BD508" i="3"/>
  <c r="BE508" i="3"/>
  <c r="BF508" i="3"/>
  <c r="BG508" i="3"/>
  <c r="BH508" i="3"/>
  <c r="BI508" i="3"/>
  <c r="BJ508" i="3"/>
  <c r="BK508" i="3"/>
  <c r="BM508" i="3"/>
  <c r="BN508" i="3"/>
  <c r="BO508" i="3"/>
  <c r="BP508" i="3"/>
  <c r="BQ508" i="3"/>
  <c r="BR508" i="3"/>
  <c r="BS508" i="3"/>
  <c r="BT508" i="3"/>
  <c r="H509" i="3"/>
  <c r="G509" i="3" s="1"/>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L517" i="3" s="1"/>
  <c r="AZ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L521" i="3" s="1"/>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G524" i="3" s="1"/>
  <c r="AC524" i="3"/>
  <c r="BB524" i="3"/>
  <c r="BA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D5"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A550" i="3" s="1"/>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BT5" i="3" s="1"/>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A578" i="3" s="1"/>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10" i="39"/>
  <c r="H35" i="39" s="1"/>
  <c r="AB35" i="39" s="1"/>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J38" i="34"/>
  <c r="D114" i="34"/>
  <c r="F38"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AA41" i="21" s="1"/>
  <c r="J41" i="21"/>
  <c r="AC41" i="21" s="1"/>
  <c r="H41" i="21"/>
  <c r="D81" i="39"/>
  <c r="E81"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D124" i="39"/>
  <c r="D120" i="39"/>
  <c r="E120" i="39"/>
  <c r="F120" i="39" s="1"/>
  <c r="G120" i="39" s="1"/>
  <c r="H120" i="39" s="1"/>
  <c r="I120" i="39" s="1"/>
  <c r="J120" i="39" s="1"/>
  <c r="K120" i="39" s="1"/>
  <c r="L120" i="39" s="1"/>
  <c r="M120" i="39" s="1"/>
  <c r="B114" i="39"/>
  <c r="J37" i="39" s="1"/>
  <c r="D109" i="39"/>
  <c r="E109" i="39" s="1"/>
  <c r="F34" i="39"/>
  <c r="AA34" i="39" s="1"/>
  <c r="D107" i="39"/>
  <c r="E107" i="39" s="1"/>
  <c r="D105" i="39"/>
  <c r="E105" i="39" s="1"/>
  <c r="F105" i="39"/>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s="1"/>
  <c r="AC23" i="39" s="1"/>
  <c r="D95" i="39"/>
  <c r="E95" i="39" s="1"/>
  <c r="H21" i="39" s="1"/>
  <c r="D93" i="39"/>
  <c r="E93" i="39" s="1"/>
  <c r="F93" i="39" s="1"/>
  <c r="G93" i="39" s="1"/>
  <c r="D91" i="39"/>
  <c r="E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B71" i="36"/>
  <c r="H23" i="36" s="1"/>
  <c r="AB23" i="36" s="1"/>
  <c r="D70" i="36"/>
  <c r="H22" i="36"/>
  <c r="AB22" i="36"/>
  <c r="D68" i="36"/>
  <c r="E68" i="36"/>
  <c r="F68" i="36" s="1"/>
  <c r="G68" i="36" s="1"/>
  <c r="D64" i="36"/>
  <c r="E64" i="36"/>
  <c r="F64" i="36" s="1"/>
  <c r="G64" i="36" s="1"/>
  <c r="J16" i="36"/>
  <c r="W16" i="36" s="1"/>
  <c r="D62" i="36"/>
  <c r="E62" i="36" s="1"/>
  <c r="F62" i="36" s="1"/>
  <c r="G62" i="36" s="1"/>
  <c r="B59" i="36"/>
  <c r="B57" i="36"/>
  <c r="F12" i="36" s="1"/>
  <c r="S12" i="36" s="1"/>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B94" i="2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S41" i="21"/>
  <c r="F45" i="39"/>
  <c r="S45" i="39" s="1"/>
  <c r="J45" i="39"/>
  <c r="W45" i="39" s="1"/>
  <c r="J44" i="39"/>
  <c r="AC44" i="39" s="1"/>
  <c r="J35" i="39"/>
  <c r="AC35" i="39" s="1"/>
  <c r="F35" i="39"/>
  <c r="U30" i="37"/>
  <c r="W31" i="37"/>
  <c r="F29" i="36"/>
  <c r="AA29" i="36" s="1"/>
  <c r="W8" i="36"/>
  <c r="F16" i="36"/>
  <c r="AA16" i="36" s="1"/>
  <c r="U9" i="36"/>
  <c r="W28" i="36"/>
  <c r="S30" i="36"/>
  <c r="AA31" i="36"/>
  <c r="AC31" i="36"/>
  <c r="W31" i="36"/>
  <c r="J33" i="36"/>
  <c r="W33" i="36" s="1"/>
  <c r="H22" i="35"/>
  <c r="AB22" i="35" s="1"/>
  <c r="U31" i="35"/>
  <c r="W22" i="35"/>
  <c r="F36" i="34"/>
  <c r="J35" i="34"/>
  <c r="S34" i="34"/>
  <c r="H39" i="33"/>
  <c r="AB39" i="33" s="1"/>
  <c r="F26" i="33"/>
  <c r="AA26" i="33" s="1"/>
  <c r="U35" i="33"/>
  <c r="S27" i="35"/>
  <c r="F11" i="40"/>
  <c r="AA11" i="40"/>
  <c r="H11" i="40"/>
  <c r="AB11" i="40"/>
  <c r="W8" i="40"/>
  <c r="AC9" i="40"/>
  <c r="U9" i="40"/>
  <c r="S34" i="40"/>
  <c r="W31" i="40"/>
  <c r="U34" i="40"/>
  <c r="F42" i="39"/>
  <c r="AA42" i="39"/>
  <c r="H40" i="39"/>
  <c r="AB40" i="39"/>
  <c r="H39" i="39"/>
  <c r="U39" i="39"/>
  <c r="S34" i="39"/>
  <c r="H34" i="39"/>
  <c r="U34" i="39" s="1"/>
  <c r="H31" i="39"/>
  <c r="AB31" i="39" s="1"/>
  <c r="F31" i="39"/>
  <c r="AA31" i="39" s="1"/>
  <c r="E101" i="39"/>
  <c r="F101" i="39" s="1"/>
  <c r="G101" i="39" s="1"/>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27" i="39"/>
  <c r="AC27" i="39"/>
  <c r="F27" i="39"/>
  <c r="F11" i="21"/>
  <c r="S11" i="21" s="1"/>
  <c r="S40" i="21"/>
  <c r="U34" i="21"/>
  <c r="C27" i="39"/>
  <c r="G27" i="39" s="1"/>
  <c r="H32" i="33"/>
  <c r="AB32" i="33" s="1"/>
  <c r="H11" i="21"/>
  <c r="J11" i="21"/>
  <c r="W11" i="21" s="1"/>
  <c r="H37" i="40"/>
  <c r="U37" i="40" s="1"/>
  <c r="H36" i="40"/>
  <c r="AB36" i="40" s="1"/>
  <c r="F35" i="40"/>
  <c r="AA35" i="40" s="1"/>
  <c r="H23" i="40"/>
  <c r="AB23" i="40" s="1"/>
  <c r="H17" i="40"/>
  <c r="U17" i="40" s="1"/>
  <c r="J15" i="40"/>
  <c r="W15" i="40" s="1"/>
  <c r="J11" i="40"/>
  <c r="F37" i="39"/>
  <c r="AA37" i="39" s="1"/>
  <c r="J34" i="36"/>
  <c r="W34" i="36" s="1"/>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34" i="36"/>
  <c r="S34" i="36" s="1"/>
  <c r="S10"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S10" i="37"/>
  <c r="AB34" i="37"/>
  <c r="J33" i="37"/>
  <c r="U42" i="34"/>
  <c r="H40" i="34"/>
  <c r="U40" i="34" s="1"/>
  <c r="E114" i="34"/>
  <c r="F114" i="34" s="1"/>
  <c r="G114" i="34" s="1"/>
  <c r="H114" i="34" s="1"/>
  <c r="I114" i="34" s="1"/>
  <c r="J114" i="34" s="1"/>
  <c r="K114" i="34" s="1"/>
  <c r="L114" i="34" s="1"/>
  <c r="M114" i="34" s="1"/>
  <c r="H36" i="34"/>
  <c r="U36" i="34" s="1"/>
  <c r="F37" i="34"/>
  <c r="AA37" i="34" s="1"/>
  <c r="S35" i="34"/>
  <c r="F27" i="34"/>
  <c r="AA27" i="34" s="1"/>
  <c r="F25" i="34"/>
  <c r="S25" i="34" s="1"/>
  <c r="H23" i="34"/>
  <c r="U23" i="34" s="1"/>
  <c r="J23" i="34"/>
  <c r="F19" i="34"/>
  <c r="H17" i="34"/>
  <c r="U17" i="34" s="1"/>
  <c r="F15" i="34"/>
  <c r="J15" i="34"/>
  <c r="H15" i="34"/>
  <c r="AB15" i="34" s="1"/>
  <c r="F41" i="33"/>
  <c r="AA41" i="33" s="1"/>
  <c r="F32" i="33"/>
  <c r="AA32"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A12" i="36"/>
  <c r="AC34" i="36"/>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42" i="34"/>
  <c r="S42" i="34"/>
  <c r="J37" i="34"/>
  <c r="AC37" i="34" s="1"/>
  <c r="J11" i="33"/>
  <c r="W11" i="33" s="1"/>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H28" i="33"/>
  <c r="U28" i="33" s="1"/>
  <c r="F28" i="33"/>
  <c r="J28" i="33"/>
  <c r="W28" i="33" s="1"/>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J31" i="21"/>
  <c r="AC31" i="21" s="1"/>
  <c r="F45" i="21"/>
  <c r="F27" i="33"/>
  <c r="AA27" i="33" s="1"/>
  <c r="J13" i="33"/>
  <c r="W13" i="33" s="1"/>
  <c r="H13" i="33"/>
  <c r="AB13" i="33" s="1"/>
  <c r="F13" i="33"/>
  <c r="J29" i="33"/>
  <c r="AC29" i="33" s="1"/>
  <c r="H29" i="33"/>
  <c r="F29" i="33"/>
  <c r="S29" i="33" s="1"/>
  <c r="J31" i="33"/>
  <c r="H31" i="33"/>
  <c r="U31" i="33" s="1"/>
  <c r="F31" i="33"/>
  <c r="S31" i="33" s="1"/>
  <c r="H45" i="33"/>
  <c r="U45" i="33" s="1"/>
  <c r="J45" i="33"/>
  <c r="F45" i="33"/>
  <c r="AA45" i="33" s="1"/>
  <c r="J14" i="34"/>
  <c r="W14" i="34" s="1"/>
  <c r="F14" i="34"/>
  <c r="S14" i="34" s="1"/>
  <c r="H14" i="34"/>
  <c r="AB14" i="34" s="1"/>
  <c r="H30" i="34"/>
  <c r="F30" i="34"/>
  <c r="S30" i="34" s="1"/>
  <c r="J30" i="34"/>
  <c r="W30" i="34" s="1"/>
  <c r="H32" i="34"/>
  <c r="AB32" i="34" s="1"/>
  <c r="F32" i="34"/>
  <c r="J32" i="34"/>
  <c r="H46" i="34"/>
  <c r="U46" i="34" s="1"/>
  <c r="F46" i="34"/>
  <c r="AA46" i="34" s="1"/>
  <c r="J46" i="34"/>
  <c r="H11" i="35"/>
  <c r="U11" i="35" s="1"/>
  <c r="J11" i="35"/>
  <c r="AC11" i="35" s="1"/>
  <c r="F11" i="35"/>
  <c r="S11" i="35" s="1"/>
  <c r="J26" i="36"/>
  <c r="W26" i="36" s="1"/>
  <c r="H28" i="36"/>
  <c r="U28"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F14" i="39"/>
  <c r="AA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J36" i="37"/>
  <c r="AC36" i="37" s="1"/>
  <c r="J10" i="36"/>
  <c r="AC10" i="36" s="1"/>
  <c r="AA14" i="37"/>
  <c r="W31" i="34"/>
  <c r="AC13" i="36"/>
  <c r="S11" i="36"/>
  <c r="W11" i="35"/>
  <c r="S45" i="33"/>
  <c r="AB31" i="33"/>
  <c r="W29" i="33"/>
  <c r="BA586" i="3"/>
  <c r="BA585" i="3"/>
  <c r="F17" i="21"/>
  <c r="AA17" i="21" s="1"/>
  <c r="H17" i="21"/>
  <c r="AB17" i="21" s="1"/>
  <c r="F15" i="21"/>
  <c r="S15" i="21" s="1"/>
  <c r="J41" i="39"/>
  <c r="W41" i="39" s="1"/>
  <c r="AC45" i="39"/>
  <c r="W44" i="39"/>
  <c r="W35" i="39"/>
  <c r="G540" i="3"/>
  <c r="G518" i="3"/>
  <c r="G580" i="3"/>
  <c r="BL546" i="3"/>
  <c r="BL512" i="3"/>
  <c r="BL570" i="3"/>
  <c r="BL510" i="3"/>
  <c r="BA562" i="3"/>
  <c r="BA538" i="3"/>
  <c r="BA528" i="3"/>
  <c r="BA520" i="3"/>
  <c r="BA512" i="3"/>
  <c r="AZ512" i="3" s="1"/>
  <c r="BA504" i="3"/>
  <c r="BA498" i="3"/>
  <c r="BA587" i="3"/>
  <c r="AZ587" i="3" s="1"/>
  <c r="BA579" i="3"/>
  <c r="BA563" i="3"/>
  <c r="BA543" i="3"/>
  <c r="BA527" i="3"/>
  <c r="BA517" i="3"/>
  <c r="BA507" i="3"/>
  <c r="BA499" i="3"/>
  <c r="G583" i="3"/>
  <c r="G567" i="3"/>
  <c r="AC557" i="3"/>
  <c r="BQ557" i="3"/>
  <c r="BQ583" i="3"/>
  <c r="BQ581" i="3"/>
  <c r="BQ579" i="3"/>
  <c r="BQ577" i="3"/>
  <c r="BQ575" i="3"/>
  <c r="BQ573" i="3"/>
  <c r="BQ571" i="3"/>
  <c r="BQ569" i="3"/>
  <c r="BQ567" i="3"/>
  <c r="BQ565" i="3"/>
  <c r="BQ563" i="3"/>
  <c r="BL563" i="3" s="1"/>
  <c r="AZ563" i="3" s="1"/>
  <c r="BQ561" i="3"/>
  <c r="BQ559" i="3"/>
  <c r="BL559" i="3" s="1"/>
  <c r="G541" i="3"/>
  <c r="BQ555" i="3"/>
  <c r="BQ553" i="3"/>
  <c r="BQ551" i="3"/>
  <c r="BQ549" i="3"/>
  <c r="BQ547" i="3"/>
  <c r="BQ545" i="3"/>
  <c r="BQ543" i="3"/>
  <c r="BQ541" i="3"/>
  <c r="BL541" i="3" s="1"/>
  <c r="BQ539" i="3"/>
  <c r="BQ537" i="3"/>
  <c r="BL537" i="3" s="1"/>
  <c r="BQ535" i="3"/>
  <c r="BL535" i="3"/>
  <c r="BQ533" i="3"/>
  <c r="BQ531" i="3"/>
  <c r="BL531" i="3" s="1"/>
  <c r="BQ529" i="3"/>
  <c r="BQ527" i="3"/>
  <c r="BQ525" i="3"/>
  <c r="BQ523" i="3"/>
  <c r="AC521" i="3"/>
  <c r="G521" i="3"/>
  <c r="BQ521" i="3"/>
  <c r="G513" i="3"/>
  <c r="BQ519" i="3"/>
  <c r="BQ517" i="3"/>
  <c r="BQ515" i="3"/>
  <c r="BQ513" i="3"/>
  <c r="BQ511" i="3"/>
  <c r="AC509" i="3"/>
  <c r="BQ509" i="3"/>
  <c r="G507"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F25" i="21"/>
  <c r="S25" i="21" s="1"/>
  <c r="J25" i="21"/>
  <c r="E125" i="33"/>
  <c r="F125" i="33" s="1"/>
  <c r="G125" i="33" s="1"/>
  <c r="H43" i="33"/>
  <c r="H17" i="37"/>
  <c r="U17" i="37" s="1"/>
  <c r="AB27" i="37"/>
  <c r="U32" i="33"/>
  <c r="F39" i="33"/>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S41" i="34" s="1"/>
  <c r="H41" i="34"/>
  <c r="J41" i="34"/>
  <c r="AC41" i="34" s="1"/>
  <c r="F10" i="35"/>
  <c r="S10" i="35" s="1"/>
  <c r="F24" i="35"/>
  <c r="AA24" i="35" s="1"/>
  <c r="H24" i="35"/>
  <c r="H23" i="37"/>
  <c r="AB23" i="37" s="1"/>
  <c r="J32" i="37"/>
  <c r="F36" i="37"/>
  <c r="AA36" i="37" s="1"/>
  <c r="F37" i="37"/>
  <c r="F31" i="40"/>
  <c r="AA31" i="40" s="1"/>
  <c r="H31" i="40"/>
  <c r="U31" i="40" s="1"/>
  <c r="F32" i="40"/>
  <c r="S32" i="40" s="1"/>
  <c r="H32" i="40"/>
  <c r="J36" i="40"/>
  <c r="W36" i="40" s="1"/>
  <c r="H19" i="37"/>
  <c r="H42" i="33"/>
  <c r="AB42" i="33" s="1"/>
  <c r="J43" i="33"/>
  <c r="S28" i="31"/>
  <c r="S27" i="31"/>
  <c r="S22" i="31" s="1"/>
  <c r="R22" i="31" s="1"/>
  <c r="B21" i="31" s="1"/>
  <c r="S26" i="31"/>
  <c r="U14" i="40"/>
  <c r="AC33" i="36"/>
  <c r="U35" i="35"/>
  <c r="AB28" i="37"/>
  <c r="U33" i="37"/>
  <c r="AC8" i="37"/>
  <c r="W47" i="34"/>
  <c r="AB13" i="34"/>
  <c r="W37" i="34"/>
  <c r="AC36" i="34"/>
  <c r="W44" i="33"/>
  <c r="U11" i="33"/>
  <c r="U19"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E94" i="37"/>
  <c r="F31" i="37"/>
  <c r="S31" i="37" s="1"/>
  <c r="J42" i="39"/>
  <c r="AC42" i="39" s="1"/>
  <c r="H21" i="40"/>
  <c r="AB21" i="40" s="1"/>
  <c r="F94" i="37"/>
  <c r="G94" i="37" s="1"/>
  <c r="H94" i="37" s="1"/>
  <c r="I94" i="37" s="1"/>
  <c r="J94" i="37" s="1"/>
  <c r="K94" i="37" s="1"/>
  <c r="L94" i="37" s="1"/>
  <c r="M94" i="37" s="1"/>
  <c r="H31" i="37"/>
  <c r="U31" i="37" s="1"/>
  <c r="J15" i="37"/>
  <c r="W15" i="37" s="1"/>
  <c r="AT6" i="3"/>
  <c r="C12" i="43"/>
  <c r="H19" i="40"/>
  <c r="U19" i="40" s="1"/>
  <c r="F88" i="40"/>
  <c r="G88" i="40" s="1"/>
  <c r="F19" i="40"/>
  <c r="S19" i="40" s="1"/>
  <c r="S14"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AB34" i="39"/>
  <c r="W8" i="39"/>
  <c r="J19" i="40"/>
  <c r="AC19" i="40" s="1"/>
  <c r="J50" i="40"/>
  <c r="B54" i="72"/>
  <c r="H103" i="9"/>
  <c r="D8" i="53" s="1"/>
  <c r="B16" i="53"/>
  <c r="B33" i="72" s="1"/>
  <c r="C7" i="37"/>
  <c r="C52" i="37" s="1"/>
  <c r="D52" i="37" s="1"/>
  <c r="C7" i="34"/>
  <c r="C7" i="36"/>
  <c r="C46" i="36" s="1"/>
  <c r="D46" i="36" s="1"/>
  <c r="E46" i="36" s="1"/>
  <c r="F46" i="36" s="1"/>
  <c r="W35" i="40"/>
  <c r="A4" i="52"/>
  <c r="B41" i="72" s="1"/>
  <c r="J11" i="39"/>
  <c r="W11" i="39" s="1"/>
  <c r="A12" i="52"/>
  <c r="B56" i="72" s="1"/>
  <c r="G4" i="4"/>
  <c r="I4" i="4"/>
  <c r="K5" i="4"/>
  <c r="B47" i="48" s="1"/>
  <c r="A2" i="9"/>
  <c r="N2" i="43"/>
  <c r="F59" i="43"/>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AZ151" i="3" s="1"/>
  <c r="BL152" i="3"/>
  <c r="AZ152" i="3" s="1"/>
  <c r="G153" i="3"/>
  <c r="BA155" i="3"/>
  <c r="AZ155" i="3" s="1"/>
  <c r="BL156" i="3"/>
  <c r="G157" i="3"/>
  <c r="BA159" i="3"/>
  <c r="BL160" i="3"/>
  <c r="G161" i="3"/>
  <c r="BA163" i="3"/>
  <c r="AZ163" i="3" s="1"/>
  <c r="BL164" i="3"/>
  <c r="G165" i="3"/>
  <c r="BA167" i="3"/>
  <c r="AZ167" i="3" s="1"/>
  <c r="BL168" i="3"/>
  <c r="G169" i="3"/>
  <c r="BA171" i="3"/>
  <c r="AZ171" i="3" s="1"/>
  <c r="BL172" i="3"/>
  <c r="G173" i="3"/>
  <c r="BA175" i="3"/>
  <c r="BL176" i="3"/>
  <c r="AZ176" i="3" s="1"/>
  <c r="G177" i="3"/>
  <c r="BA179" i="3"/>
  <c r="BL180" i="3"/>
  <c r="G181" i="3"/>
  <c r="BA183" i="3"/>
  <c r="AZ183" i="3" s="1"/>
  <c r="BL184" i="3"/>
  <c r="AZ184" i="3" s="1"/>
  <c r="G185" i="3"/>
  <c r="BA187" i="3"/>
  <c r="AZ187" i="3" s="1"/>
  <c r="BL188" i="3"/>
  <c r="G189" i="3"/>
  <c r="BA191" i="3"/>
  <c r="BL192" i="3"/>
  <c r="G193" i="3"/>
  <c r="BA195" i="3"/>
  <c r="AZ195" i="3" s="1"/>
  <c r="BL196" i="3"/>
  <c r="G197" i="3"/>
  <c r="BA199" i="3"/>
  <c r="AZ199" i="3" s="1"/>
  <c r="BL200" i="3"/>
  <c r="G201" i="3"/>
  <c r="BA203" i="3"/>
  <c r="AZ203" i="3" s="1"/>
  <c r="BL204" i="3"/>
  <c r="AZ47" i="3"/>
  <c r="AZ75" i="3"/>
  <c r="AZ168" i="3"/>
  <c r="AZ200" i="3"/>
  <c r="AZ93" i="3"/>
  <c r="AZ128" i="3"/>
  <c r="G516" i="3"/>
  <c r="G494" i="3"/>
  <c r="G15" i="3"/>
  <c r="BA304" i="3"/>
  <c r="BA305" i="3"/>
  <c r="BL305" i="3"/>
  <c r="G306" i="3"/>
  <c r="G309" i="3"/>
  <c r="BL310" i="3"/>
  <c r="BA312" i="3"/>
  <c r="AZ312" i="3" s="1"/>
  <c r="BA313" i="3"/>
  <c r="BL313" i="3"/>
  <c r="AZ313" i="3" s="1"/>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AZ356" i="3" s="1"/>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BA390" i="3"/>
  <c r="AZ390" i="3" s="1"/>
  <c r="BL390" i="3"/>
  <c r="G391" i="3"/>
  <c r="G394" i="3"/>
  <c r="AZ166" i="3"/>
  <c r="AZ198" i="3"/>
  <c r="BL303" i="3"/>
  <c r="G304" i="3"/>
  <c r="BA306" i="3"/>
  <c r="AZ306" i="3"/>
  <c r="BL307" i="3"/>
  <c r="G308" i="3"/>
  <c r="BA310" i="3"/>
  <c r="AZ310" i="3" s="1"/>
  <c r="BL311" i="3"/>
  <c r="AZ311" i="3"/>
  <c r="G312" i="3"/>
  <c r="BA314" i="3"/>
  <c r="BL315" i="3"/>
  <c r="G316" i="3"/>
  <c r="BA318" i="3"/>
  <c r="BL319" i="3"/>
  <c r="AZ319" i="3" s="1"/>
  <c r="G320" i="3"/>
  <c r="BA322" i="3"/>
  <c r="AZ322" i="3" s="1"/>
  <c r="BL323" i="3"/>
  <c r="AZ323" i="3" s="1"/>
  <c r="G324" i="3"/>
  <c r="BA326" i="3"/>
  <c r="AZ326" i="3"/>
  <c r="BL327" i="3"/>
  <c r="G328" i="3"/>
  <c r="BA330" i="3"/>
  <c r="AZ330" i="3"/>
  <c r="BL331" i="3"/>
  <c r="G332" i="3"/>
  <c r="BA334" i="3"/>
  <c r="AZ334" i="3"/>
  <c r="BL335" i="3"/>
  <c r="AZ335" i="3"/>
  <c r="G336" i="3"/>
  <c r="BA338" i="3"/>
  <c r="AZ338" i="3" s="1"/>
  <c r="BL339" i="3"/>
  <c r="AZ339" i="3" s="1"/>
  <c r="G340" i="3"/>
  <c r="BL343" i="3"/>
  <c r="G344" i="3"/>
  <c r="G348" i="3"/>
  <c r="G355"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G375" i="3"/>
  <c r="BA377" i="3"/>
  <c r="AZ377" i="3" s="1"/>
  <c r="AZ245" i="3"/>
  <c r="BA379" i="3"/>
  <c r="BL380" i="3"/>
  <c r="G381" i="3"/>
  <c r="BA383" i="3"/>
  <c r="BL384" i="3"/>
  <c r="AZ384" i="3" s="1"/>
  <c r="G385" i="3"/>
  <c r="BA387" i="3"/>
  <c r="AZ387" i="3"/>
  <c r="BL388" i="3"/>
  <c r="G389" i="3"/>
  <c r="BA391" i="3"/>
  <c r="AZ391" i="3"/>
  <c r="BL392" i="3"/>
  <c r="G393" i="3"/>
  <c r="G502" i="3"/>
  <c r="AZ343" i="3"/>
  <c r="G17" i="3"/>
  <c r="BA15" i="3"/>
  <c r="AZ380" i="3"/>
  <c r="BL493" i="3"/>
  <c r="AZ376" i="3"/>
  <c r="U36" i="40"/>
  <c r="N4" i="43"/>
  <c r="F36" i="43"/>
  <c r="F81" i="43"/>
  <c r="H83" i="43" s="1"/>
  <c r="H113" i="43"/>
  <c r="F48" i="43"/>
  <c r="H52" i="43" s="1"/>
  <c r="N7" i="43"/>
  <c r="F70" i="43"/>
  <c r="H73" i="43"/>
  <c r="M6" i="43"/>
  <c r="M11" i="43"/>
  <c r="E17" i="43"/>
  <c r="F39" i="43"/>
  <c r="I17" i="43"/>
  <c r="F35" i="43"/>
  <c r="J17" i="43"/>
  <c r="F6" i="1"/>
  <c r="S14" i="35"/>
  <c r="U43" i="21"/>
  <c r="U35" i="21"/>
  <c r="AC35" i="21"/>
  <c r="U10" i="21"/>
  <c r="G9" i="1"/>
  <c r="G10" i="1"/>
  <c r="F48" i="9"/>
  <c r="O52" i="9" s="1"/>
  <c r="W37" i="37"/>
  <c r="W44" i="34"/>
  <c r="AC44" i="34"/>
  <c r="U13" i="37"/>
  <c r="U12" i="40"/>
  <c r="AA12" i="40"/>
  <c r="J37" i="33"/>
  <c r="W37" i="33" s="1"/>
  <c r="AC17" i="34"/>
  <c r="F106" i="33"/>
  <c r="G106" i="33" s="1"/>
  <c r="H106" i="33" s="1"/>
  <c r="I106" i="33" s="1"/>
  <c r="J106" i="33" s="1"/>
  <c r="K106" i="33" s="1"/>
  <c r="L106" i="33" s="1"/>
  <c r="M106" i="33" s="1"/>
  <c r="J34" i="33"/>
  <c r="F33" i="34"/>
  <c r="S33" i="34" s="1"/>
  <c r="H20" i="36"/>
  <c r="J20" i="36"/>
  <c r="W20" i="36" s="1"/>
  <c r="J27" i="36"/>
  <c r="AC33" i="40"/>
  <c r="F111" i="40"/>
  <c r="G111" i="40" s="1"/>
  <c r="H111" i="40" s="1"/>
  <c r="I111" i="40" s="1"/>
  <c r="J111" i="40" s="1"/>
  <c r="K111" i="40" s="1"/>
  <c r="L111" i="40" s="1"/>
  <c r="M111" i="40" s="1"/>
  <c r="H35" i="40"/>
  <c r="AB35" i="40" s="1"/>
  <c r="AC29" i="35"/>
  <c r="W29" i="35"/>
  <c r="H35" i="37"/>
  <c r="U35" i="37" s="1"/>
  <c r="AC14" i="35"/>
  <c r="H20" i="35"/>
  <c r="U20" i="35" s="1"/>
  <c r="F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c r="G98" i="40" s="1"/>
  <c r="H98" i="40" s="1"/>
  <c r="I98" i="40" s="1"/>
  <c r="J98" i="40" s="1"/>
  <c r="K98" i="40" s="1"/>
  <c r="L98" i="40" s="1"/>
  <c r="M98" i="40" s="1"/>
  <c r="F10" i="33"/>
  <c r="S10" i="33" s="1"/>
  <c r="F34" i="33"/>
  <c r="S34" i="33" s="1"/>
  <c r="H34" i="33"/>
  <c r="U34" i="33" s="1"/>
  <c r="F35" i="33"/>
  <c r="F39" i="34"/>
  <c r="S39" i="34" s="1"/>
  <c r="J39" i="34"/>
  <c r="F40" i="34"/>
  <c r="S40" i="34" s="1"/>
  <c r="F43" i="34"/>
  <c r="AA43" i="34" s="1"/>
  <c r="H44" i="34"/>
  <c r="AB44" i="34" s="1"/>
  <c r="F39" i="39"/>
  <c r="S39" i="39" s="1"/>
  <c r="J39" i="39"/>
  <c r="AC39" i="39" s="1"/>
  <c r="E97" i="39"/>
  <c r="F97" i="39" s="1"/>
  <c r="G97" i="39" s="1"/>
  <c r="AZ386" i="3"/>
  <c r="C40" i="11"/>
  <c r="AZ280" i="3"/>
  <c r="AZ45" i="3"/>
  <c r="AZ50" i="3"/>
  <c r="AZ66" i="3"/>
  <c r="AZ77" i="3"/>
  <c r="H75" i="43"/>
  <c r="H74" i="43"/>
  <c r="H50" i="43"/>
  <c r="H49" i="43"/>
  <c r="H48" i="43"/>
  <c r="I20" i="43"/>
  <c r="C20" i="43" s="1"/>
  <c r="F23" i="39"/>
  <c r="AA23" i="39"/>
  <c r="H27" i="36"/>
  <c r="U27" i="36"/>
  <c r="F27" i="36"/>
  <c r="AA27" i="36"/>
  <c r="H33" i="34"/>
  <c r="U33" i="34"/>
  <c r="F32" i="37"/>
  <c r="AA32" i="37"/>
  <c r="F20" i="36"/>
  <c r="AA20" i="36" s="1"/>
  <c r="J33" i="34"/>
  <c r="H23" i="39"/>
  <c r="U23" i="39" s="1"/>
  <c r="D48" i="9"/>
  <c r="M52" i="9" s="1"/>
  <c r="H82" i="43"/>
  <c r="K9" i="1"/>
  <c r="M9" i="1" s="1"/>
  <c r="O9" i="1"/>
  <c r="P9" i="1"/>
  <c r="AE9" i="1"/>
  <c r="F34" i="80"/>
  <c r="F62" i="80" s="1"/>
  <c r="F34" i="79"/>
  <c r="F62" i="79" s="1"/>
  <c r="M20" i="79"/>
  <c r="M20" i="80"/>
  <c r="M8" i="1"/>
  <c r="O8" i="1"/>
  <c r="P8" i="1"/>
  <c r="U40" i="39"/>
  <c r="S40" i="39"/>
  <c r="S42" i="39"/>
  <c r="S31" i="39"/>
  <c r="W27" i="39"/>
  <c r="W23" i="39"/>
  <c r="C21" i="39"/>
  <c r="G21" i="39" s="1"/>
  <c r="AZ362" i="3"/>
  <c r="AC5" i="3"/>
  <c r="AZ327" i="3"/>
  <c r="AZ371" i="3"/>
  <c r="AZ329" i="3"/>
  <c r="AZ304" i="3"/>
  <c r="AC13" i="40"/>
  <c r="AA25" i="21"/>
  <c r="AC46" i="21"/>
  <c r="W44" i="21"/>
  <c r="AB37" i="34"/>
  <c r="W14" i="37"/>
  <c r="AA41" i="34"/>
  <c r="S44" i="34"/>
  <c r="U13" i="33"/>
  <c r="AB45" i="33"/>
  <c r="AA14" i="34"/>
  <c r="AB46" i="34"/>
  <c r="AB11" i="36"/>
  <c r="U46" i="33"/>
  <c r="AA13" i="35"/>
  <c r="U23" i="40"/>
  <c r="AA29" i="35"/>
  <c r="U33" i="35"/>
  <c r="W39" i="33"/>
  <c r="U33" i="33"/>
  <c r="W9" i="34"/>
  <c r="W28" i="35"/>
  <c r="BL586" i="3"/>
  <c r="AZ586" i="3" s="1"/>
  <c r="BL585" i="3"/>
  <c r="AZ585" i="3" s="1"/>
  <c r="F9" i="34"/>
  <c r="S9" i="34" s="1"/>
  <c r="J12" i="34"/>
  <c r="F12" i="34"/>
  <c r="AA12" i="34" s="1"/>
  <c r="H36" i="35"/>
  <c r="AB36" i="35" s="1"/>
  <c r="J36" i="35"/>
  <c r="W36" i="35" s="1"/>
  <c r="F9" i="36"/>
  <c r="AA9" i="36" s="1"/>
  <c r="J12" i="36"/>
  <c r="AC12" i="36" s="1"/>
  <c r="H12" i="36"/>
  <c r="H23" i="35"/>
  <c r="AB23" i="35" s="1"/>
  <c r="J23" i="35"/>
  <c r="J24" i="36"/>
  <c r="W24" i="36" s="1"/>
  <c r="H24" i="36"/>
  <c r="AB24" i="36" s="1"/>
  <c r="J39" i="40"/>
  <c r="W39" i="40" s="1"/>
  <c r="H39" i="40"/>
  <c r="G582" i="3"/>
  <c r="G551" i="3"/>
  <c r="G526" i="3"/>
  <c r="M20" i="15"/>
  <c r="F34" i="78"/>
  <c r="F62" i="78" s="1"/>
  <c r="M20" i="78"/>
  <c r="BA17" i="3"/>
  <c r="AZ17" i="3" s="1"/>
  <c r="BO5" i="3"/>
  <c r="F7" i="1"/>
  <c r="G7" i="1" s="1"/>
  <c r="G398" i="3"/>
  <c r="G399" i="3"/>
  <c r="BL399" i="3"/>
  <c r="BA400" i="3"/>
  <c r="AZ400" i="3" s="1"/>
  <c r="BL402" i="3"/>
  <c r="G405" i="3"/>
  <c r="BL405" i="3"/>
  <c r="AZ434" i="3"/>
  <c r="AZ405" i="3"/>
  <c r="M108" i="43"/>
  <c r="M100" i="43"/>
  <c r="I108" i="43"/>
  <c r="I100" i="43"/>
  <c r="G108" i="43"/>
  <c r="G100" i="43"/>
  <c r="E108" i="43"/>
  <c r="E100" i="43"/>
  <c r="BL406" i="3"/>
  <c r="BA407" i="3"/>
  <c r="AZ407" i="3" s="1"/>
  <c r="G410" i="3"/>
  <c r="G411" i="3"/>
  <c r="G412" i="3"/>
  <c r="BL412" i="3"/>
  <c r="BA413" i="3"/>
  <c r="AZ413" i="3" s="1"/>
  <c r="BA414" i="3"/>
  <c r="G417" i="3"/>
  <c r="BL417" i="3"/>
  <c r="BL419" i="3"/>
  <c r="BA420" i="3"/>
  <c r="BL422" i="3"/>
  <c r="BA423" i="3"/>
  <c r="BA424" i="3"/>
  <c r="G427" i="3"/>
  <c r="G428" i="3"/>
  <c r="BL428" i="3"/>
  <c r="BA429" i="3"/>
  <c r="BA430" i="3"/>
  <c r="G433" i="3"/>
  <c r="BL433" i="3"/>
  <c r="BL435" i="3"/>
  <c r="AZ435" i="3"/>
  <c r="BA436" i="3"/>
  <c r="AZ436" i="3"/>
  <c r="BL438" i="3"/>
  <c r="AZ438" i="3"/>
  <c r="BA439" i="3"/>
  <c r="BA440" i="3"/>
  <c r="AZ440" i="3" s="1"/>
  <c r="BL442" i="3"/>
  <c r="G445" i="3"/>
  <c r="BL445" i="3"/>
  <c r="AZ445" i="3" s="1"/>
  <c r="G448" i="3"/>
  <c r="G449" i="3"/>
  <c r="BL449" i="3"/>
  <c r="BL451" i="3"/>
  <c r="BA452" i="3"/>
  <c r="BL454" i="3"/>
  <c r="BA455" i="3"/>
  <c r="BA456" i="3"/>
  <c r="BL458" i="3"/>
  <c r="AZ458" i="3" s="1"/>
  <c r="G461" i="3"/>
  <c r="BL461" i="3"/>
  <c r="G464" i="3"/>
  <c r="G465" i="3"/>
  <c r="BL465" i="3"/>
  <c r="BA466" i="3"/>
  <c r="BA467" i="3"/>
  <c r="BL469" i="3"/>
  <c r="AZ469" i="3" s="1"/>
  <c r="BA470" i="3"/>
  <c r="AZ470" i="3" s="1"/>
  <c r="BA471" i="3"/>
  <c r="AZ471" i="3" s="1"/>
  <c r="BA472" i="3"/>
  <c r="AZ472" i="3" s="1"/>
  <c r="G475" i="3"/>
  <c r="G476" i="3"/>
  <c r="BL476" i="3"/>
  <c r="AZ476" i="3" s="1"/>
  <c r="G479" i="3"/>
  <c r="G480" i="3"/>
  <c r="BL480" i="3"/>
  <c r="G483" i="3"/>
  <c r="BA484" i="3"/>
  <c r="BA485" i="3"/>
  <c r="AZ485" i="3" s="1"/>
  <c r="BL487" i="3"/>
  <c r="BA488" i="3"/>
  <c r="BA489" i="3"/>
  <c r="BL491" i="3"/>
  <c r="BA492" i="3"/>
  <c r="AZ492" i="3" s="1"/>
  <c r="G313" i="3"/>
  <c r="BA315" i="3"/>
  <c r="AZ315" i="3" s="1"/>
  <c r="BL316" i="3"/>
  <c r="G318" i="3"/>
  <c r="G329" i="3"/>
  <c r="BA331" i="3"/>
  <c r="AZ331" i="3" s="1"/>
  <c r="BL332" i="3"/>
  <c r="AZ332" i="3" s="1"/>
  <c r="G334" i="3"/>
  <c r="BL346" i="3"/>
  <c r="AZ346" i="3" s="1"/>
  <c r="G349" i="3"/>
  <c r="BA350" i="3"/>
  <c r="BL353" i="3"/>
  <c r="G362" i="3"/>
  <c r="G366" i="3"/>
  <c r="BA368" i="3"/>
  <c r="AZ368" i="3" s="1"/>
  <c r="G378" i="3"/>
  <c r="BL383" i="3"/>
  <c r="AZ383" i="3" s="1"/>
  <c r="BA385" i="3"/>
  <c r="BA388" i="3"/>
  <c r="AZ388" i="3" s="1"/>
  <c r="BA392" i="3"/>
  <c r="AZ392" i="3" s="1"/>
  <c r="G395" i="3"/>
  <c r="BL395" i="3"/>
  <c r="G208" i="3"/>
  <c r="BL208" i="3"/>
  <c r="G211" i="3"/>
  <c r="BL211" i="3"/>
  <c r="AZ211" i="3" s="1"/>
  <c r="BA212" i="3"/>
  <c r="BL214" i="3"/>
  <c r="G217" i="3"/>
  <c r="BL217" i="3"/>
  <c r="G220" i="3"/>
  <c r="BL220" i="3"/>
  <c r="AZ220" i="3" s="1"/>
  <c r="BA221" i="3"/>
  <c r="BA222" i="3"/>
  <c r="AZ222" i="3" s="1"/>
  <c r="BA223" i="3"/>
  <c r="G226" i="3"/>
  <c r="BL226" i="3"/>
  <c r="AZ226" i="3" s="1"/>
  <c r="G229" i="3"/>
  <c r="G230" i="3"/>
  <c r="BL230" i="3"/>
  <c r="AZ230" i="3" s="1"/>
  <c r="BA231" i="3"/>
  <c r="BA232" i="3"/>
  <c r="AZ232" i="3" s="1"/>
  <c r="BA233" i="3"/>
  <c r="BL235" i="3"/>
  <c r="AZ235" i="3" s="1"/>
  <c r="BA236" i="3"/>
  <c r="AZ236" i="3" s="1"/>
  <c r="BA237" i="3"/>
  <c r="AZ237" i="3" s="1"/>
  <c r="G240" i="3"/>
  <c r="G241" i="3"/>
  <c r="G242" i="3"/>
  <c r="BL242" i="3"/>
  <c r="G245" i="3"/>
  <c r="G246" i="3"/>
  <c r="BL246" i="3"/>
  <c r="BA247" i="3"/>
  <c r="AZ247" i="3" s="1"/>
  <c r="BA248" i="3"/>
  <c r="BA249" i="3"/>
  <c r="AZ249" i="3" s="1"/>
  <c r="BL251" i="3"/>
  <c r="BA252" i="3"/>
  <c r="BA253" i="3"/>
  <c r="G256" i="3"/>
  <c r="G257" i="3"/>
  <c r="G258" i="3"/>
  <c r="BL258" i="3"/>
  <c r="AZ258" i="3" s="1"/>
  <c r="G261" i="3"/>
  <c r="G262" i="3"/>
  <c r="BL262" i="3"/>
  <c r="AZ262" i="3" s="1"/>
  <c r="G265" i="3"/>
  <c r="G266" i="3"/>
  <c r="BL266" i="3"/>
  <c r="AZ266" i="3" s="1"/>
  <c r="BA267" i="3"/>
  <c r="BA268" i="3"/>
  <c r="AZ268" i="3" s="1"/>
  <c r="BA269" i="3"/>
  <c r="BL271" i="3"/>
  <c r="BA272" i="3"/>
  <c r="BA273" i="3"/>
  <c r="BL275" i="3"/>
  <c r="BA276" i="3"/>
  <c r="G279" i="3"/>
  <c r="G280" i="3"/>
  <c r="G281" i="3"/>
  <c r="BL281" i="3"/>
  <c r="AZ281" i="3" s="1"/>
  <c r="BA282" i="3"/>
  <c r="AZ282" i="3" s="1"/>
  <c r="BA283" i="3"/>
  <c r="AZ283" i="3" s="1"/>
  <c r="G286" i="3"/>
  <c r="BL286" i="3"/>
  <c r="BL288" i="3"/>
  <c r="BA289" i="3"/>
  <c r="AZ289" i="3" s="1"/>
  <c r="BL291" i="3"/>
  <c r="AZ291" i="3" s="1"/>
  <c r="BA292" i="3"/>
  <c r="G295" i="3"/>
  <c r="G296" i="3"/>
  <c r="G297" i="3"/>
  <c r="BL297" i="3"/>
  <c r="BA298" i="3"/>
  <c r="AZ298" i="3" s="1"/>
  <c r="BA299" i="3"/>
  <c r="G302" i="3"/>
  <c r="G114" i="3"/>
  <c r="G115" i="3"/>
  <c r="BL117" i="3"/>
  <c r="BA118" i="3"/>
  <c r="BL119" i="3"/>
  <c r="AZ119" i="3" s="1"/>
  <c r="BA121" i="3"/>
  <c r="K100" i="43"/>
  <c r="G124" i="3"/>
  <c r="G127" i="3"/>
  <c r="G130" i="3"/>
  <c r="G131" i="3"/>
  <c r="BL133" i="3"/>
  <c r="BA134" i="3"/>
  <c r="AZ134" i="3"/>
  <c r="BL135" i="3"/>
  <c r="AZ135" i="3" s="1"/>
  <c r="BA137" i="3"/>
  <c r="BA138" i="3"/>
  <c r="AZ138" i="3" s="1"/>
  <c r="BL139" i="3"/>
  <c r="AZ139" i="3" s="1"/>
  <c r="BA141" i="3"/>
  <c r="BA142" i="3"/>
  <c r="AZ142" i="3" s="1"/>
  <c r="BL143" i="3"/>
  <c r="AZ143" i="3" s="1"/>
  <c r="BA145" i="3"/>
  <c r="BA146" i="3"/>
  <c r="AZ146" i="3" s="1"/>
  <c r="BA148" i="3"/>
  <c r="AZ148" i="3" s="1"/>
  <c r="BL149" i="3"/>
  <c r="G152" i="3"/>
  <c r="BL154" i="3"/>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BA188" i="3"/>
  <c r="AZ188" i="3" s="1"/>
  <c r="BL189" i="3"/>
  <c r="G192" i="3"/>
  <c r="BL194" i="3"/>
  <c r="AZ194" i="3" s="1"/>
  <c r="BA196" i="3"/>
  <c r="AZ196" i="3" s="1"/>
  <c r="BL197" i="3"/>
  <c r="G200" i="3"/>
  <c r="BL202" i="3"/>
  <c r="AZ202" i="3" s="1"/>
  <c r="BA204" i="3"/>
  <c r="AZ204" i="3" s="1"/>
  <c r="BA205" i="3"/>
  <c r="BA206" i="3"/>
  <c r="AZ206" i="3" s="1"/>
  <c r="BL18" i="3"/>
  <c r="G19" i="3"/>
  <c r="BL19" i="3"/>
  <c r="BL21" i="3"/>
  <c r="AZ21" i="3" s="1"/>
  <c r="BA22" i="3"/>
  <c r="BL24" i="3"/>
  <c r="BA25" i="3"/>
  <c r="AZ25" i="3" s="1"/>
  <c r="G28" i="3"/>
  <c r="G29" i="3"/>
  <c r="G30" i="3"/>
  <c r="BL30" i="3"/>
  <c r="BL32" i="3"/>
  <c r="BA34" i="3"/>
  <c r="BA36" i="3"/>
  <c r="AZ36" i="3" s="1"/>
  <c r="BA37" i="3"/>
  <c r="AZ37" i="3" s="1"/>
  <c r="BL39" i="3"/>
  <c r="BA40" i="3"/>
  <c r="AZ40" i="3" s="1"/>
  <c r="BL42" i="3"/>
  <c r="G45" i="3"/>
  <c r="G46" i="3"/>
  <c r="BL46" i="3"/>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BA78" i="3"/>
  <c r="AZ78" i="3"/>
  <c r="BA79" i="3"/>
  <c r="AZ79" i="3"/>
  <c r="BA81" i="3"/>
  <c r="AZ81" i="3"/>
  <c r="BA82" i="3"/>
  <c r="BA83" i="3"/>
  <c r="AZ83" i="3" s="1"/>
  <c r="BL85" i="3"/>
  <c r="BA87" i="3"/>
  <c r="AZ87" i="3"/>
  <c r="BL89" i="3"/>
  <c r="BA90" i="3"/>
  <c r="AZ90" i="3"/>
  <c r="G93" i="3"/>
  <c r="G94" i="3"/>
  <c r="G95" i="3"/>
  <c r="BL95" i="3"/>
  <c r="AZ95" i="3" s="1"/>
  <c r="BA96" i="3"/>
  <c r="BA97" i="3"/>
  <c r="AZ97" i="3" s="1"/>
  <c r="G100" i="3"/>
  <c r="BL100" i="3"/>
  <c r="AZ100" i="3" s="1"/>
  <c r="BL102" i="3"/>
  <c r="BA103" i="3"/>
  <c r="AZ103" i="3" s="1"/>
  <c r="BL105" i="3"/>
  <c r="G107" i="3"/>
  <c r="BL107" i="3"/>
  <c r="G109" i="3"/>
  <c r="G110" i="3"/>
  <c r="G111" i="3"/>
  <c r="BL111" i="3"/>
  <c r="I20" i="66"/>
  <c r="G1" i="78"/>
  <c r="A118" i="9"/>
  <c r="BL15" i="3"/>
  <c r="AZ15" i="3" s="1"/>
  <c r="BA18" i="3"/>
  <c r="AZ18" i="3" s="1"/>
  <c r="BI5" i="3"/>
  <c r="BM5" i="3"/>
  <c r="F29" i="6" s="1"/>
  <c r="G14" i="3"/>
  <c r="U9" i="39"/>
  <c r="W9" i="39"/>
  <c r="D93" i="9"/>
  <c r="K6" i="1"/>
  <c r="M6" i="1" s="1"/>
  <c r="AC26" i="33"/>
  <c r="W26" i="33"/>
  <c r="W27" i="34"/>
  <c r="AC27" i="34"/>
  <c r="AB34" i="36"/>
  <c r="U34" i="36"/>
  <c r="AB33" i="36"/>
  <c r="U33" i="36"/>
  <c r="AC39" i="40"/>
  <c r="AA39" i="34"/>
  <c r="BL14" i="3"/>
  <c r="U30" i="33"/>
  <c r="AC13" i="34"/>
  <c r="AA47" i="34"/>
  <c r="W28" i="37"/>
  <c r="S19" i="39"/>
  <c r="F12" i="33"/>
  <c r="S12" i="33" s="1"/>
  <c r="F39" i="40"/>
  <c r="AA39" i="40" s="1"/>
  <c r="BA14" i="3"/>
  <c r="AZ14" i="3"/>
  <c r="AZ367" i="3"/>
  <c r="AZ234" i="3"/>
  <c r="AZ157" i="3"/>
  <c r="AZ189" i="3"/>
  <c r="AZ35" i="3"/>
  <c r="S12" i="1"/>
  <c r="R12" i="1"/>
  <c r="B12" i="1"/>
  <c r="E12" i="1" s="1"/>
  <c r="S10" i="1"/>
  <c r="AR10" i="1" s="1"/>
  <c r="R10" i="1"/>
  <c r="B10" i="1"/>
  <c r="E10" i="1" s="1"/>
  <c r="K12" i="1"/>
  <c r="M12" i="1" s="1"/>
  <c r="O12" i="1"/>
  <c r="P12" i="1"/>
  <c r="S13" i="1"/>
  <c r="R13" i="1"/>
  <c r="S11" i="1"/>
  <c r="AQ11" i="1" s="1"/>
  <c r="R11" i="1"/>
  <c r="S9" i="1"/>
  <c r="AR9" i="1" s="1"/>
  <c r="R9" i="1"/>
  <c r="J51" i="67"/>
  <c r="C42" i="1"/>
  <c r="H100" i="43"/>
  <c r="C30" i="66"/>
  <c r="AA34" i="33"/>
  <c r="B41" i="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F21" i="39"/>
  <c r="S21" i="39" s="1"/>
  <c r="W19" i="39"/>
  <c r="U19" i="39"/>
  <c r="AC15" i="39"/>
  <c r="S15" i="39"/>
  <c r="AB15" i="39"/>
  <c r="S9" i="39"/>
  <c r="AC13" i="39"/>
  <c r="S23" i="36"/>
  <c r="U13" i="36"/>
  <c r="AB27" i="36"/>
  <c r="U26" i="36"/>
  <c r="S33" i="36"/>
  <c r="S27" i="36"/>
  <c r="AA34" i="36"/>
  <c r="AC26" i="36"/>
  <c r="AA22" i="36"/>
  <c r="W14" i="36"/>
  <c r="U22" i="36"/>
  <c r="AA25" i="36"/>
  <c r="S24" i="36"/>
  <c r="U24" i="36"/>
  <c r="U23" i="36"/>
  <c r="U16" i="36"/>
  <c r="W10" i="36"/>
  <c r="AA25" i="35"/>
  <c r="S23" i="35"/>
  <c r="W24" i="35"/>
  <c r="AB13" i="35"/>
  <c r="U29" i="35"/>
  <c r="U28" i="35"/>
  <c r="AB27" i="35"/>
  <c r="U36" i="35"/>
  <c r="U32" i="35"/>
  <c r="AC30" i="35"/>
  <c r="S32" i="35"/>
  <c r="AA36" i="35"/>
  <c r="W32" i="35"/>
  <c r="S28" i="35"/>
  <c r="AB16" i="35"/>
  <c r="U22" i="35"/>
  <c r="AC20" i="35"/>
  <c r="S22" i="35"/>
  <c r="U14" i="35"/>
  <c r="AC10" i="35"/>
  <c r="AB10" i="35"/>
  <c r="S8" i="35"/>
  <c r="AC9" i="35"/>
  <c r="W9" i="35"/>
  <c r="W13" i="35"/>
  <c r="F9" i="35"/>
  <c r="H9" i="35"/>
  <c r="U9" i="35" s="1"/>
  <c r="J26" i="35"/>
  <c r="AC26" i="35" s="1"/>
  <c r="AB40" i="37"/>
  <c r="W27" i="37"/>
  <c r="AC9" i="37"/>
  <c r="AC29" i="37"/>
  <c r="U29" i="37"/>
  <c r="S32" i="37"/>
  <c r="AB31" i="37"/>
  <c r="W30" i="37"/>
  <c r="S36" i="37"/>
  <c r="AA38" i="37"/>
  <c r="U32" i="37"/>
  <c r="W38" i="37"/>
  <c r="AC35" i="37"/>
  <c r="S30" i="37"/>
  <c r="AC15" i="37"/>
  <c r="J17" i="37"/>
  <c r="W17" i="37" s="1"/>
  <c r="G73" i="37"/>
  <c r="F17" i="37"/>
  <c r="AA17" i="37"/>
  <c r="AB17" i="37"/>
  <c r="F75" i="37"/>
  <c r="F19" i="37"/>
  <c r="F79" i="37"/>
  <c r="G79" i="37" s="1"/>
  <c r="F23" i="37"/>
  <c r="S23" i="37"/>
  <c r="U23" i="37"/>
  <c r="U15" i="37"/>
  <c r="AC13" i="37"/>
  <c r="AA13" i="37"/>
  <c r="AA9" i="37"/>
  <c r="H10" i="37"/>
  <c r="U10" i="37" s="1"/>
  <c r="H60" i="37"/>
  <c r="F63" i="37"/>
  <c r="F11" i="37"/>
  <c r="S11" i="37"/>
  <c r="S27" i="34"/>
  <c r="W25" i="34"/>
  <c r="AB8" i="34"/>
  <c r="AA33" i="34"/>
  <c r="U44" i="34"/>
  <c r="U43" i="34"/>
  <c r="W41" i="34"/>
  <c r="U39" i="34"/>
  <c r="S43" i="34"/>
  <c r="AA45" i="34"/>
  <c r="W34" i="34"/>
  <c r="AA25" i="34"/>
  <c r="U28" i="34"/>
  <c r="S17" i="34"/>
  <c r="AA29" i="34"/>
  <c r="U27" i="34"/>
  <c r="S23" i="34"/>
  <c r="U15" i="34"/>
  <c r="S10" i="34"/>
  <c r="S13" i="34"/>
  <c r="H67" i="34"/>
  <c r="H10" i="34"/>
  <c r="U10" i="34" s="1"/>
  <c r="F11" i="34"/>
  <c r="S11" i="34"/>
  <c r="F70" i="34"/>
  <c r="W42" i="33"/>
  <c r="S27" i="33"/>
  <c r="S32" i="33"/>
  <c r="AA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S46" i="33"/>
  <c r="S43" i="33"/>
  <c r="F91" i="33"/>
  <c r="H27" i="33"/>
  <c r="U27" i="33" s="1"/>
  <c r="F87" i="33"/>
  <c r="H25" i="33"/>
  <c r="U25" i="33" s="1"/>
  <c r="F25" i="33"/>
  <c r="J23" i="33"/>
  <c r="AC23" i="33" s="1"/>
  <c r="F85" i="33"/>
  <c r="H23" i="33"/>
  <c r="AB23" i="33" s="1"/>
  <c r="F81" i="33"/>
  <c r="F19" i="33"/>
  <c r="W19" i="33"/>
  <c r="J17" i="33"/>
  <c r="W17" i="33" s="1"/>
  <c r="F79" i="33"/>
  <c r="S15" i="33"/>
  <c r="W15"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s="1"/>
  <c r="D7" i="52" s="1"/>
  <c r="C18" i="9"/>
  <c r="D18" i="9" s="1"/>
  <c r="F34" i="67"/>
  <c r="F62" i="67" s="1"/>
  <c r="M20" i="67"/>
  <c r="F34" i="15"/>
  <c r="F62" i="15" s="1"/>
  <c r="G13" i="3"/>
  <c r="BA13" i="3"/>
  <c r="AZ13" i="3" s="1"/>
  <c r="BL17" i="3"/>
  <c r="BL13" i="3"/>
  <c r="J56" i="9"/>
  <c r="J57" i="9" s="1"/>
  <c r="J59" i="9" s="1"/>
  <c r="J61" i="9" s="1"/>
  <c r="A24" i="51"/>
  <c r="B18" i="72" s="1"/>
  <c r="U29" i="34"/>
  <c r="E5" i="6"/>
  <c r="D9" i="11" s="1"/>
  <c r="C9" i="11" s="1"/>
  <c r="P10" i="1"/>
  <c r="E32" i="6"/>
  <c r="L19" i="6"/>
  <c r="G1" i="68"/>
  <c r="K1" i="12"/>
  <c r="AR12" i="1"/>
  <c r="AQ12" i="1"/>
  <c r="T12" i="1"/>
  <c r="E1" i="73"/>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C7" i="33"/>
  <c r="C58" i="33" s="1"/>
  <c r="C7" i="21"/>
  <c r="C58" i="21" s="1"/>
  <c r="D58" i="21" s="1"/>
  <c r="C7" i="40"/>
  <c r="C63" i="40" s="1"/>
  <c r="M47" i="9"/>
  <c r="G19" i="43"/>
  <c r="T35" i="4"/>
  <c r="A19" i="51" s="1"/>
  <c r="B14" i="72" s="1"/>
  <c r="C59" i="34"/>
  <c r="D59" i="34" s="1"/>
  <c r="E59" i="34" s="1"/>
  <c r="A4" i="51"/>
  <c r="B6" i="72" s="1"/>
  <c r="C94" i="9"/>
  <c r="C4" i="12"/>
  <c r="C92" i="9"/>
  <c r="H65" i="43"/>
  <c r="H63" i="43"/>
  <c r="H55" i="43"/>
  <c r="H51" i="43"/>
  <c r="H56" i="43"/>
  <c r="H76" i="43"/>
  <c r="H72" i="43"/>
  <c r="H77" i="43"/>
  <c r="L20" i="6"/>
  <c r="B6" i="1"/>
  <c r="E6" i="1"/>
  <c r="K11" i="1"/>
  <c r="M11" i="1"/>
  <c r="O11" i="1"/>
  <c r="P11" i="1"/>
  <c r="AP6" i="1"/>
  <c r="B9" i="1"/>
  <c r="E9"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U43" i="39"/>
  <c r="AB43" i="39"/>
  <c r="AA27" i="39"/>
  <c r="S27" i="39"/>
  <c r="W31" i="39"/>
  <c r="AC31" i="39"/>
  <c r="S23" i="39"/>
  <c r="AA45" i="39"/>
  <c r="AB39" i="39"/>
  <c r="W34" i="39"/>
  <c r="S8" i="39"/>
  <c r="S20" i="36"/>
  <c r="AC25" i="36"/>
  <c r="S28" i="36"/>
  <c r="W29" i="36"/>
  <c r="AC20" i="36"/>
  <c r="U25" i="36"/>
  <c r="AB28" i="36"/>
  <c r="AA13" i="36"/>
  <c r="W9" i="36"/>
  <c r="W22" i="36"/>
  <c r="S9" i="36"/>
  <c r="AB20" i="35"/>
  <c r="AC25" i="35"/>
  <c r="U25" i="35"/>
  <c r="S24" i="35"/>
  <c r="W33" i="35"/>
  <c r="AA30" i="35"/>
  <c r="S35" i="35"/>
  <c r="W35" i="35"/>
  <c r="AA16" i="35"/>
  <c r="AA35" i="37"/>
  <c r="W36" i="37"/>
  <c r="S27" i="37"/>
  <c r="S28" i="37"/>
  <c r="U36" i="37"/>
  <c r="S40" i="37"/>
  <c r="U38" i="37"/>
  <c r="AB37" i="37"/>
  <c r="S33" i="37"/>
  <c r="AC34" i="37"/>
  <c r="AB35" i="37"/>
  <c r="AA11" i="37"/>
  <c r="AA31" i="37"/>
  <c r="AA29" i="37"/>
  <c r="AA8" i="37"/>
  <c r="U8" i="37"/>
  <c r="AA40" i="34"/>
  <c r="AB40" i="34"/>
  <c r="U19" i="34"/>
  <c r="W19" i="34"/>
  <c r="AB33" i="34"/>
  <c r="AC45" i="34"/>
  <c r="AA31" i="34"/>
  <c r="AB45" i="34"/>
  <c r="AB47" i="34"/>
  <c r="U25" i="34"/>
  <c r="AB36" i="34"/>
  <c r="AC14" i="34"/>
  <c r="AC29" i="34"/>
  <c r="W29" i="34"/>
  <c r="W46" i="34"/>
  <c r="AC46" i="34"/>
  <c r="S32" i="34"/>
  <c r="AA32" i="34"/>
  <c r="U30" i="34"/>
  <c r="AB30" i="34"/>
  <c r="S37" i="34"/>
  <c r="U38" i="34"/>
  <c r="AC40" i="34"/>
  <c r="W40" i="34"/>
  <c r="AA19" i="34"/>
  <c r="S19" i="34"/>
  <c r="AA36" i="34"/>
  <c r="S36" i="34"/>
  <c r="AA8" i="34"/>
  <c r="S8" i="34"/>
  <c r="AB9" i="34"/>
  <c r="U9" i="34"/>
  <c r="U32" i="34"/>
  <c r="AC43" i="34"/>
  <c r="W43" i="34"/>
  <c r="W23" i="34"/>
  <c r="AC23" i="34"/>
  <c r="AC35" i="34"/>
  <c r="W35" i="34"/>
  <c r="U12" i="34"/>
  <c r="AB12" i="34"/>
  <c r="AB28" i="33"/>
  <c r="AC37" i="33"/>
  <c r="W46" i="33"/>
  <c r="U39" i="33"/>
  <c r="U38" i="33"/>
  <c r="S33" i="33"/>
  <c r="AB34" i="33"/>
  <c r="U44" i="33"/>
  <c r="AB44" i="33"/>
  <c r="S30" i="33"/>
  <c r="AA30" i="33"/>
  <c r="AC14" i="33"/>
  <c r="W14" i="33"/>
  <c r="AC30" i="33"/>
  <c r="W30" i="33"/>
  <c r="AC13" i="33"/>
  <c r="U15" i="33"/>
  <c r="S11" i="33"/>
  <c r="U37" i="33"/>
  <c r="AC28" i="33"/>
  <c r="W8" i="33"/>
  <c r="S44" i="21"/>
  <c r="AB42" i="21"/>
  <c r="U28" i="21"/>
  <c r="AA11" i="21"/>
  <c r="I101" i="21"/>
  <c r="J101" i="21" s="1"/>
  <c r="K101" i="21" s="1"/>
  <c r="L101" i="21" s="1"/>
  <c r="M101" i="21" s="1"/>
  <c r="F33" i="21"/>
  <c r="J33" i="21"/>
  <c r="W33" i="21" s="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F29" i="21"/>
  <c r="S29" i="21" s="1"/>
  <c r="F13" i="21"/>
  <c r="AC38" i="21"/>
  <c r="H32" i="21"/>
  <c r="U32" i="21" s="1"/>
  <c r="H9" i="21"/>
  <c r="J9" i="21"/>
  <c r="AC9" i="21" s="1"/>
  <c r="J32" i="21"/>
  <c r="F32" i="21"/>
  <c r="S32" i="21" s="1"/>
  <c r="U17" i="21"/>
  <c r="S19" i="21"/>
  <c r="S9" i="21"/>
  <c r="AA9" i="21"/>
  <c r="K141" i="21"/>
  <c r="K144" i="21"/>
  <c r="K143" i="21"/>
  <c r="U27" i="21"/>
  <c r="AB44" i="21"/>
  <c r="AA30" i="21"/>
  <c r="W13" i="21"/>
  <c r="W42" i="21"/>
  <c r="AC45" i="21"/>
  <c r="F10" i="21"/>
  <c r="K145" i="21"/>
  <c r="AA29" i="21"/>
  <c r="W31" i="21"/>
  <c r="S17" i="21"/>
  <c r="AA15" i="21"/>
  <c r="AC27" i="21"/>
  <c r="AC26" i="21"/>
  <c r="S28" i="21"/>
  <c r="AC34" i="21"/>
  <c r="W10" i="21"/>
  <c r="W12" i="21"/>
  <c r="AB36" i="21"/>
  <c r="W30" i="40"/>
  <c r="C19" i="39"/>
  <c r="C15" i="40"/>
  <c r="C17" i="40"/>
  <c r="C23" i="40"/>
  <c r="C21" i="40"/>
  <c r="U30" i="40"/>
  <c r="B54" i="43"/>
  <c r="B65" i="43"/>
  <c r="B49" i="43"/>
  <c r="B52" i="43"/>
  <c r="B56" i="43"/>
  <c r="B60" i="43"/>
  <c r="B63" i="43"/>
  <c r="B67" i="43"/>
  <c r="B10" i="49"/>
  <c r="E7" i="49"/>
  <c r="D23" i="15"/>
  <c r="D22" i="15"/>
  <c r="B9" i="49"/>
  <c r="E4" i="4" s="1"/>
  <c r="B5" i="62" s="1"/>
  <c r="B73" i="72" s="1"/>
  <c r="E8" i="49"/>
  <c r="E5" i="49"/>
  <c r="B8" i="49"/>
  <c r="F28" i="80"/>
  <c r="C28" i="80" s="1"/>
  <c r="M18" i="80"/>
  <c r="F32" i="79"/>
  <c r="F60" i="79" s="1"/>
  <c r="F32" i="80"/>
  <c r="F60" i="80" s="1"/>
  <c r="F28" i="79"/>
  <c r="C28" i="79" s="1"/>
  <c r="M18" i="79"/>
  <c r="AC24" i="36"/>
  <c r="W12" i="36"/>
  <c r="S12" i="34"/>
  <c r="W17" i="21"/>
  <c r="AA11" i="34"/>
  <c r="C7" i="43"/>
  <c r="F53" i="9"/>
  <c r="F32" i="78"/>
  <c r="F60" i="78" s="1"/>
  <c r="M18" i="78"/>
  <c r="F28" i="78"/>
  <c r="U39" i="40"/>
  <c r="AB39" i="40"/>
  <c r="AC23" i="35"/>
  <c r="W23" i="35"/>
  <c r="U12" i="36"/>
  <c r="AB12" i="36"/>
  <c r="W12" i="34"/>
  <c r="AC12" i="34"/>
  <c r="J53" i="67"/>
  <c r="Q52" i="67" s="1"/>
  <c r="O6" i="1"/>
  <c r="P6" i="1"/>
  <c r="F30" i="68"/>
  <c r="C30" i="68" s="1"/>
  <c r="F30" i="11"/>
  <c r="C48" i="11" s="1"/>
  <c r="F28" i="67"/>
  <c r="C28" i="67" s="1"/>
  <c r="F31" i="12"/>
  <c r="F52" i="9"/>
  <c r="M18" i="67"/>
  <c r="F32" i="67"/>
  <c r="F60" i="67" s="1"/>
  <c r="F30" i="69"/>
  <c r="F32" i="15"/>
  <c r="F60" i="15" s="1"/>
  <c r="M18" i="15"/>
  <c r="F28" i="15"/>
  <c r="T11" i="1"/>
  <c r="D9" i="69"/>
  <c r="C9" i="69" s="1"/>
  <c r="D19" i="12"/>
  <c r="C19" i="12" s="1"/>
  <c r="AQ9" i="1"/>
  <c r="AR11" i="1"/>
  <c r="T9" i="1"/>
  <c r="D9" i="68"/>
  <c r="C9" i="68" s="1"/>
  <c r="S39" i="40"/>
  <c r="AA12" i="33"/>
  <c r="D68" i="9"/>
  <c r="F54" i="9"/>
  <c r="J32" i="39"/>
  <c r="AC32" i="39" s="1"/>
  <c r="H32" i="39"/>
  <c r="AA32" i="39"/>
  <c r="S32" i="39"/>
  <c r="AB9" i="35"/>
  <c r="AA9" i="35"/>
  <c r="S9" i="35"/>
  <c r="AC17" i="37"/>
  <c r="S17" i="37"/>
  <c r="J19" i="37"/>
  <c r="G75" i="37"/>
  <c r="S19" i="37"/>
  <c r="AA19" i="37"/>
  <c r="AA23" i="37"/>
  <c r="J23" i="37"/>
  <c r="W23" i="37" s="1"/>
  <c r="J10" i="37"/>
  <c r="W10" i="37" s="1"/>
  <c r="I60" i="37"/>
  <c r="G63" i="37"/>
  <c r="H63" i="37" s="1"/>
  <c r="I63" i="37" s="1"/>
  <c r="J63" i="37" s="1"/>
  <c r="K63" i="37" s="1"/>
  <c r="L63" i="37" s="1"/>
  <c r="M63" i="37" s="1"/>
  <c r="H11" i="37"/>
  <c r="AB10" i="37"/>
  <c r="G70" i="34"/>
  <c r="H70" i="34" s="1"/>
  <c r="H11" i="34"/>
  <c r="AB10" i="34"/>
  <c r="J10" i="34"/>
  <c r="AC10" i="34" s="1"/>
  <c r="I67" i="34"/>
  <c r="AB41" i="33"/>
  <c r="U41" i="33"/>
  <c r="H111" i="33"/>
  <c r="I111" i="33" s="1"/>
  <c r="J111" i="33" s="1"/>
  <c r="K111" i="33" s="1"/>
  <c r="L111" i="33" s="1"/>
  <c r="M111" i="33" s="1"/>
  <c r="J36" i="33"/>
  <c r="H36" i="33"/>
  <c r="AB36" i="33" s="1"/>
  <c r="S36" i="33"/>
  <c r="AA36" i="33"/>
  <c r="AC32" i="33"/>
  <c r="W32" i="33"/>
  <c r="G91" i="33"/>
  <c r="H91" i="33" s="1"/>
  <c r="I91" i="33" s="1"/>
  <c r="J91" i="33" s="1"/>
  <c r="K91" i="33" s="1"/>
  <c r="L91" i="33" s="1"/>
  <c r="M91" i="33" s="1"/>
  <c r="J27" i="33"/>
  <c r="AC27" i="33" s="1"/>
  <c r="AB25" i="33"/>
  <c r="S25" i="33"/>
  <c r="AA25" i="33"/>
  <c r="G87" i="33"/>
  <c r="H87" i="33" s="1"/>
  <c r="I87" i="33" s="1"/>
  <c r="J87" i="33" s="1"/>
  <c r="K87" i="33" s="1"/>
  <c r="L87" i="33" s="1"/>
  <c r="M87" i="33" s="1"/>
  <c r="J25" i="33"/>
  <c r="AC25" i="33" s="1"/>
  <c r="F23" i="33"/>
  <c r="S23" i="33" s="1"/>
  <c r="G85" i="33"/>
  <c r="W23" i="33"/>
  <c r="H19" i="33"/>
  <c r="AB19" i="33" s="1"/>
  <c r="G81" i="33"/>
  <c r="G79" i="33"/>
  <c r="H17" i="33"/>
  <c r="AB17" i="33" s="1"/>
  <c r="F17" i="33"/>
  <c r="AA17" i="33" s="1"/>
  <c r="AC17" i="33"/>
  <c r="AC10" i="33"/>
  <c r="W10" i="33"/>
  <c r="AC37" i="21"/>
  <c r="U33" i="21"/>
  <c r="S37" i="21"/>
  <c r="AA23" i="21"/>
  <c r="AB15" i="21"/>
  <c r="J23" i="21"/>
  <c r="AC23" i="21" s="1"/>
  <c r="F85" i="21"/>
  <c r="G85" i="21" s="1"/>
  <c r="H23" i="21"/>
  <c r="AB23" i="21" s="1"/>
  <c r="D6" i="52"/>
  <c r="O14" i="1"/>
  <c r="P14" i="1"/>
  <c r="O19" i="43"/>
  <c r="E52" i="37"/>
  <c r="F52" i="37" s="1"/>
  <c r="E58" i="21"/>
  <c r="F58" i="21" s="1"/>
  <c r="G58" i="21" s="1"/>
  <c r="H58" i="21" s="1"/>
  <c r="E48" i="35"/>
  <c r="F48" i="35" s="1"/>
  <c r="G48" i="35"/>
  <c r="H48" i="35" s="1"/>
  <c r="I48" i="35" s="1"/>
  <c r="F59" i="34"/>
  <c r="G59" i="34" s="1"/>
  <c r="H59" i="34" s="1"/>
  <c r="I59" i="34" s="1"/>
  <c r="C65" i="40"/>
  <c r="D63" i="40"/>
  <c r="D65" i="40" s="1"/>
  <c r="AP7" i="1"/>
  <c r="C36" i="69" s="1"/>
  <c r="AC33" i="21"/>
  <c r="S33" i="21"/>
  <c r="AA33" i="21"/>
  <c r="W32" i="21"/>
  <c r="AC32" i="21"/>
  <c r="AB9" i="21"/>
  <c r="U9" i="21"/>
  <c r="AA32" i="21"/>
  <c r="W9" i="21"/>
  <c r="AB32" i="21"/>
  <c r="AA10" i="21"/>
  <c r="S10" i="21"/>
  <c r="O7" i="1"/>
  <c r="C30" i="11"/>
  <c r="A18" i="62"/>
  <c r="B64" i="72" s="1"/>
  <c r="U32" i="39"/>
  <c r="AB32" i="39"/>
  <c r="W19" i="37"/>
  <c r="AC19" i="37"/>
  <c r="AC23" i="37"/>
  <c r="AB11" i="37"/>
  <c r="U11" i="37"/>
  <c r="J11" i="37"/>
  <c r="W11" i="37" s="1"/>
  <c r="AC10" i="37"/>
  <c r="U11" i="34"/>
  <c r="AB11" i="34"/>
  <c r="W10" i="34"/>
  <c r="I70" i="34"/>
  <c r="J70" i="34" s="1"/>
  <c r="K70" i="34" s="1"/>
  <c r="L70" i="34" s="1"/>
  <c r="M70" i="34" s="1"/>
  <c r="J11" i="34"/>
  <c r="AC36" i="33"/>
  <c r="W36" i="33"/>
  <c r="U36" i="33"/>
  <c r="W27" i="33"/>
  <c r="W25" i="33"/>
  <c r="AA23" i="33"/>
  <c r="U19" i="33"/>
  <c r="S17" i="33"/>
  <c r="U17" i="33"/>
  <c r="U23" i="21"/>
  <c r="W23" i="21"/>
  <c r="P7" i="1"/>
  <c r="E63" i="40"/>
  <c r="G39" i="43"/>
  <c r="I39" i="43" s="1"/>
  <c r="F1" i="67"/>
  <c r="AC11" i="37"/>
  <c r="W11" i="34"/>
  <c r="AC11" i="34"/>
  <c r="F34" i="11"/>
  <c r="C36" i="11" s="1"/>
  <c r="F11" i="12"/>
  <c r="C23" i="12" s="1"/>
  <c r="F34" i="68"/>
  <c r="C36" i="68" s="1"/>
  <c r="E17" i="12"/>
  <c r="B31" i="1"/>
  <c r="E19" i="69"/>
  <c r="E19" i="11"/>
  <c r="E19" i="68"/>
  <c r="C19" i="68"/>
  <c r="AG7" i="1"/>
  <c r="AG6" i="1"/>
  <c r="H109" i="9"/>
  <c r="M49" i="9"/>
  <c r="L68" i="9" s="1"/>
  <c r="M68" i="9" s="1"/>
  <c r="H110" i="9"/>
  <c r="D18" i="53"/>
  <c r="B35" i="72" s="1"/>
  <c r="D124" i="9"/>
  <c r="H14" i="74" s="1"/>
  <c r="B7" i="74" s="1"/>
  <c r="D16" i="53"/>
  <c r="B34" i="72" s="1"/>
  <c r="D10" i="52"/>
  <c r="D125" i="9"/>
  <c r="D11" i="52" s="1"/>
  <c r="H112" i="9"/>
  <c r="D21" i="53" s="1"/>
  <c r="B39" i="72" s="1"/>
  <c r="H111" i="9"/>
  <c r="D126" i="9" s="1"/>
  <c r="D59" i="9"/>
  <c r="M55" i="9" s="1"/>
  <c r="F13" i="67"/>
  <c r="F42" i="67"/>
  <c r="F16" i="67"/>
  <c r="L48" i="67"/>
  <c r="F7" i="15"/>
  <c r="M23" i="15"/>
  <c r="AO9" i="1"/>
  <c r="M9" i="67"/>
  <c r="M23" i="67"/>
  <c r="AO10" i="1"/>
  <c r="F20" i="31"/>
  <c r="F42" i="15"/>
  <c r="M8" i="67"/>
  <c r="M9" i="15"/>
  <c r="M24" i="15"/>
  <c r="F9" i="78"/>
  <c r="F8" i="15"/>
  <c r="F40" i="67"/>
  <c r="B12" i="76"/>
  <c r="F37" i="15"/>
  <c r="D2" i="21"/>
  <c r="L47" i="67"/>
  <c r="F4" i="73"/>
  <c r="E13" i="76"/>
  <c r="M27" i="15"/>
  <c r="B13" i="76"/>
  <c r="F43" i="15"/>
  <c r="B10" i="76"/>
  <c r="AO13" i="1"/>
  <c r="F3" i="73"/>
  <c r="E10" i="76"/>
  <c r="F35" i="67"/>
  <c r="C76" i="67"/>
  <c r="M22" i="67"/>
  <c r="M28" i="15"/>
  <c r="M26" i="67"/>
  <c r="F38" i="67"/>
  <c r="D2" i="37"/>
  <c r="M6" i="67"/>
  <c r="M24" i="67"/>
  <c r="F7" i="67"/>
  <c r="M8" i="15"/>
  <c r="AO11" i="1"/>
  <c r="L47" i="15"/>
  <c r="M26" i="15"/>
  <c r="F36" i="67"/>
  <c r="F9" i="15"/>
  <c r="D2" i="36"/>
  <c r="D2" i="34"/>
  <c r="F7" i="73"/>
  <c r="E9" i="76"/>
  <c r="E7" i="76"/>
  <c r="M22" i="15"/>
  <c r="F6" i="67"/>
  <c r="D2" i="35"/>
  <c r="F36" i="15"/>
  <c r="M6" i="15"/>
  <c r="F5" i="73"/>
  <c r="F43" i="67"/>
  <c r="F26" i="15"/>
  <c r="J15" i="15"/>
  <c r="F9" i="67"/>
  <c r="E12" i="76"/>
  <c r="F26" i="67"/>
  <c r="F38" i="15"/>
  <c r="M28" i="67"/>
  <c r="D2" i="33"/>
  <c r="M21" i="67"/>
  <c r="M29" i="67"/>
  <c r="B9" i="76"/>
  <c r="L48" i="15"/>
  <c r="F8" i="78"/>
  <c r="F40" i="15"/>
  <c r="E8" i="76"/>
  <c r="M29" i="15"/>
  <c r="F37" i="67"/>
  <c r="B8" i="76"/>
  <c r="AO12" i="1"/>
  <c r="B11" i="76"/>
  <c r="C76" i="15"/>
  <c r="E2" i="69"/>
  <c r="J15" i="67"/>
  <c r="F16" i="15"/>
  <c r="E2" i="68"/>
  <c r="E11" i="76"/>
  <c r="B7" i="76"/>
  <c r="F41" i="67"/>
  <c r="F6" i="73"/>
  <c r="M27" i="67"/>
  <c r="F8" i="67"/>
  <c r="E11" i="49" l="1"/>
  <c r="B4" i="49"/>
  <c r="E10" i="49"/>
  <c r="E16" i="49"/>
  <c r="E6" i="49"/>
  <c r="U21" i="39"/>
  <c r="AB21" i="39"/>
  <c r="AZ558" i="3"/>
  <c r="D58" i="33"/>
  <c r="C16" i="43"/>
  <c r="C5" i="43" s="1"/>
  <c r="S19" i="33"/>
  <c r="AA19" i="33"/>
  <c r="C31" i="12"/>
  <c r="C28" i="15"/>
  <c r="C13" i="12"/>
  <c r="AZ24" i="3"/>
  <c r="AZ276" i="3"/>
  <c r="AC33" i="34"/>
  <c r="W33" i="34"/>
  <c r="U20" i="36"/>
  <c r="AB20" i="36"/>
  <c r="H62" i="43"/>
  <c r="H61" i="43"/>
  <c r="H60" i="43"/>
  <c r="H59" i="43"/>
  <c r="H67" i="43"/>
  <c r="AB19" i="37"/>
  <c r="U19" i="37"/>
  <c r="AB32" i="40"/>
  <c r="U32" i="40"/>
  <c r="AB43" i="33"/>
  <c r="U43" i="33"/>
  <c r="U25" i="21"/>
  <c r="AB25" i="21"/>
  <c r="AZ535" i="3"/>
  <c r="AZ528" i="3"/>
  <c r="W45" i="33"/>
  <c r="AC45" i="33"/>
  <c r="W31" i="33"/>
  <c r="AC31" i="33"/>
  <c r="U29" i="33"/>
  <c r="AB29" i="33"/>
  <c r="S13" i="33"/>
  <c r="AA13" i="33"/>
  <c r="AA45" i="21"/>
  <c r="S45" i="21"/>
  <c r="W32" i="39"/>
  <c r="K120" i="9"/>
  <c r="AB10" i="33"/>
  <c r="U23" i="33"/>
  <c r="AB27" i="33"/>
  <c r="W35" i="33"/>
  <c r="W26" i="35"/>
  <c r="AA21" i="39"/>
  <c r="C24" i="12"/>
  <c r="C77" i="9"/>
  <c r="C74" i="9" s="1"/>
  <c r="C48" i="69"/>
  <c r="AA9" i="34"/>
  <c r="AC36" i="35"/>
  <c r="U23" i="35"/>
  <c r="S27" i="21"/>
  <c r="AA13" i="21"/>
  <c r="S13" i="21"/>
  <c r="U45" i="21"/>
  <c r="AB45" i="21"/>
  <c r="AA31" i="33"/>
  <c r="U14" i="34"/>
  <c r="S46" i="34"/>
  <c r="AA30" i="34"/>
  <c r="H64" i="43"/>
  <c r="H66" i="43"/>
  <c r="L27" i="6"/>
  <c r="AB35" i="34"/>
  <c r="AA12" i="37"/>
  <c r="U9" i="37"/>
  <c r="AA11" i="35"/>
  <c r="AA10" i="35"/>
  <c r="U10" i="36"/>
  <c r="S16" i="36"/>
  <c r="AB14" i="36"/>
  <c r="S29" i="36"/>
  <c r="AA26" i="36"/>
  <c r="AR13" i="1"/>
  <c r="AQ13" i="1"/>
  <c r="T13" i="1"/>
  <c r="AZ385" i="3"/>
  <c r="AZ414" i="3"/>
  <c r="BC5" i="3"/>
  <c r="W39" i="34"/>
  <c r="AC39" i="34"/>
  <c r="S35" i="33"/>
  <c r="AA35" i="33"/>
  <c r="AA20" i="35"/>
  <c r="S20" i="35"/>
  <c r="E65" i="40"/>
  <c r="F63" i="40"/>
  <c r="AQ10" i="1"/>
  <c r="T10" i="1"/>
  <c r="AZ42" i="3"/>
  <c r="AZ32" i="3"/>
  <c r="AZ137" i="3"/>
  <c r="AZ221" i="3"/>
  <c r="AZ467" i="3"/>
  <c r="W27" i="36"/>
  <c r="AC27" i="36"/>
  <c r="W34" i="33"/>
  <c r="AC34" i="33"/>
  <c r="AA15" i="37"/>
  <c r="S15" i="37"/>
  <c r="AC43" i="33"/>
  <c r="W43" i="33"/>
  <c r="AA37" i="37"/>
  <c r="S37" i="37"/>
  <c r="AC32" i="37"/>
  <c r="W32" i="37"/>
  <c r="AB24" i="35"/>
  <c r="U24" i="35"/>
  <c r="U41" i="34"/>
  <c r="AB41" i="34"/>
  <c r="AA14" i="36"/>
  <c r="S14" i="36"/>
  <c r="AA39" i="33"/>
  <c r="S39" i="33"/>
  <c r="AC25" i="21"/>
  <c r="W25" i="21"/>
  <c r="W32" i="34"/>
  <c r="AC32" i="34"/>
  <c r="S33" i="35"/>
  <c r="AA33" i="35"/>
  <c r="AA28" i="33"/>
  <c r="S28" i="33"/>
  <c r="U26" i="33"/>
  <c r="AB26" i="33"/>
  <c r="J39" i="37"/>
  <c r="H39" i="37"/>
  <c r="F39" i="37"/>
  <c r="AC40" i="39"/>
  <c r="W40" i="39"/>
  <c r="J12" i="39"/>
  <c r="F12" i="39"/>
  <c r="H12" i="39"/>
  <c r="AB12" i="39" s="1"/>
  <c r="J14" i="39"/>
  <c r="H14" i="39"/>
  <c r="F91" i="39"/>
  <c r="G91" i="39" s="1"/>
  <c r="H17" i="39"/>
  <c r="F17" i="39"/>
  <c r="J17" i="39"/>
  <c r="F95" i="39"/>
  <c r="G95" i="39" s="1"/>
  <c r="J21" i="39"/>
  <c r="AB40" i="40"/>
  <c r="U40" i="40"/>
  <c r="F38" i="40"/>
  <c r="J38" i="40"/>
  <c r="W40" i="40"/>
  <c r="AC40" i="40"/>
  <c r="AA40" i="33"/>
  <c r="S40" i="33"/>
  <c r="S38" i="34"/>
  <c r="AA38" i="34"/>
  <c r="W38" i="34"/>
  <c r="AC38" i="34"/>
  <c r="W42" i="34"/>
  <c r="AC42" i="34"/>
  <c r="AA31" i="35"/>
  <c r="S31" i="35"/>
  <c r="F26" i="35"/>
  <c r="H26" i="35"/>
  <c r="AB30" i="36"/>
  <c r="U30" i="36"/>
  <c r="F36" i="39"/>
  <c r="J36" i="39"/>
  <c r="H36" i="39"/>
  <c r="BA584" i="3"/>
  <c r="BA583" i="3"/>
  <c r="BL582" i="3"/>
  <c r="BA582" i="3"/>
  <c r="BA581" i="3"/>
  <c r="BL580" i="3"/>
  <c r="BA580" i="3"/>
  <c r="BL578" i="3"/>
  <c r="AZ578" i="3" s="1"/>
  <c r="BA577" i="3"/>
  <c r="BL576" i="3"/>
  <c r="BA576" i="3"/>
  <c r="BA575" i="3"/>
  <c r="BL574" i="3"/>
  <c r="BA574" i="3"/>
  <c r="AZ574" i="3" s="1"/>
  <c r="BL573" i="3"/>
  <c r="BA573" i="3"/>
  <c r="BL572" i="3"/>
  <c r="BA572" i="3"/>
  <c r="AZ572" i="3" s="1"/>
  <c r="BA570" i="3"/>
  <c r="AZ570" i="3" s="1"/>
  <c r="BA569" i="3"/>
  <c r="AZ569" i="3" s="1"/>
  <c r="BL568" i="3"/>
  <c r="BA568" i="3"/>
  <c r="AZ568" i="3" s="1"/>
  <c r="BA567" i="3"/>
  <c r="BL566" i="3"/>
  <c r="BA566" i="3"/>
  <c r="BL565" i="3"/>
  <c r="BA565" i="3"/>
  <c r="BL564" i="3"/>
  <c r="BA564" i="3"/>
  <c r="BL562" i="3"/>
  <c r="AZ562" i="3" s="1"/>
  <c r="BA561" i="3"/>
  <c r="BL560" i="3"/>
  <c r="BA560" i="3"/>
  <c r="BA559" i="3"/>
  <c r="AZ559" i="3" s="1"/>
  <c r="BA558" i="3"/>
  <c r="BA557" i="3"/>
  <c r="BL556" i="3"/>
  <c r="BA556" i="3"/>
  <c r="AZ556" i="3" s="1"/>
  <c r="BL555" i="3"/>
  <c r="BA555" i="3"/>
  <c r="BL554" i="3"/>
  <c r="BA554" i="3"/>
  <c r="AZ554" i="3" s="1"/>
  <c r="BL552" i="3"/>
  <c r="BA552" i="3"/>
  <c r="AZ552" i="3" s="1"/>
  <c r="BA551" i="3"/>
  <c r="BL550" i="3"/>
  <c r="AZ550" i="3" s="1"/>
  <c r="BL549" i="3"/>
  <c r="BA549" i="3"/>
  <c r="AZ549" i="3" s="1"/>
  <c r="BL548" i="3"/>
  <c r="BA548" i="3"/>
  <c r="BA547" i="3"/>
  <c r="BA545" i="3"/>
  <c r="BL544" i="3"/>
  <c r="BA544" i="3"/>
  <c r="AZ544" i="3" s="1"/>
  <c r="BL543" i="3"/>
  <c r="AZ543" i="3" s="1"/>
  <c r="BL542" i="3"/>
  <c r="BA542" i="3"/>
  <c r="BA541" i="3"/>
  <c r="BL540" i="3"/>
  <c r="BA540" i="3"/>
  <c r="AZ540" i="3" s="1"/>
  <c r="BA539" i="3"/>
  <c r="BL538" i="3"/>
  <c r="AZ538" i="3" s="1"/>
  <c r="BA537" i="3"/>
  <c r="AZ537" i="3" s="1"/>
  <c r="BL536" i="3"/>
  <c r="BA536" i="3"/>
  <c r="BL534" i="3"/>
  <c r="BA534" i="3"/>
  <c r="BA533" i="3"/>
  <c r="AZ533" i="3" s="1"/>
  <c r="BL532" i="3"/>
  <c r="BA532" i="3"/>
  <c r="AZ532" i="3" s="1"/>
  <c r="BA531" i="3"/>
  <c r="AZ531" i="3" s="1"/>
  <c r="BL530" i="3"/>
  <c r="BA530" i="3"/>
  <c r="BA529" i="3"/>
  <c r="BL528" i="3"/>
  <c r="BL527" i="3"/>
  <c r="AZ527" i="3" s="1"/>
  <c r="AZ521" i="3"/>
  <c r="BQ5" i="3"/>
  <c r="F28" i="6" s="1"/>
  <c r="BS5" i="3"/>
  <c r="BK5" i="3"/>
  <c r="BE5" i="3"/>
  <c r="BH5" i="3"/>
  <c r="BL526" i="3"/>
  <c r="BA526" i="3"/>
  <c r="BL524" i="3"/>
  <c r="AZ524" i="3" s="1"/>
  <c r="BL522" i="3"/>
  <c r="BA522" i="3"/>
  <c r="BA519" i="3"/>
  <c r="BA515" i="3"/>
  <c r="BA511" i="3"/>
  <c r="AZ511" i="3" s="1"/>
  <c r="BA505" i="3"/>
  <c r="BL500" i="3"/>
  <c r="BA500" i="3"/>
  <c r="BL498" i="3"/>
  <c r="AZ498" i="3" s="1"/>
  <c r="BL496" i="3"/>
  <c r="AZ496" i="3" s="1"/>
  <c r="BG5" i="3"/>
  <c r="BA494" i="3"/>
  <c r="AZ494" i="3" s="1"/>
  <c r="BJ5" i="3"/>
  <c r="P16" i="1"/>
  <c r="C11" i="12" s="1"/>
  <c r="C15" i="12" s="1"/>
  <c r="C28" i="78"/>
  <c r="AZ22" i="3"/>
  <c r="AZ118" i="3"/>
  <c r="AZ252" i="3"/>
  <c r="AZ461" i="3"/>
  <c r="AZ449" i="3"/>
  <c r="BN5" i="3"/>
  <c r="G29" i="6" s="1"/>
  <c r="E29" i="6" s="1"/>
  <c r="K15" i="1" s="1"/>
  <c r="AZ337" i="3"/>
  <c r="AZ345" i="3"/>
  <c r="BL495" i="3"/>
  <c r="AZ495" i="3" s="1"/>
  <c r="BL499" i="3"/>
  <c r="AZ499" i="3" s="1"/>
  <c r="BL505" i="3"/>
  <c r="AZ505" i="3" s="1"/>
  <c r="BL509" i="3"/>
  <c r="AZ509" i="3" s="1"/>
  <c r="BL513" i="3"/>
  <c r="AZ513" i="3" s="1"/>
  <c r="BL519" i="3"/>
  <c r="AZ519" i="3" s="1"/>
  <c r="BL525" i="3"/>
  <c r="BL547" i="3"/>
  <c r="AZ547" i="3" s="1"/>
  <c r="BL551" i="3"/>
  <c r="BL569" i="3"/>
  <c r="BL575" i="3"/>
  <c r="BL579" i="3"/>
  <c r="AZ579" i="3" s="1"/>
  <c r="BL583" i="3"/>
  <c r="G557" i="3"/>
  <c r="AB30" i="35"/>
  <c r="U30" i="35"/>
  <c r="AA35" i="39"/>
  <c r="S35" i="39"/>
  <c r="F28" i="34"/>
  <c r="J28" i="34"/>
  <c r="AB8" i="35"/>
  <c r="U8" i="35"/>
  <c r="F32" i="36"/>
  <c r="H32" i="36"/>
  <c r="J32" i="36"/>
  <c r="AB31" i="36"/>
  <c r="U31" i="36"/>
  <c r="BA525" i="3"/>
  <c r="BL520" i="3"/>
  <c r="AZ520" i="3" s="1"/>
  <c r="BL518" i="3"/>
  <c r="BA518" i="3"/>
  <c r="BL516" i="3"/>
  <c r="AZ516" i="3" s="1"/>
  <c r="BL514" i="3"/>
  <c r="BA514" i="3"/>
  <c r="AZ514" i="3" s="1"/>
  <c r="BA510" i="3"/>
  <c r="AZ510" i="3" s="1"/>
  <c r="BL508" i="3"/>
  <c r="AZ508" i="3" s="1"/>
  <c r="BL506" i="3"/>
  <c r="BA506" i="3"/>
  <c r="AZ506" i="3" s="1"/>
  <c r="BL504" i="3"/>
  <c r="AZ504" i="3" s="1"/>
  <c r="BL502" i="3"/>
  <c r="AZ502" i="3" s="1"/>
  <c r="BA501" i="3"/>
  <c r="BA497" i="3"/>
  <c r="AZ497" i="3" s="1"/>
  <c r="BP5" i="3"/>
  <c r="BR5" i="3"/>
  <c r="G28" i="6" s="1"/>
  <c r="G30" i="6" s="1"/>
  <c r="G31" i="6" s="1"/>
  <c r="BF5" i="3"/>
  <c r="BA493" i="3"/>
  <c r="AZ493" i="3" s="1"/>
  <c r="AZ379" i="3"/>
  <c r="AZ303" i="3"/>
  <c r="AZ389" i="3"/>
  <c r="AZ347" i="3"/>
  <c r="AZ344" i="3"/>
  <c r="AZ321" i="3"/>
  <c r="AZ179" i="3"/>
  <c r="AZ120" i="3"/>
  <c r="AZ394" i="3"/>
  <c r="AZ360" i="3"/>
  <c r="BL497" i="3"/>
  <c r="BL501" i="3"/>
  <c r="BL507" i="3"/>
  <c r="AZ507" i="3" s="1"/>
  <c r="BL511" i="3"/>
  <c r="BL515" i="3"/>
  <c r="BL523" i="3"/>
  <c r="AZ523" i="3" s="1"/>
  <c r="BL529" i="3"/>
  <c r="BL533" i="3"/>
  <c r="BL539" i="3"/>
  <c r="AZ539" i="3" s="1"/>
  <c r="BL545" i="3"/>
  <c r="AZ545" i="3" s="1"/>
  <c r="BL553" i="3"/>
  <c r="AZ553" i="3" s="1"/>
  <c r="BL561" i="3"/>
  <c r="AZ561" i="3" s="1"/>
  <c r="BL567" i="3"/>
  <c r="AZ567" i="3" s="1"/>
  <c r="BL571" i="3"/>
  <c r="AZ571" i="3" s="1"/>
  <c r="BL577" i="3"/>
  <c r="BL581" i="3"/>
  <c r="AZ581" i="3" s="1"/>
  <c r="BL557" i="3"/>
  <c r="AB31" i="34"/>
  <c r="U31" i="34"/>
  <c r="AC33" i="37"/>
  <c r="W33" i="37"/>
  <c r="W11" i="40"/>
  <c r="AC11" i="40"/>
  <c r="U11" i="21"/>
  <c r="AB11" i="21"/>
  <c r="AA34" i="21"/>
  <c r="S34" i="21"/>
  <c r="J29" i="21"/>
  <c r="H29" i="21"/>
  <c r="H31" i="21"/>
  <c r="F31" i="21"/>
  <c r="AA8" i="33"/>
  <c r="S8" i="33"/>
  <c r="AC33" i="33"/>
  <c r="W33" i="33"/>
  <c r="AA38" i="33"/>
  <c r="S38" i="33"/>
  <c r="AC8" i="34"/>
  <c r="W8" i="34"/>
  <c r="H12" i="35"/>
  <c r="F12" i="35"/>
  <c r="W27" i="35"/>
  <c r="AC27" i="35"/>
  <c r="U8" i="36"/>
  <c r="AB8" i="36"/>
  <c r="AB14" i="37"/>
  <c r="U14" i="37"/>
  <c r="J26" i="37"/>
  <c r="H26" i="37"/>
  <c r="F26" i="37"/>
  <c r="H25" i="37"/>
  <c r="J25" i="37"/>
  <c r="F25" i="37"/>
  <c r="U8" i="39"/>
  <c r="AB8" i="39"/>
  <c r="E124" i="39"/>
  <c r="F124" i="39" s="1"/>
  <c r="G124" i="39" s="1"/>
  <c r="H124" i="39" s="1"/>
  <c r="I124" i="39" s="1"/>
  <c r="J124" i="39" s="1"/>
  <c r="K124" i="39" s="1"/>
  <c r="L124" i="39" s="1"/>
  <c r="M124" i="39" s="1"/>
  <c r="F41" i="39"/>
  <c r="S9" i="40"/>
  <c r="AA9" i="40"/>
  <c r="AC32" i="40"/>
  <c r="W32" i="40"/>
  <c r="U41" i="21"/>
  <c r="AB41" i="21"/>
  <c r="G558" i="3"/>
  <c r="G556" i="3"/>
  <c r="G400" i="3"/>
  <c r="BL401" i="3"/>
  <c r="G402" i="3"/>
  <c r="BA403" i="3"/>
  <c r="BL403" i="3"/>
  <c r="BA404" i="3"/>
  <c r="AZ404" i="3" s="1"/>
  <c r="BA406" i="3"/>
  <c r="AZ406" i="3" s="1"/>
  <c r="BA408" i="3"/>
  <c r="AZ408" i="3" s="1"/>
  <c r="BA412" i="3"/>
  <c r="AZ412" i="3" s="1"/>
  <c r="BL414" i="3"/>
  <c r="BA415" i="3"/>
  <c r="AZ415" i="3" s="1"/>
  <c r="BA417" i="3"/>
  <c r="AZ417" i="3" s="1"/>
  <c r="BA419" i="3"/>
  <c r="AZ419" i="3" s="1"/>
  <c r="G420" i="3"/>
  <c r="BL421" i="3"/>
  <c r="G422" i="3"/>
  <c r="BL423" i="3"/>
  <c r="AZ423" i="3" s="1"/>
  <c r="G424" i="3"/>
  <c r="BL425" i="3"/>
  <c r="G426" i="3"/>
  <c r="BA427" i="3"/>
  <c r="AZ427" i="3" s="1"/>
  <c r="BL427" i="3"/>
  <c r="BL429" i="3"/>
  <c r="AZ429" i="3" s="1"/>
  <c r="G430" i="3"/>
  <c r="BL431" i="3"/>
  <c r="G432" i="3"/>
  <c r="G434" i="3"/>
  <c r="G438" i="3"/>
  <c r="G440" i="3"/>
  <c r="BL441" i="3"/>
  <c r="G442" i="3"/>
  <c r="BA443" i="3"/>
  <c r="BL443" i="3"/>
  <c r="BA444" i="3"/>
  <c r="AZ444" i="3" s="1"/>
  <c r="BA446" i="3"/>
  <c r="AZ446" i="3" s="1"/>
  <c r="BA449" i="3"/>
  <c r="BA451" i="3"/>
  <c r="AZ451" i="3" s="1"/>
  <c r="G452" i="3"/>
  <c r="BL453" i="3"/>
  <c r="G454" i="3"/>
  <c r="BL455" i="3"/>
  <c r="AZ455" i="3" s="1"/>
  <c r="G456" i="3"/>
  <c r="BA457" i="3"/>
  <c r="AZ457" i="3" s="1"/>
  <c r="BL457" i="3"/>
  <c r="BA459" i="3"/>
  <c r="AZ459" i="3" s="1"/>
  <c r="BA461" i="3"/>
  <c r="BL463" i="3"/>
  <c r="BA465" i="3"/>
  <c r="AZ465" i="3" s="1"/>
  <c r="G466" i="3"/>
  <c r="BL467" i="3"/>
  <c r="G468" i="3"/>
  <c r="G474" i="3"/>
  <c r="BL475" i="3"/>
  <c r="BL477" i="3"/>
  <c r="G478" i="3"/>
  <c r="BA479" i="3"/>
  <c r="BL479" i="3"/>
  <c r="BA481" i="3"/>
  <c r="BL481" i="3"/>
  <c r="BA482" i="3"/>
  <c r="AZ482" i="3" s="1"/>
  <c r="BA483" i="3"/>
  <c r="AZ483" i="3" s="1"/>
  <c r="BL484" i="3"/>
  <c r="AZ484" i="3" s="1"/>
  <c r="BA487" i="3"/>
  <c r="AZ487" i="3" s="1"/>
  <c r="G488" i="3"/>
  <c r="BL489" i="3"/>
  <c r="AZ489" i="3" s="1"/>
  <c r="G490" i="3"/>
  <c r="G492" i="3"/>
  <c r="BA303" i="3"/>
  <c r="BA307" i="3"/>
  <c r="AZ307" i="3" s="1"/>
  <c r="G315" i="3"/>
  <c r="BA316" i="3"/>
  <c r="AZ316" i="3" s="1"/>
  <c r="G327" i="3"/>
  <c r="BL328" i="3"/>
  <c r="AZ328" i="3" s="1"/>
  <c r="BA333" i="3"/>
  <c r="BL333" i="3"/>
  <c r="G351" i="3"/>
  <c r="BA352" i="3"/>
  <c r="AZ352" i="3" s="1"/>
  <c r="BA354" i="3"/>
  <c r="AZ354" i="3" s="1"/>
  <c r="BA370" i="3"/>
  <c r="AZ370" i="3" s="1"/>
  <c r="BA374" i="3"/>
  <c r="AZ374" i="3" s="1"/>
  <c r="G384" i="3"/>
  <c r="BL385" i="3"/>
  <c r="BA395" i="3"/>
  <c r="AZ395" i="3" s="1"/>
  <c r="G396" i="3"/>
  <c r="BA397" i="3"/>
  <c r="AZ397" i="3" s="1"/>
  <c r="BL397" i="3"/>
  <c r="BA209" i="3"/>
  <c r="AZ209" i="3" s="1"/>
  <c r="BL209" i="3"/>
  <c r="BA210" i="3"/>
  <c r="AZ210" i="3" s="1"/>
  <c r="BL212" i="3"/>
  <c r="AZ212" i="3" s="1"/>
  <c r="BA214" i="3"/>
  <c r="AZ214" i="3" s="1"/>
  <c r="G215" i="3"/>
  <c r="BA216" i="3"/>
  <c r="AZ216" i="3" s="1"/>
  <c r="BL216" i="3"/>
  <c r="BA218" i="3"/>
  <c r="AZ218" i="3" s="1"/>
  <c r="BL218" i="3"/>
  <c r="BA219" i="3"/>
  <c r="AZ219" i="3" s="1"/>
  <c r="BL221" i="3"/>
  <c r="BL223" i="3"/>
  <c r="AZ223" i="3" s="1"/>
  <c r="BL225" i="3"/>
  <c r="BL227" i="3"/>
  <c r="G228" i="3"/>
  <c r="BL229" i="3"/>
  <c r="G232" i="3"/>
  <c r="G234" i="3"/>
  <c r="BA238" i="3"/>
  <c r="AZ238" i="3" s="1"/>
  <c r="BA240" i="3"/>
  <c r="AZ240" i="3" s="1"/>
  <c r="BA242" i="3"/>
  <c r="AZ242" i="3" s="1"/>
  <c r="BL244" i="3"/>
  <c r="G247" i="3"/>
  <c r="G249" i="3"/>
  <c r="BL250" i="3"/>
  <c r="G251" i="3"/>
  <c r="BL252" i="3"/>
  <c r="G253" i="3"/>
  <c r="BA254" i="3"/>
  <c r="BL254" i="3"/>
  <c r="BA255" i="3"/>
  <c r="AZ255" i="3" s="1"/>
  <c r="BA257" i="3"/>
  <c r="AZ257" i="3" s="1"/>
  <c r="BA259" i="3"/>
  <c r="AZ259" i="3" s="1"/>
  <c r="BA261" i="3"/>
  <c r="AZ261" i="3" s="1"/>
  <c r="BA263" i="3"/>
  <c r="AZ263" i="3" s="1"/>
  <c r="BA265" i="3"/>
  <c r="AZ265" i="3" s="1"/>
  <c r="BL267" i="3"/>
  <c r="AZ267" i="3" s="1"/>
  <c r="BL269" i="3"/>
  <c r="AZ269" i="3" s="1"/>
  <c r="BL270" i="3"/>
  <c r="G271" i="3"/>
  <c r="BL272" i="3"/>
  <c r="AZ272" i="3" s="1"/>
  <c r="G273" i="3"/>
  <c r="BL274" i="3"/>
  <c r="G275" i="3"/>
  <c r="BL276" i="3"/>
  <c r="G277" i="3"/>
  <c r="G285" i="3"/>
  <c r="BA286" i="3"/>
  <c r="AZ286" i="3" s="1"/>
  <c r="G287" i="3"/>
  <c r="G289" i="3"/>
  <c r="BA290" i="3"/>
  <c r="BL290" i="3"/>
  <c r="BL292" i="3"/>
  <c r="AZ292" i="3" s="1"/>
  <c r="BA293" i="3"/>
  <c r="AZ293" i="3" s="1"/>
  <c r="BA295" i="3"/>
  <c r="AZ295" i="3" s="1"/>
  <c r="BA297" i="3"/>
  <c r="AZ297" i="3" s="1"/>
  <c r="BL299" i="3"/>
  <c r="AZ299" i="3" s="1"/>
  <c r="BA300" i="3"/>
  <c r="AZ300" i="3" s="1"/>
  <c r="BA114" i="3"/>
  <c r="AZ114" i="3" s="1"/>
  <c r="BA116" i="3"/>
  <c r="AZ116" i="3" s="1"/>
  <c r="BL118" i="3"/>
  <c r="G119" i="3"/>
  <c r="BA120" i="3"/>
  <c r="BL122" i="3"/>
  <c r="G123" i="3"/>
  <c r="BA124" i="3"/>
  <c r="AZ124" i="3" s="1"/>
  <c r="BA129" i="3"/>
  <c r="BL129" i="3"/>
  <c r="BL131" i="3"/>
  <c r="AZ131" i="3" s="1"/>
  <c r="G132" i="3"/>
  <c r="BA133" i="3"/>
  <c r="AZ133" i="3" s="1"/>
  <c r="G136" i="3"/>
  <c r="BL137" i="3"/>
  <c r="G140" i="3"/>
  <c r="BL141" i="3"/>
  <c r="AZ141" i="3" s="1"/>
  <c r="G144" i="3"/>
  <c r="BL145" i="3"/>
  <c r="AZ145" i="3" s="1"/>
  <c r="BL147" i="3"/>
  <c r="AZ147" i="3" s="1"/>
  <c r="BA150" i="3"/>
  <c r="BL150" i="3"/>
  <c r="BA153" i="3"/>
  <c r="AZ153" i="3" s="1"/>
  <c r="BA154" i="3"/>
  <c r="AZ154" i="3" s="1"/>
  <c r="BL158" i="3"/>
  <c r="G159" i="3"/>
  <c r="BA160" i="3"/>
  <c r="AZ160" i="3" s="1"/>
  <c r="G166" i="3"/>
  <c r="BA173" i="3"/>
  <c r="AZ173" i="3" s="1"/>
  <c r="G174" i="3"/>
  <c r="BA177" i="3"/>
  <c r="BL177" i="3"/>
  <c r="BL179" i="3"/>
  <c r="BA182" i="3"/>
  <c r="AZ182" i="3" s="1"/>
  <c r="BL182" i="3"/>
  <c r="BA185" i="3"/>
  <c r="AZ185" i="3" s="1"/>
  <c r="BA186" i="3"/>
  <c r="AZ186" i="3" s="1"/>
  <c r="BL190" i="3"/>
  <c r="G191" i="3"/>
  <c r="BA192" i="3"/>
  <c r="AZ192" i="3" s="1"/>
  <c r="G198" i="3"/>
  <c r="G206" i="3"/>
  <c r="BA207" i="3"/>
  <c r="BL207" i="3"/>
  <c r="BA20" i="3"/>
  <c r="BL20" i="3"/>
  <c r="BL22" i="3"/>
  <c r="BA23" i="3"/>
  <c r="AZ23" i="3" s="1"/>
  <c r="BA24" i="3"/>
  <c r="BA26" i="3"/>
  <c r="AZ26" i="3" s="1"/>
  <c r="BA28" i="3"/>
  <c r="AZ28" i="3" s="1"/>
  <c r="BA30" i="3"/>
  <c r="AZ30" i="3" s="1"/>
  <c r="BA32" i="3"/>
  <c r="G33" i="3"/>
  <c r="G35" i="3"/>
  <c r="C27" i="71"/>
  <c r="D27" i="71" s="1"/>
  <c r="D26" i="71"/>
  <c r="N100" i="43"/>
  <c r="U21" i="34"/>
  <c r="P61" i="15"/>
  <c r="D22" i="78"/>
  <c r="BA38" i="3"/>
  <c r="AZ38" i="3" s="1"/>
  <c r="BA39" i="3"/>
  <c r="AZ39" i="3" s="1"/>
  <c r="BA41" i="3"/>
  <c r="AZ41" i="3" s="1"/>
  <c r="BA42" i="3"/>
  <c r="BL44" i="3"/>
  <c r="G47" i="3"/>
  <c r="G58" i="3"/>
  <c r="BL59" i="3"/>
  <c r="G60" i="3"/>
  <c r="BL61" i="3"/>
  <c r="BL63" i="3"/>
  <c r="G64" i="3"/>
  <c r="G66" i="3"/>
  <c r="G71" i="3"/>
  <c r="BL72" i="3"/>
  <c r="G73" i="3"/>
  <c r="BL74" i="3"/>
  <c r="G77" i="3"/>
  <c r="G81" i="3"/>
  <c r="G83" i="3"/>
  <c r="BL84" i="3"/>
  <c r="G85" i="3"/>
  <c r="BA86" i="3"/>
  <c r="AZ86" i="3" s="1"/>
  <c r="BL86" i="3"/>
  <c r="BA88" i="3"/>
  <c r="AZ88" i="3" s="1"/>
  <c r="BA89" i="3"/>
  <c r="AZ89" i="3" s="1"/>
  <c r="BL92" i="3"/>
  <c r="BL94" i="3"/>
  <c r="G97" i="3"/>
  <c r="BA98" i="3"/>
  <c r="BL98" i="3"/>
  <c r="BA99" i="3"/>
  <c r="AZ99" i="3" s="1"/>
  <c r="BA101" i="3"/>
  <c r="AZ101" i="3" s="1"/>
  <c r="BA102" i="3"/>
  <c r="AZ102" i="3" s="1"/>
  <c r="BA105" i="3"/>
  <c r="AZ105" i="3" s="1"/>
  <c r="G106" i="3"/>
  <c r="G108" i="3"/>
  <c r="BA109" i="3"/>
  <c r="BL109" i="3"/>
  <c r="BA111" i="3"/>
  <c r="AZ111" i="3" s="1"/>
  <c r="G112" i="3"/>
  <c r="C54" i="71"/>
  <c r="D54" i="71" s="1"/>
  <c r="AB8" i="71"/>
  <c r="D18" i="71"/>
  <c r="AA12" i="71"/>
  <c r="Y9" i="71"/>
  <c r="Z9" i="71" s="1"/>
  <c r="F11" i="71"/>
  <c r="F12" i="71" s="1"/>
  <c r="V12" i="71" s="1"/>
  <c r="AB15" i="71"/>
  <c r="F19" i="71"/>
  <c r="F20" i="71" s="1"/>
  <c r="V20" i="71" s="1"/>
  <c r="AE10" i="43"/>
  <c r="J1" i="73"/>
  <c r="O16" i="1"/>
  <c r="C70" i="39"/>
  <c r="D68" i="39"/>
  <c r="AZ555" i="3"/>
  <c r="AZ565" i="3"/>
  <c r="AZ573" i="3"/>
  <c r="AZ577" i="3"/>
  <c r="D19" i="53"/>
  <c r="D17" i="53"/>
  <c r="B36" i="72" s="1"/>
  <c r="C30" i="69"/>
  <c r="H87" i="43"/>
  <c r="H86" i="43"/>
  <c r="AZ318" i="3"/>
  <c r="AZ382" i="3"/>
  <c r="AZ364" i="3"/>
  <c r="AZ320" i="3"/>
  <c r="AZ305" i="3"/>
  <c r="AZ378" i="3"/>
  <c r="AZ341" i="3"/>
  <c r="AZ309" i="3"/>
  <c r="AC12" i="37"/>
  <c r="AZ501" i="3"/>
  <c r="AZ515" i="3"/>
  <c r="AZ525" i="3"/>
  <c r="AZ541" i="3"/>
  <c r="AZ526" i="3"/>
  <c r="AZ566" i="3"/>
  <c r="AZ582" i="3"/>
  <c r="AZ584" i="3"/>
  <c r="J9" i="33"/>
  <c r="H9" i="33"/>
  <c r="F9" i="33"/>
  <c r="J12" i="33"/>
  <c r="H12" i="33"/>
  <c r="J23" i="36"/>
  <c r="F44" i="39"/>
  <c r="H38" i="40"/>
  <c r="F40" i="40"/>
  <c r="G562" i="3"/>
  <c r="G542" i="3"/>
  <c r="BL16" i="3"/>
  <c r="BA399" i="3"/>
  <c r="AZ399" i="3" s="1"/>
  <c r="BA401" i="3"/>
  <c r="AZ401" i="3" s="1"/>
  <c r="BA402" i="3"/>
  <c r="AZ402" i="3" s="1"/>
  <c r="G406" i="3"/>
  <c r="G408" i="3"/>
  <c r="G409" i="3"/>
  <c r="BL409" i="3"/>
  <c r="AZ409" i="3" s="1"/>
  <c r="BL410" i="3"/>
  <c r="AZ410" i="3" s="1"/>
  <c r="BL411" i="3"/>
  <c r="AZ411" i="3" s="1"/>
  <c r="G414" i="3"/>
  <c r="G416" i="3"/>
  <c r="BL416" i="3"/>
  <c r="BL418" i="3"/>
  <c r="AZ418" i="3" s="1"/>
  <c r="BL420" i="3"/>
  <c r="AZ420" i="3" s="1"/>
  <c r="BA421" i="3"/>
  <c r="AZ421" i="3" s="1"/>
  <c r="BA422" i="3"/>
  <c r="AZ422" i="3" s="1"/>
  <c r="BL424" i="3"/>
  <c r="AZ424" i="3" s="1"/>
  <c r="BA425" i="3"/>
  <c r="BA428" i="3"/>
  <c r="AZ428" i="3" s="1"/>
  <c r="BL430" i="3"/>
  <c r="AZ430" i="3" s="1"/>
  <c r="BA431" i="3"/>
  <c r="AZ431" i="3" s="1"/>
  <c r="BA433" i="3"/>
  <c r="AZ433" i="3" s="1"/>
  <c r="G436" i="3"/>
  <c r="BL437" i="3"/>
  <c r="AZ437" i="3" s="1"/>
  <c r="BL439" i="3"/>
  <c r="AZ439" i="3" s="1"/>
  <c r="BA441" i="3"/>
  <c r="AZ441" i="3" s="1"/>
  <c r="BA442" i="3"/>
  <c r="AZ442" i="3" s="1"/>
  <c r="G446" i="3"/>
  <c r="G447" i="3"/>
  <c r="BL447" i="3"/>
  <c r="BL448" i="3"/>
  <c r="BL450" i="3"/>
  <c r="AZ450" i="3" s="1"/>
  <c r="BL452" i="3"/>
  <c r="AZ452" i="3" s="1"/>
  <c r="BA453" i="3"/>
  <c r="BA454" i="3"/>
  <c r="AZ454" i="3" s="1"/>
  <c r="BL456" i="3"/>
  <c r="AZ456" i="3" s="1"/>
  <c r="G459" i="3"/>
  <c r="G460" i="3"/>
  <c r="BL460" i="3"/>
  <c r="AZ460" i="3" s="1"/>
  <c r="BL462" i="3"/>
  <c r="AZ462" i="3" s="1"/>
  <c r="BA463" i="3"/>
  <c r="AZ463" i="3" s="1"/>
  <c r="BA464" i="3"/>
  <c r="AZ464" i="3" s="1"/>
  <c r="BL466" i="3"/>
  <c r="AZ466" i="3" s="1"/>
  <c r="G470" i="3"/>
  <c r="G472" i="3"/>
  <c r="BL473" i="3"/>
  <c r="AZ473" i="3" s="1"/>
  <c r="BA474" i="3"/>
  <c r="AZ474" i="3" s="1"/>
  <c r="BA475" i="3"/>
  <c r="BA477" i="3"/>
  <c r="AZ477" i="3" s="1"/>
  <c r="BA480" i="3"/>
  <c r="AZ480" i="3" s="1"/>
  <c r="G484" i="3"/>
  <c r="G486" i="3"/>
  <c r="BL486" i="3"/>
  <c r="BL488" i="3"/>
  <c r="AZ488" i="3" s="1"/>
  <c r="BA490" i="3"/>
  <c r="AZ490" i="3" s="1"/>
  <c r="BA491" i="3"/>
  <c r="AZ491" i="3" s="1"/>
  <c r="BL314" i="3"/>
  <c r="AZ314" i="3" s="1"/>
  <c r="BA317" i="3"/>
  <c r="AZ317" i="3" s="1"/>
  <c r="G323" i="3"/>
  <c r="BL324" i="3"/>
  <c r="AZ324" i="3" s="1"/>
  <c r="G331" i="3"/>
  <c r="G343" i="3"/>
  <c r="BL348" i="3"/>
  <c r="AZ348" i="3" s="1"/>
  <c r="BL350" i="3"/>
  <c r="AZ350" i="3" s="1"/>
  <c r="BA353" i="3"/>
  <c r="AZ353" i="3" s="1"/>
  <c r="BL363" i="3"/>
  <c r="AZ363" i="3" s="1"/>
  <c r="BA366" i="3"/>
  <c r="AZ366" i="3" s="1"/>
  <c r="G369" i="3"/>
  <c r="G382" i="3"/>
  <c r="BL393" i="3"/>
  <c r="AZ393" i="3" s="1"/>
  <c r="BA396" i="3"/>
  <c r="AZ396" i="3" s="1"/>
  <c r="BA208" i="3"/>
  <c r="AZ208" i="3" s="1"/>
  <c r="G212" i="3"/>
  <c r="BL213" i="3"/>
  <c r="AZ213" i="3" s="1"/>
  <c r="BA215" i="3"/>
  <c r="AZ215" i="3" s="1"/>
  <c r="BA217" i="3"/>
  <c r="AZ217" i="3" s="1"/>
  <c r="G221" i="3"/>
  <c r="G223" i="3"/>
  <c r="BL224" i="3"/>
  <c r="AZ224" i="3" s="1"/>
  <c r="BA225" i="3"/>
  <c r="AZ225" i="3" s="1"/>
  <c r="AZ260" i="3"/>
  <c r="AZ301" i="3"/>
  <c r="BA227" i="3"/>
  <c r="AZ227" i="3" s="1"/>
  <c r="BA229" i="3"/>
  <c r="BL231" i="3"/>
  <c r="AZ231" i="3" s="1"/>
  <c r="BL233" i="3"/>
  <c r="AZ233" i="3" s="1"/>
  <c r="G236" i="3"/>
  <c r="G238" i="3"/>
  <c r="G239" i="3"/>
  <c r="BL239" i="3"/>
  <c r="BL241" i="3"/>
  <c r="AZ241" i="3" s="1"/>
  <c r="BL243" i="3"/>
  <c r="AZ243" i="3" s="1"/>
  <c r="BA244" i="3"/>
  <c r="AZ244" i="3" s="1"/>
  <c r="BA246" i="3"/>
  <c r="AZ246" i="3" s="1"/>
  <c r="BL248" i="3"/>
  <c r="AZ248" i="3" s="1"/>
  <c r="BA250" i="3"/>
  <c r="AZ250" i="3" s="1"/>
  <c r="BA251" i="3"/>
  <c r="AZ251" i="3" s="1"/>
  <c r="BL253" i="3"/>
  <c r="AZ253" i="3" s="1"/>
  <c r="BL256" i="3"/>
  <c r="AZ256" i="3" s="1"/>
  <c r="G259" i="3"/>
  <c r="G260" i="3"/>
  <c r="BL260" i="3"/>
  <c r="G263" i="3"/>
  <c r="G264" i="3"/>
  <c r="BL264" i="3"/>
  <c r="AZ264" i="3" s="1"/>
  <c r="G267" i="3"/>
  <c r="G269" i="3"/>
  <c r="BA270" i="3"/>
  <c r="AZ270" i="3" s="1"/>
  <c r="BA271" i="3"/>
  <c r="AZ271" i="3" s="1"/>
  <c r="BL273" i="3"/>
  <c r="AZ273" i="3" s="1"/>
  <c r="BA274" i="3"/>
  <c r="AZ274" i="3" s="1"/>
  <c r="BA275" i="3"/>
  <c r="AZ275" i="3" s="1"/>
  <c r="BL279" i="3"/>
  <c r="AZ279" i="3" s="1"/>
  <c r="G282" i="3"/>
  <c r="G284" i="3"/>
  <c r="BL284" i="3"/>
  <c r="AZ284" i="3" s="1"/>
  <c r="BA285" i="3"/>
  <c r="AZ285" i="3" s="1"/>
  <c r="BA287" i="3"/>
  <c r="AZ287" i="3" s="1"/>
  <c r="BA288" i="3"/>
  <c r="AZ288" i="3" s="1"/>
  <c r="G292" i="3"/>
  <c r="G294" i="3"/>
  <c r="BL294" i="3"/>
  <c r="AZ294" i="3" s="1"/>
  <c r="BL296" i="3"/>
  <c r="AZ296" i="3" s="1"/>
  <c r="G299" i="3"/>
  <c r="G301" i="3"/>
  <c r="BL301" i="3"/>
  <c r="BL302" i="3"/>
  <c r="AZ302" i="3" s="1"/>
  <c r="BL113" i="3"/>
  <c r="AZ113" i="3" s="1"/>
  <c r="G116" i="3"/>
  <c r="BA117" i="3"/>
  <c r="AZ117" i="3" s="1"/>
  <c r="G120" i="3"/>
  <c r="BL121" i="3"/>
  <c r="AZ121" i="3" s="1"/>
  <c r="BA122" i="3"/>
  <c r="AZ122" i="3" s="1"/>
  <c r="BL123" i="3"/>
  <c r="AZ123" i="3" s="1"/>
  <c r="G128" i="3"/>
  <c r="BA130" i="3"/>
  <c r="AZ130" i="3" s="1"/>
  <c r="BA132" i="3"/>
  <c r="AZ132" i="3" s="1"/>
  <c r="G135" i="3"/>
  <c r="BA136" i="3"/>
  <c r="AZ136" i="3" s="1"/>
  <c r="G139" i="3"/>
  <c r="BA140" i="3"/>
  <c r="AZ140" i="3" s="1"/>
  <c r="G143" i="3"/>
  <c r="BA144" i="3"/>
  <c r="AZ144" i="3" s="1"/>
  <c r="G147" i="3"/>
  <c r="BA149" i="3"/>
  <c r="AZ149" i="3" s="1"/>
  <c r="G154" i="3"/>
  <c r="G156" i="3"/>
  <c r="BA158" i="3"/>
  <c r="AZ158" i="3" s="1"/>
  <c r="BL159" i="3"/>
  <c r="AZ159" i="3" s="1"/>
  <c r="G163" i="3"/>
  <c r="BA165" i="3"/>
  <c r="AZ165" i="3" s="1"/>
  <c r="G170" i="3"/>
  <c r="G172" i="3"/>
  <c r="BA174" i="3"/>
  <c r="AZ174" i="3" s="1"/>
  <c r="BL175" i="3"/>
  <c r="AZ175" i="3" s="1"/>
  <c r="G179" i="3"/>
  <c r="BA181" i="3"/>
  <c r="AZ181" i="3" s="1"/>
  <c r="G186" i="3"/>
  <c r="G188" i="3"/>
  <c r="BA190" i="3"/>
  <c r="BL191" i="3"/>
  <c r="AZ191" i="3" s="1"/>
  <c r="G195" i="3"/>
  <c r="BA197" i="3"/>
  <c r="AZ197" i="3" s="1"/>
  <c r="G202" i="3"/>
  <c r="G204" i="3"/>
  <c r="BL205" i="3"/>
  <c r="AZ205" i="3" s="1"/>
  <c r="BA19" i="3"/>
  <c r="AZ19" i="3" s="1"/>
  <c r="G22" i="3"/>
  <c r="G24" i="3"/>
  <c r="G26" i="3"/>
  <c r="G27" i="3"/>
  <c r="BL27" i="3"/>
  <c r="AZ27" i="3" s="1"/>
  <c r="BL29" i="3"/>
  <c r="AZ29" i="3" s="1"/>
  <c r="BL31" i="3"/>
  <c r="AZ31" i="3" s="1"/>
  <c r="BA33" i="3"/>
  <c r="AZ33" i="3" s="1"/>
  <c r="BL34" i="3"/>
  <c r="AZ34" i="3" s="1"/>
  <c r="G37" i="3"/>
  <c r="G39" i="3"/>
  <c r="G41" i="3"/>
  <c r="G42" i="3"/>
  <c r="BL43" i="3"/>
  <c r="AZ43" i="3" s="1"/>
  <c r="BA44" i="3"/>
  <c r="BA46" i="3"/>
  <c r="AZ46" i="3" s="1"/>
  <c r="G50" i="3"/>
  <c r="G51" i="3"/>
  <c r="G53" i="3"/>
  <c r="G55" i="3"/>
  <c r="G57" i="3"/>
  <c r="BL57" i="3"/>
  <c r="AZ57" i="3" s="1"/>
  <c r="BA59" i="3"/>
  <c r="AZ59" i="3" s="1"/>
  <c r="BA61" i="3"/>
  <c r="AZ61" i="3" s="1"/>
  <c r="BA63" i="3"/>
  <c r="BA65" i="3"/>
  <c r="AZ65" i="3" s="1"/>
  <c r="G68" i="3"/>
  <c r="G70" i="3"/>
  <c r="BL70" i="3"/>
  <c r="AZ70" i="3" s="1"/>
  <c r="BA72" i="3"/>
  <c r="AZ72" i="3" s="1"/>
  <c r="BA74" i="3"/>
  <c r="BA76" i="3"/>
  <c r="AZ76" i="3" s="1"/>
  <c r="G79" i="3"/>
  <c r="BL80" i="3"/>
  <c r="AZ80" i="3" s="1"/>
  <c r="BL82" i="3"/>
  <c r="AZ82" i="3" s="1"/>
  <c r="BA84" i="3"/>
  <c r="AZ84" i="3" s="1"/>
  <c r="BA85" i="3"/>
  <c r="AZ85" i="3" s="1"/>
  <c r="G88" i="3"/>
  <c r="G89" i="3"/>
  <c r="G91" i="3"/>
  <c r="BL91" i="3"/>
  <c r="BA92" i="3"/>
  <c r="AZ92" i="3" s="1"/>
  <c r="BA94" i="3"/>
  <c r="AZ94" i="3" s="1"/>
  <c r="BL96" i="3"/>
  <c r="AZ96" i="3" s="1"/>
  <c r="G101" i="3"/>
  <c r="G102" i="3"/>
  <c r="G104" i="3"/>
  <c r="BL104" i="3"/>
  <c r="AZ104" i="3" s="1"/>
  <c r="BA107" i="3"/>
  <c r="AZ107" i="3" s="1"/>
  <c r="BA108" i="3"/>
  <c r="AZ108" i="3" s="1"/>
  <c r="BA110" i="3"/>
  <c r="AZ110" i="3" s="1"/>
  <c r="B75" i="43"/>
  <c r="B55" i="43"/>
  <c r="C16" i="71"/>
  <c r="D16" i="71" s="1"/>
  <c r="D15" i="71"/>
  <c r="D30" i="71"/>
  <c r="C31" i="71"/>
  <c r="AZ91" i="3"/>
  <c r="I10" i="66"/>
  <c r="AB21" i="21"/>
  <c r="AC21" i="37"/>
  <c r="C23" i="71"/>
  <c r="C24" i="71" s="1"/>
  <c r="D22" i="71"/>
  <c r="D38" i="71"/>
  <c r="C39" i="71"/>
  <c r="N4" i="71"/>
  <c r="AD3" i="71"/>
  <c r="AA15" i="71"/>
  <c r="P74" i="67"/>
  <c r="J4" i="71"/>
  <c r="N5" i="71"/>
  <c r="I8" i="1"/>
  <c r="D22" i="79"/>
  <c r="D24" i="79"/>
  <c r="D24" i="80"/>
  <c r="S21" i="21"/>
  <c r="S18" i="36"/>
  <c r="D44" i="71"/>
  <c r="D35" i="71"/>
  <c r="AA6" i="71"/>
  <c r="B5" i="71"/>
  <c r="B12" i="71"/>
  <c r="S12" i="71" s="1"/>
  <c r="X5" i="71"/>
  <c r="E11" i="71"/>
  <c r="E12" i="71" s="1"/>
  <c r="U12" i="71" s="1"/>
  <c r="X10" i="71"/>
  <c r="AB10" i="71"/>
  <c r="Y11" i="71"/>
  <c r="Z11" i="71" s="1"/>
  <c r="X11" i="71"/>
  <c r="AB12" i="71"/>
  <c r="AB14" i="71"/>
  <c r="Y15" i="71"/>
  <c r="Z15" i="71" s="1"/>
  <c r="AB16" i="71"/>
  <c r="B20" i="71"/>
  <c r="S20" i="71" s="1"/>
  <c r="E23" i="71"/>
  <c r="E24" i="71" s="1"/>
  <c r="U24" i="71" s="1"/>
  <c r="B35" i="71"/>
  <c r="B36" i="71" s="1"/>
  <c r="S36" i="71" s="1"/>
  <c r="E35" i="71"/>
  <c r="E36" i="71" s="1"/>
  <c r="U36" i="71" s="1"/>
  <c r="B43" i="71"/>
  <c r="B44" i="71" s="1"/>
  <c r="S44" i="71" s="1"/>
  <c r="AH10" i="43"/>
  <c r="AD10" i="43"/>
  <c r="Z10" i="43"/>
  <c r="AG10" i="43"/>
  <c r="AC10" i="43"/>
  <c r="H31" i="77"/>
  <c r="F81" i="39"/>
  <c r="G81" i="39" s="1"/>
  <c r="H81" i="39" s="1"/>
  <c r="I81" i="39" s="1"/>
  <c r="J81" i="39" s="1"/>
  <c r="K81" i="39" s="1"/>
  <c r="L81" i="39" s="1"/>
  <c r="M81" i="39" s="1"/>
  <c r="H11" i="39"/>
  <c r="F11" i="39"/>
  <c r="J59" i="34"/>
  <c r="K59" i="34" s="1"/>
  <c r="L59" i="34" s="1"/>
  <c r="M59" i="34" s="1"/>
  <c r="N59" i="34" s="1"/>
  <c r="O59" i="34" s="1"/>
  <c r="I14" i="74"/>
  <c r="B8" i="74" s="1"/>
  <c r="D127" i="9"/>
  <c r="D13" i="52" s="1"/>
  <c r="D12" i="52"/>
  <c r="I58" i="21"/>
  <c r="J58" i="21" s="1"/>
  <c r="K58" i="21" s="1"/>
  <c r="L58" i="21" s="1"/>
  <c r="M58" i="21" s="1"/>
  <c r="N58" i="21" s="1"/>
  <c r="O58" i="21" s="1"/>
  <c r="J48" i="35"/>
  <c r="K48" i="35" s="1"/>
  <c r="L48" i="35" s="1"/>
  <c r="M48" i="35" s="1"/>
  <c r="N48" i="35" s="1"/>
  <c r="O48" i="35" s="1"/>
  <c r="H7" i="35"/>
  <c r="G52" i="37"/>
  <c r="L67" i="9"/>
  <c r="M67" i="9" s="1"/>
  <c r="L63" i="9"/>
  <c r="M63" i="9" s="1"/>
  <c r="M69" i="9" s="1"/>
  <c r="N69" i="9" s="1"/>
  <c r="L64" i="9"/>
  <c r="M64" i="9" s="1"/>
  <c r="L66" i="9"/>
  <c r="M66" i="9" s="1"/>
  <c r="L65" i="9"/>
  <c r="M65" i="9" s="1"/>
  <c r="J7" i="34"/>
  <c r="G46" i="36"/>
  <c r="C48" i="68"/>
  <c r="F30" i="6"/>
  <c r="U12" i="39"/>
  <c r="AC11" i="39"/>
  <c r="U12" i="37"/>
  <c r="W40" i="37"/>
  <c r="AC28" i="21"/>
  <c r="AC30" i="34"/>
  <c r="W11" i="36"/>
  <c r="AB30" i="21"/>
  <c r="AB11" i="35"/>
  <c r="AA14" i="33"/>
  <c r="AA44" i="33"/>
  <c r="C15" i="39"/>
  <c r="C25" i="39"/>
  <c r="G25" i="39" s="1"/>
  <c r="U34" i="34"/>
  <c r="J12" i="35"/>
  <c r="AZ432" i="3"/>
  <c r="AZ478" i="3"/>
  <c r="AZ479" i="3"/>
  <c r="H34" i="35"/>
  <c r="J34" i="35"/>
  <c r="F34" i="35"/>
  <c r="AZ416" i="3"/>
  <c r="AZ447" i="3"/>
  <c r="AZ448" i="3"/>
  <c r="AZ486" i="3"/>
  <c r="AZ239" i="3"/>
  <c r="AZ290" i="3"/>
  <c r="AZ125" i="3"/>
  <c r="AZ129" i="3"/>
  <c r="AZ161" i="3"/>
  <c r="AZ177" i="3"/>
  <c r="AZ193" i="3"/>
  <c r="AZ207" i="3"/>
  <c r="AZ60" i="3"/>
  <c r="AZ64" i="3"/>
  <c r="AZ73" i="3"/>
  <c r="AZ98" i="3"/>
  <c r="AZ106" i="3"/>
  <c r="AZ112" i="3"/>
  <c r="K13" i="1"/>
  <c r="M13" i="1" s="1"/>
  <c r="G1" i="80"/>
  <c r="G1" i="79"/>
  <c r="D36" i="71"/>
  <c r="T36" i="71"/>
  <c r="E7" i="71"/>
  <c r="E6" i="71" s="1"/>
  <c r="E5" i="71" s="1"/>
  <c r="E4" i="71" s="1"/>
  <c r="V8" i="71"/>
  <c r="D12" i="71"/>
  <c r="T12" i="71"/>
  <c r="AC21" i="34"/>
  <c r="AB21" i="33"/>
  <c r="O46" i="71"/>
  <c r="O45" i="71"/>
  <c r="D46" i="71"/>
  <c r="D19" i="71"/>
  <c r="C20" i="71"/>
  <c r="T16" i="71"/>
  <c r="T8" i="71"/>
  <c r="C7" i="71"/>
  <c r="D8" i="71"/>
  <c r="U8" i="71" s="1"/>
  <c r="D23" i="71"/>
  <c r="C29" i="39"/>
  <c r="B66" i="43"/>
  <c r="D47" i="71"/>
  <c r="AA7" i="71"/>
  <c r="AA5" i="71"/>
  <c r="AB7" i="71"/>
  <c r="AB5" i="71"/>
  <c r="X8" i="71"/>
  <c r="X7" i="71"/>
  <c r="AB17" i="71"/>
  <c r="AA16" i="71"/>
  <c r="AB13" i="71"/>
  <c r="Y13" i="71"/>
  <c r="Z13" i="71" s="1"/>
  <c r="X12" i="71"/>
  <c r="X17" i="71"/>
  <c r="AA9" i="71"/>
  <c r="S48" i="71"/>
  <c r="B47" i="71"/>
  <c r="Q4" i="71"/>
  <c r="AB3" i="71" s="1"/>
  <c r="AH3" i="71"/>
  <c r="Y6" i="1"/>
  <c r="N7" i="1"/>
  <c r="N8" i="1" s="1"/>
  <c r="Y8" i="1" s="1"/>
  <c r="J51" i="80"/>
  <c r="C31" i="66"/>
  <c r="E26" i="66" s="1"/>
  <c r="G31" i="77"/>
  <c r="I16" i="3"/>
  <c r="D9" i="53"/>
  <c r="B25" i="72" s="1"/>
  <c r="B24" i="72"/>
  <c r="C30" i="9"/>
  <c r="C24" i="9"/>
  <c r="C25" i="9"/>
  <c r="C12" i="12"/>
  <c r="B20" i="31"/>
  <c r="F69" i="67"/>
  <c r="C34" i="67"/>
  <c r="F63" i="67"/>
  <c r="C62" i="67" s="1"/>
  <c r="J20" i="67"/>
  <c r="F66" i="67"/>
  <c r="L56" i="67"/>
  <c r="I54" i="67"/>
  <c r="J57" i="67"/>
  <c r="J55" i="67" s="1"/>
  <c r="J58" i="67" s="1"/>
  <c r="Q50" i="67" s="1"/>
  <c r="F71" i="15"/>
  <c r="F71" i="67"/>
  <c r="F68" i="15"/>
  <c r="F64" i="67"/>
  <c r="F51" i="15"/>
  <c r="I54" i="15"/>
  <c r="L56" i="15"/>
  <c r="J57" i="15"/>
  <c r="J55" i="15" s="1"/>
  <c r="J58" i="15" s="1"/>
  <c r="Q50" i="15" s="1"/>
  <c r="J53" i="15"/>
  <c r="J60" i="15"/>
  <c r="Q48" i="15" s="1"/>
  <c r="L60" i="15"/>
  <c r="J59" i="15"/>
  <c r="L57" i="15"/>
  <c r="M7" i="67"/>
  <c r="F50" i="67"/>
  <c r="M7" i="15"/>
  <c r="F50" i="15"/>
  <c r="F65" i="15"/>
  <c r="Q71" i="15"/>
  <c r="F70" i="67"/>
  <c r="M59" i="15"/>
  <c r="L58" i="15"/>
  <c r="N59" i="15"/>
  <c r="L59" i="15"/>
  <c r="F65" i="67"/>
  <c r="F51" i="67"/>
  <c r="Q71" i="67"/>
  <c r="C27" i="15"/>
  <c r="F51" i="78"/>
  <c r="F68" i="67"/>
  <c r="L58" i="67"/>
  <c r="L59" i="67"/>
  <c r="M59" i="67"/>
  <c r="N59" i="67"/>
  <c r="F64" i="15"/>
  <c r="C6" i="67"/>
  <c r="F66" i="15"/>
  <c r="C27" i="67"/>
  <c r="B12" i="70"/>
  <c r="B11" i="70"/>
  <c r="B9" i="70"/>
  <c r="B10" i="70"/>
  <c r="B13" i="70"/>
  <c r="I1" i="73"/>
  <c r="B39" i="1" s="1"/>
  <c r="K4" i="4"/>
  <c r="B46" i="48" s="1"/>
  <c r="B4" i="72" s="1"/>
  <c r="B4" i="62"/>
  <c r="B71" i="72" s="1"/>
  <c r="B23" i="49"/>
  <c r="B22" i="49"/>
  <c r="B7" i="49"/>
  <c r="B14" i="49"/>
  <c r="E22" i="49"/>
  <c r="B5" i="49"/>
  <c r="B13" i="49"/>
  <c r="B11" i="49"/>
  <c r="E21" i="49"/>
  <c r="E9" i="49"/>
  <c r="B6" i="49"/>
  <c r="E4" i="49"/>
  <c r="M24" i="78"/>
  <c r="F13" i="15"/>
  <c r="F59" i="67"/>
  <c r="M26" i="78"/>
  <c r="M22" i="78"/>
  <c r="M8" i="78"/>
  <c r="M29" i="78"/>
  <c r="F13" i="78"/>
  <c r="C16" i="67"/>
  <c r="C16" i="15"/>
  <c r="F41" i="78"/>
  <c r="F26" i="78"/>
  <c r="M9" i="78"/>
  <c r="F37" i="78"/>
  <c r="F43" i="78"/>
  <c r="L48" i="78"/>
  <c r="J15" i="78"/>
  <c r="M28" i="78"/>
  <c r="L47" i="78"/>
  <c r="F36" i="78"/>
  <c r="F40" i="78"/>
  <c r="F7" i="78"/>
  <c r="F16" i="78"/>
  <c r="M23" i="78"/>
  <c r="F42" i="78"/>
  <c r="C76" i="78"/>
  <c r="M17" i="15"/>
  <c r="F59" i="15"/>
  <c r="M17" i="67"/>
  <c r="C17" i="67"/>
  <c r="F31" i="67"/>
  <c r="F6" i="78"/>
  <c r="F38" i="78"/>
  <c r="C14" i="67"/>
  <c r="F69" i="78" l="1"/>
  <c r="C6" i="78"/>
  <c r="F66" i="78"/>
  <c r="F64" i="78"/>
  <c r="F71" i="78"/>
  <c r="C43" i="78"/>
  <c r="Q71" i="78"/>
  <c r="J53" i="78"/>
  <c r="L56" i="78"/>
  <c r="J57" i="78"/>
  <c r="J55" i="78" s="1"/>
  <c r="J58" i="78" s="1"/>
  <c r="Q50" i="78" s="1"/>
  <c r="J60" i="78"/>
  <c r="Q48" i="78" s="1"/>
  <c r="L57" i="78"/>
  <c r="I54" i="78"/>
  <c r="L60" i="78"/>
  <c r="Q66" i="78" s="1"/>
  <c r="J59" i="78"/>
  <c r="N59" i="78"/>
  <c r="L58" i="78"/>
  <c r="Q60" i="78" s="1"/>
  <c r="L59" i="78"/>
  <c r="Q74" i="78" s="1"/>
  <c r="M59" i="78"/>
  <c r="C27" i="78"/>
  <c r="F65" i="78"/>
  <c r="F50" i="78"/>
  <c r="C49" i="78" s="1"/>
  <c r="M7" i="78"/>
  <c r="AC25" i="37"/>
  <c r="W25" i="37"/>
  <c r="AA26" i="37"/>
  <c r="S26" i="37"/>
  <c r="AC26" i="37"/>
  <c r="W26" i="37"/>
  <c r="U12" i="35"/>
  <c r="AB12" i="35"/>
  <c r="AB31" i="21"/>
  <c r="U31" i="21"/>
  <c r="AC29" i="21"/>
  <c r="W29" i="21"/>
  <c r="AB32" i="36"/>
  <c r="U32" i="36"/>
  <c r="W28" i="34"/>
  <c r="AC28" i="34"/>
  <c r="E28" i="6"/>
  <c r="AB36" i="39"/>
  <c r="U36" i="39"/>
  <c r="S36" i="39"/>
  <c r="AA36" i="39"/>
  <c r="AA26" i="35"/>
  <c r="S26" i="35"/>
  <c r="AA38" i="40"/>
  <c r="S38" i="40"/>
  <c r="AA17" i="39"/>
  <c r="S17" i="39"/>
  <c r="AC14" i="39"/>
  <c r="W14" i="39"/>
  <c r="S12" i="39"/>
  <c r="AA12" i="39"/>
  <c r="S39" i="37"/>
  <c r="AA39" i="37"/>
  <c r="AC39" i="37"/>
  <c r="W39" i="37"/>
  <c r="E58" i="33"/>
  <c r="B4" i="71"/>
  <c r="AZ74" i="3"/>
  <c r="AZ63" i="3"/>
  <c r="AZ44" i="3"/>
  <c r="AZ190" i="3"/>
  <c r="AZ229" i="3"/>
  <c r="AZ475" i="3"/>
  <c r="AZ453" i="3"/>
  <c r="AZ425" i="3"/>
  <c r="AZ109" i="3"/>
  <c r="AZ20" i="3"/>
  <c r="AZ150" i="3"/>
  <c r="AZ254" i="3"/>
  <c r="AZ333" i="3"/>
  <c r="AZ481" i="3"/>
  <c r="AZ443" i="3"/>
  <c r="AZ403" i="3"/>
  <c r="S41" i="39"/>
  <c r="AA41" i="39"/>
  <c r="AA25" i="37"/>
  <c r="S25" i="37"/>
  <c r="U25" i="37"/>
  <c r="AB25" i="37"/>
  <c r="AB26" i="37"/>
  <c r="U26" i="37"/>
  <c r="S12" i="35"/>
  <c r="AA12" i="35"/>
  <c r="S31" i="21"/>
  <c r="AA31" i="21"/>
  <c r="U29" i="21"/>
  <c r="AB29" i="21"/>
  <c r="AZ557" i="3"/>
  <c r="AZ529" i="3"/>
  <c r="AZ518" i="3"/>
  <c r="W32" i="36"/>
  <c r="AC32" i="36"/>
  <c r="S32" i="36"/>
  <c r="AA32" i="36"/>
  <c r="AA28" i="34"/>
  <c r="S28" i="34"/>
  <c r="AZ583" i="3"/>
  <c r="AZ575" i="3"/>
  <c r="AZ500" i="3"/>
  <c r="AZ522" i="3"/>
  <c r="AZ530" i="3"/>
  <c r="AZ534" i="3"/>
  <c r="AZ536" i="3"/>
  <c r="AZ542" i="3"/>
  <c r="AZ548" i="3"/>
  <c r="AZ551" i="3"/>
  <c r="AZ560" i="3"/>
  <c r="AZ564" i="3"/>
  <c r="AZ576" i="3"/>
  <c r="AZ580" i="3"/>
  <c r="AC36" i="39"/>
  <c r="W36" i="39"/>
  <c r="AB26" i="35"/>
  <c r="U26" i="35"/>
  <c r="AC38" i="40"/>
  <c r="W38" i="40"/>
  <c r="W21" i="39"/>
  <c r="AC21" i="39"/>
  <c r="AC17" i="39"/>
  <c r="W17" i="39"/>
  <c r="AB17" i="39"/>
  <c r="U17" i="39"/>
  <c r="AB14" i="39"/>
  <c r="U14" i="39"/>
  <c r="W12" i="39"/>
  <c r="AC12" i="39"/>
  <c r="AB39" i="37"/>
  <c r="U39" i="37"/>
  <c r="F65" i="40"/>
  <c r="G63" i="40"/>
  <c r="F68" i="78"/>
  <c r="H7" i="34"/>
  <c r="F7" i="34"/>
  <c r="H8" i="1"/>
  <c r="G8" i="1" s="1"/>
  <c r="O4" i="71"/>
  <c r="Y3" i="71" s="1"/>
  <c r="Z3" i="71" s="1"/>
  <c r="AE3" i="71"/>
  <c r="AF3" i="71" s="1"/>
  <c r="X3" i="71"/>
  <c r="C32" i="71"/>
  <c r="D31" i="71"/>
  <c r="BL5" i="3"/>
  <c r="AB38" i="40"/>
  <c r="U38" i="40"/>
  <c r="AC23" i="36"/>
  <c r="W23" i="36"/>
  <c r="AC12" i="33"/>
  <c r="W12" i="33"/>
  <c r="U9" i="33"/>
  <c r="AB9" i="33"/>
  <c r="B38" i="72"/>
  <c r="D20" i="53"/>
  <c r="B40" i="72" s="1"/>
  <c r="C40" i="71"/>
  <c r="D39" i="71"/>
  <c r="I21" i="66"/>
  <c r="D1" i="66"/>
  <c r="E10" i="66" s="1"/>
  <c r="AA40" i="40"/>
  <c r="S40" i="40"/>
  <c r="AA44" i="39"/>
  <c r="S44" i="39"/>
  <c r="U12" i="33"/>
  <c r="AB12" i="33"/>
  <c r="AA9" i="33"/>
  <c r="S9" i="33"/>
  <c r="AC9" i="33"/>
  <c r="W9" i="33"/>
  <c r="E68" i="39"/>
  <c r="D70" i="39"/>
  <c r="AB11" i="39"/>
  <c r="U11" i="39"/>
  <c r="AA11" i="39"/>
  <c r="S11" i="39"/>
  <c r="C49" i="67"/>
  <c r="BB16" i="3"/>
  <c r="I5" i="3"/>
  <c r="H16" i="3"/>
  <c r="Y7" i="1"/>
  <c r="F20" i="6"/>
  <c r="E20" i="6" s="1"/>
  <c r="D7" i="71"/>
  <c r="C6" i="71"/>
  <c r="D20" i="71"/>
  <c r="T20" i="71"/>
  <c r="AC34" i="35"/>
  <c r="W34" i="35"/>
  <c r="W12" i="35"/>
  <c r="AC12" i="35"/>
  <c r="H46" i="36"/>
  <c r="F7" i="35"/>
  <c r="J7" i="35"/>
  <c r="F7" i="21"/>
  <c r="H7" i="21"/>
  <c r="C38" i="39"/>
  <c r="A3" i="3"/>
  <c r="J31" i="77"/>
  <c r="P23" i="43"/>
  <c r="P24" i="43"/>
  <c r="B66" i="40" s="1"/>
  <c r="P22" i="43"/>
  <c r="P21" i="43"/>
  <c r="B71" i="39" s="1"/>
  <c r="P25" i="43"/>
  <c r="N47" i="71"/>
  <c r="B46" i="71"/>
  <c r="D24" i="71"/>
  <c r="T24" i="71"/>
  <c r="F4" i="71"/>
  <c r="AA34" i="35"/>
  <c r="S34" i="35"/>
  <c r="AB34" i="35"/>
  <c r="U34" i="35"/>
  <c r="AC7" i="34"/>
  <c r="V49" i="34" s="1"/>
  <c r="I49" i="34" s="1"/>
  <c r="W7" i="34"/>
  <c r="H52" i="37"/>
  <c r="I52" i="37" s="1"/>
  <c r="J52" i="37" s="1"/>
  <c r="K52" i="37" s="1"/>
  <c r="L52" i="37" s="1"/>
  <c r="M52" i="37" s="1"/>
  <c r="N52" i="37" s="1"/>
  <c r="O52" i="37" s="1"/>
  <c r="J7" i="37"/>
  <c r="AB7" i="35"/>
  <c r="T38" i="35" s="1"/>
  <c r="G38" i="35" s="1"/>
  <c r="U7" i="35"/>
  <c r="J7" i="21"/>
  <c r="U7" i="34"/>
  <c r="AB7" i="34"/>
  <c r="T49" i="34" s="1"/>
  <c r="G49" i="34" s="1"/>
  <c r="S7" i="34"/>
  <c r="AA7" i="34"/>
  <c r="R49" i="34" s="1"/>
  <c r="L46" i="15"/>
  <c r="C15" i="67"/>
  <c r="C18" i="67"/>
  <c r="Q74" i="67"/>
  <c r="Q61" i="67"/>
  <c r="F1" i="78"/>
  <c r="Q52" i="78"/>
  <c r="Q74" i="15"/>
  <c r="Q61" i="15"/>
  <c r="Q73" i="15"/>
  <c r="Q60" i="15"/>
  <c r="J6" i="15"/>
  <c r="M11" i="80"/>
  <c r="M11" i="79"/>
  <c r="J10" i="79" s="1"/>
  <c r="F11" i="78"/>
  <c r="M11" i="15"/>
  <c r="J10" i="15" s="1"/>
  <c r="F11" i="67"/>
  <c r="F11" i="15"/>
  <c r="F11" i="80"/>
  <c r="F11" i="79"/>
  <c r="M11" i="78"/>
  <c r="J10" i="78" s="1"/>
  <c r="M11" i="67"/>
  <c r="J10" i="67" s="1"/>
  <c r="Q60" i="67"/>
  <c r="Q73" i="67"/>
  <c r="Q57" i="78"/>
  <c r="Q57" i="15"/>
  <c r="Q66" i="15"/>
  <c r="F1" i="15"/>
  <c r="Q52" i="15"/>
  <c r="C49" i="15"/>
  <c r="J6" i="67"/>
  <c r="M8" i="79"/>
  <c r="M6" i="79"/>
  <c r="M23" i="80"/>
  <c r="D5" i="73"/>
  <c r="L48" i="79"/>
  <c r="M6" i="80"/>
  <c r="M27" i="79"/>
  <c r="M24" i="80"/>
  <c r="F59" i="78"/>
  <c r="F37" i="80"/>
  <c r="J15" i="79"/>
  <c r="F8" i="79"/>
  <c r="L47" i="80"/>
  <c r="M28" i="80"/>
  <c r="M6" i="78"/>
  <c r="F9" i="79"/>
  <c r="M26" i="79"/>
  <c r="M28" i="79"/>
  <c r="F16" i="79"/>
  <c r="M22" i="80"/>
  <c r="C76" i="79"/>
  <c r="M8" i="80"/>
  <c r="F36" i="79"/>
  <c r="F13" i="80"/>
  <c r="M9" i="79"/>
  <c r="L47" i="79"/>
  <c r="M24" i="79"/>
  <c r="F42" i="79"/>
  <c r="F37" i="79"/>
  <c r="F26" i="80"/>
  <c r="F36" i="80"/>
  <c r="D7" i="73"/>
  <c r="F9" i="80"/>
  <c r="F42" i="80"/>
  <c r="C76" i="80"/>
  <c r="J15" i="80"/>
  <c r="D3" i="73"/>
  <c r="M9" i="80"/>
  <c r="F16" i="80"/>
  <c r="F8" i="80"/>
  <c r="F38" i="80"/>
  <c r="F13" i="79"/>
  <c r="F31" i="78"/>
  <c r="F40" i="79"/>
  <c r="M23" i="79"/>
  <c r="AE8" i="1"/>
  <c r="M26" i="80"/>
  <c r="F40" i="80"/>
  <c r="M27" i="80"/>
  <c r="C16" i="78"/>
  <c r="L48" i="80"/>
  <c r="F26" i="79"/>
  <c r="AE6" i="1"/>
  <c r="D6" i="73"/>
  <c r="F38" i="79"/>
  <c r="M22" i="79"/>
  <c r="D4" i="73"/>
  <c r="Q61" i="78" l="1"/>
  <c r="Q73" i="78"/>
  <c r="L46" i="78"/>
  <c r="E20" i="43"/>
  <c r="K1" i="73"/>
  <c r="G65" i="40"/>
  <c r="H63" i="40"/>
  <c r="K14" i="1"/>
  <c r="M14" i="1" s="1"/>
  <c r="E30" i="6"/>
  <c r="F58" i="33"/>
  <c r="F68" i="39"/>
  <c r="E70" i="39"/>
  <c r="D40" i="71"/>
  <c r="T40" i="71"/>
  <c r="D32" i="71"/>
  <c r="T32" i="71"/>
  <c r="F66" i="80"/>
  <c r="Q71" i="80"/>
  <c r="J59" i="80"/>
  <c r="L60" i="80"/>
  <c r="J57" i="80"/>
  <c r="J55" i="80" s="1"/>
  <c r="J58" i="80" s="1"/>
  <c r="Q50" i="80" s="1"/>
  <c r="I54" i="80"/>
  <c r="L56" i="80"/>
  <c r="J60" i="80"/>
  <c r="Q48" i="80" s="1"/>
  <c r="L57" i="80"/>
  <c r="J53" i="80"/>
  <c r="F65" i="80"/>
  <c r="F65" i="79"/>
  <c r="F66" i="79"/>
  <c r="F68" i="79"/>
  <c r="Q71" i="79"/>
  <c r="F64" i="79"/>
  <c r="F51" i="79"/>
  <c r="J6" i="78"/>
  <c r="J5" i="78" s="1"/>
  <c r="F68" i="80"/>
  <c r="F64" i="80"/>
  <c r="F51" i="80"/>
  <c r="C27" i="80"/>
  <c r="L59" i="80"/>
  <c r="N59" i="80"/>
  <c r="M59" i="80"/>
  <c r="L58" i="80"/>
  <c r="C27" i="79"/>
  <c r="N59" i="79"/>
  <c r="L59" i="79"/>
  <c r="L58" i="79"/>
  <c r="M59" i="79"/>
  <c r="L57" i="79"/>
  <c r="I54" i="79"/>
  <c r="J53" i="79"/>
  <c r="L56" i="79"/>
  <c r="L60" i="79"/>
  <c r="J57" i="79"/>
  <c r="J55" i="79" s="1"/>
  <c r="J58" i="79" s="1"/>
  <c r="Q50" i="79" s="1"/>
  <c r="J60" i="79"/>
  <c r="Q48" i="79" s="1"/>
  <c r="J59" i="79"/>
  <c r="AC7" i="37"/>
  <c r="V42" i="37" s="1"/>
  <c r="I42" i="37" s="1"/>
  <c r="W7" i="37"/>
  <c r="I53" i="34"/>
  <c r="J53" i="34" s="1"/>
  <c r="N45" i="71"/>
  <c r="N46" i="71"/>
  <c r="I4" i="6"/>
  <c r="G3" i="43" s="1"/>
  <c r="AB7" i="21"/>
  <c r="T48" i="21" s="1"/>
  <c r="G48" i="21" s="1"/>
  <c r="U7" i="21"/>
  <c r="AC7" i="35"/>
  <c r="V38" i="35" s="1"/>
  <c r="I38" i="35" s="1"/>
  <c r="W7" i="35"/>
  <c r="H7" i="37"/>
  <c r="E49" i="34"/>
  <c r="R50" i="34"/>
  <c r="G53" i="34"/>
  <c r="H53" i="34" s="1"/>
  <c r="G54" i="34"/>
  <c r="H54" i="34" s="1"/>
  <c r="W7" i="21"/>
  <c r="AC7" i="21"/>
  <c r="V48" i="21" s="1"/>
  <c r="I48" i="21" s="1"/>
  <c r="G43" i="35"/>
  <c r="H43" i="35" s="1"/>
  <c r="G42" i="35"/>
  <c r="H42" i="35" s="1"/>
  <c r="F7" i="37"/>
  <c r="H38" i="39"/>
  <c r="J38" i="39"/>
  <c r="F38" i="39"/>
  <c r="S7" i="21"/>
  <c r="AA7" i="21"/>
  <c r="R48" i="21" s="1"/>
  <c r="AA7" i="35"/>
  <c r="R38" i="35" s="1"/>
  <c r="S7" i="35"/>
  <c r="I46" i="36"/>
  <c r="C5" i="71"/>
  <c r="D6" i="71"/>
  <c r="K7" i="1"/>
  <c r="H5" i="3"/>
  <c r="G16" i="3"/>
  <c r="G5" i="3" s="1"/>
  <c r="B3" i="3" s="1"/>
  <c r="I3" i="6" s="1"/>
  <c r="BA16" i="3"/>
  <c r="BB5" i="3"/>
  <c r="F25" i="66"/>
  <c r="U6" i="1" s="1"/>
  <c r="J5" i="67"/>
  <c r="J24" i="67" s="1"/>
  <c r="C19" i="67"/>
  <c r="C20" i="67" s="1"/>
  <c r="C26" i="67" s="1"/>
  <c r="AG8" i="1"/>
  <c r="C53" i="80"/>
  <c r="C10" i="80"/>
  <c r="C10" i="67"/>
  <c r="C5" i="67" s="1"/>
  <c r="C53" i="67"/>
  <c r="C48" i="67" s="1"/>
  <c r="C53" i="78"/>
  <c r="C48" i="78" s="1"/>
  <c r="C10" i="78"/>
  <c r="C5" i="78" s="1"/>
  <c r="C53" i="79"/>
  <c r="C10" i="79"/>
  <c r="C10" i="15"/>
  <c r="C53" i="15"/>
  <c r="C48" i="15" s="1"/>
  <c r="J5" i="15"/>
  <c r="G1" i="73"/>
  <c r="M27" i="78"/>
  <c r="M17" i="78"/>
  <c r="M29" i="80"/>
  <c r="F7" i="79"/>
  <c r="M29" i="79"/>
  <c r="F7" i="80"/>
  <c r="F41" i="15"/>
  <c r="F43" i="80"/>
  <c r="F6" i="15"/>
  <c r="F43" i="79"/>
  <c r="B40" i="1" l="1"/>
  <c r="H65" i="40"/>
  <c r="I63" i="40"/>
  <c r="G58" i="33"/>
  <c r="O17" i="43"/>
  <c r="N17" i="43"/>
  <c r="P17" i="43"/>
  <c r="M17" i="43"/>
  <c r="F70" i="39"/>
  <c r="G68" i="39"/>
  <c r="L46" i="80"/>
  <c r="J18" i="67"/>
  <c r="J24" i="78"/>
  <c r="J18" i="78"/>
  <c r="C6" i="15"/>
  <c r="C5" i="15" s="1"/>
  <c r="C32" i="15" s="1"/>
  <c r="C43" i="79"/>
  <c r="F71" i="79"/>
  <c r="F50" i="79"/>
  <c r="M7" i="79"/>
  <c r="M7" i="80"/>
  <c r="F50" i="80"/>
  <c r="C49" i="80" s="1"/>
  <c r="C48" i="80" s="1"/>
  <c r="F71" i="80"/>
  <c r="U7" i="1"/>
  <c r="AZ16" i="3"/>
  <c r="AZ5" i="3" s="1"/>
  <c r="BA5" i="3"/>
  <c r="E27" i="6" s="1"/>
  <c r="E48" i="21"/>
  <c r="R49" i="21"/>
  <c r="W38" i="39"/>
  <c r="AC38" i="39"/>
  <c r="S7" i="37"/>
  <c r="AA7" i="37"/>
  <c r="R42" i="37" s="1"/>
  <c r="C49" i="34"/>
  <c r="C50" i="34"/>
  <c r="U7" i="37"/>
  <c r="AB7" i="37"/>
  <c r="T42" i="37" s="1"/>
  <c r="G42" i="37" s="1"/>
  <c r="I42" i="35"/>
  <c r="J42" i="35" s="1"/>
  <c r="G52" i="21"/>
  <c r="H52" i="21" s="1"/>
  <c r="G53" i="21"/>
  <c r="H53" i="21" s="1"/>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117" i="3"/>
  <c r="E161" i="3"/>
  <c r="E290" i="3"/>
  <c r="E135" i="3"/>
  <c r="E61" i="3"/>
  <c r="E185" i="3"/>
  <c r="E169" i="3"/>
  <c r="E216" i="3"/>
  <c r="E298" i="3"/>
  <c r="E231" i="3"/>
  <c r="E321" i="3"/>
  <c r="E380" i="3"/>
  <c r="E338" i="3"/>
  <c r="E439" i="3"/>
  <c r="E418" i="3"/>
  <c r="E538" i="3"/>
  <c r="E506" i="3"/>
  <c r="E561" i="3"/>
  <c r="E523" i="3"/>
  <c r="AR6" i="3"/>
  <c r="S6" i="3"/>
  <c r="E533" i="3"/>
  <c r="E390" i="3"/>
  <c r="E270" i="3"/>
  <c r="E293" i="3"/>
  <c r="E124" i="3"/>
  <c r="E246" i="3"/>
  <c r="E280" i="3"/>
  <c r="E399" i="3"/>
  <c r="AA6" i="3"/>
  <c r="E347"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57"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461" i="3"/>
  <c r="E567" i="3"/>
  <c r="E539" i="3"/>
  <c r="E328" i="3"/>
  <c r="E508" i="3"/>
  <c r="E426" i="3"/>
  <c r="E305" i="3"/>
  <c r="E153" i="3"/>
  <c r="E343" i="3"/>
  <c r="E501" i="3"/>
  <c r="E530" i="3"/>
  <c r="E319" i="3"/>
  <c r="E175" i="3"/>
  <c r="E53" i="3"/>
  <c r="E396" i="3"/>
  <c r="E431" i="3"/>
  <c r="E569" i="3"/>
  <c r="E579" i="3"/>
  <c r="E516" i="3"/>
  <c r="E509" i="3"/>
  <c r="E239" i="3"/>
  <c r="E535" i="3"/>
  <c r="E550" i="3"/>
  <c r="E445" i="3"/>
  <c r="E260" i="3"/>
  <c r="E172" i="3"/>
  <c r="E395" i="3"/>
  <c r="E563" i="3"/>
  <c r="E415" i="3"/>
  <c r="E278" i="3"/>
  <c r="E114" i="3"/>
  <c r="E69" i="3"/>
  <c r="L46" i="79"/>
  <c r="Q61" i="79"/>
  <c r="Q74" i="79"/>
  <c r="Q73" i="80"/>
  <c r="Q60" i="80"/>
  <c r="C49" i="79"/>
  <c r="C48" i="79" s="1"/>
  <c r="F1" i="80"/>
  <c r="Q52" i="80"/>
  <c r="Q57" i="80"/>
  <c r="Q66" i="80"/>
  <c r="E12" i="6"/>
  <c r="E15" i="6"/>
  <c r="E10" i="6"/>
  <c r="E14" i="6"/>
  <c r="E8" i="6"/>
  <c r="E13" i="6"/>
  <c r="E11" i="6"/>
  <c r="M7" i="1"/>
  <c r="H16" i="1"/>
  <c r="K16" i="1"/>
  <c r="G16" i="1"/>
  <c r="Q16" i="1"/>
  <c r="C34" i="69"/>
  <c r="C4" i="71"/>
  <c r="D4" i="71" s="1"/>
  <c r="D5" i="71"/>
  <c r="M20" i="43" s="1"/>
  <c r="C19" i="43" s="1"/>
  <c r="J46" i="36"/>
  <c r="R39" i="35"/>
  <c r="E38" i="35"/>
  <c r="I43" i="35" s="1"/>
  <c r="J43" i="35" s="1"/>
  <c r="AA38" i="39"/>
  <c r="S38" i="39"/>
  <c r="AB38" i="39"/>
  <c r="U38" i="39"/>
  <c r="I52" i="21"/>
  <c r="J52" i="21" s="1"/>
  <c r="I53" i="21"/>
  <c r="J53" i="21" s="1"/>
  <c r="E54" i="34"/>
  <c r="F54" i="34" s="1"/>
  <c r="E53" i="34"/>
  <c r="F53" i="34" s="1"/>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212" i="3"/>
  <c r="E77" i="3"/>
  <c r="E149" i="3"/>
  <c r="E180" i="3"/>
  <c r="E221" i="3"/>
  <c r="E91" i="3"/>
  <c r="E254" i="3"/>
  <c r="E134" i="3"/>
  <c r="E130" i="3"/>
  <c r="E189" i="3"/>
  <c r="E230" i="3"/>
  <c r="E215" i="3"/>
  <c r="E294" i="3"/>
  <c r="E335" i="3"/>
  <c r="E320" i="3"/>
  <c r="E387" i="3"/>
  <c r="E407" i="3"/>
  <c r="AB6" i="3"/>
  <c r="V6" i="3"/>
  <c r="M6" i="3"/>
  <c r="E551" i="3"/>
  <c r="E570" i="3"/>
  <c r="E559" i="3"/>
  <c r="E514" i="3"/>
  <c r="E358" i="3"/>
  <c r="E311" i="3"/>
  <c r="E128" i="3"/>
  <c r="E165" i="3"/>
  <c r="E205" i="3"/>
  <c r="E227" i="3"/>
  <c r="E336" i="3"/>
  <c r="X6" i="3"/>
  <c r="E583"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285" i="3"/>
  <c r="E352" i="3"/>
  <c r="E510" i="3"/>
  <c r="E545" i="3"/>
  <c r="E329" i="3"/>
  <c r="AJ6" i="3"/>
  <c r="N6" i="3"/>
  <c r="E322" i="3"/>
  <c r="E282" i="3"/>
  <c r="E268" i="3"/>
  <c r="E553" i="3"/>
  <c r="E526" i="3"/>
  <c r="E366" i="3"/>
  <c r="E217" i="3"/>
  <c r="E125" i="3"/>
  <c r="E337" i="3"/>
  <c r="E359" i="3"/>
  <c r="E410" i="3"/>
  <c r="E574" i="3"/>
  <c r="E555" i="3"/>
  <c r="O6" i="3"/>
  <c r="E388" i="3"/>
  <c r="E302" i="3"/>
  <c r="E503" i="3"/>
  <c r="E17" i="3"/>
  <c r="E361" i="3"/>
  <c r="E213" i="3"/>
  <c r="E183" i="3"/>
  <c r="E565" i="3"/>
  <c r="E528" i="3"/>
  <c r="E304" i="3"/>
  <c r="E261" i="3"/>
  <c r="E237" i="3"/>
  <c r="G101" i="43"/>
  <c r="J101" i="43"/>
  <c r="L101" i="43"/>
  <c r="G22" i="43"/>
  <c r="AH11" i="43"/>
  <c r="AH13" i="43" s="1"/>
  <c r="AD11" i="43"/>
  <c r="AD13" i="43" s="1"/>
  <c r="Z11" i="43"/>
  <c r="Z13" i="43" s="1"/>
  <c r="F22" i="43"/>
  <c r="F101" i="43"/>
  <c r="E22" i="43"/>
  <c r="D101" i="43"/>
  <c r="I101" i="43"/>
  <c r="AI11" i="43"/>
  <c r="AI13" i="43" s="1"/>
  <c r="AE11" i="43"/>
  <c r="AE13" i="43" s="1"/>
  <c r="AA11" i="43"/>
  <c r="AA13" i="43" s="1"/>
  <c r="J22" i="43"/>
  <c r="B113" i="43"/>
  <c r="C101" i="43"/>
  <c r="N104" i="46"/>
  <c r="H101" i="43"/>
  <c r="AJ11" i="43"/>
  <c r="AJ13" i="43" s="1"/>
  <c r="AF11" i="43"/>
  <c r="AF13" i="43" s="1"/>
  <c r="AB11" i="43"/>
  <c r="AB13" i="43" s="1"/>
  <c r="Z7" i="43"/>
  <c r="K101" i="43"/>
  <c r="N101" i="43"/>
  <c r="H22" i="43"/>
  <c r="M101" i="43"/>
  <c r="E101" i="43"/>
  <c r="AG11" i="43"/>
  <c r="AG13" i="43" s="1"/>
  <c r="AC11" i="43"/>
  <c r="AC13" i="43" s="1"/>
  <c r="Y11" i="43"/>
  <c r="Y13" i="43" s="1"/>
  <c r="I54" i="34"/>
  <c r="J54" i="34" s="1"/>
  <c r="I46" i="37"/>
  <c r="J46" i="37" s="1"/>
  <c r="Q66" i="79"/>
  <c r="Q57" i="79"/>
  <c r="F1" i="79"/>
  <c r="Q52" i="79"/>
  <c r="Q60" i="79"/>
  <c r="Q73" i="79"/>
  <c r="Q61" i="80"/>
  <c r="Q74" i="80"/>
  <c r="F69" i="15"/>
  <c r="J26" i="67"/>
  <c r="J29" i="67" s="1"/>
  <c r="C66" i="15"/>
  <c r="C60" i="15"/>
  <c r="C32" i="78"/>
  <c r="C38" i="78"/>
  <c r="C60" i="67"/>
  <c r="C66" i="67"/>
  <c r="J24" i="15"/>
  <c r="J18" i="15"/>
  <c r="J26" i="15"/>
  <c r="J29" i="15" s="1"/>
  <c r="C60" i="78"/>
  <c r="C66" i="78"/>
  <c r="C32" i="67"/>
  <c r="C38" i="67"/>
  <c r="AE7" i="1"/>
  <c r="F31" i="15"/>
  <c r="M17" i="80"/>
  <c r="F59" i="80"/>
  <c r="F6" i="80"/>
  <c r="C16" i="80"/>
  <c r="C16" i="79"/>
  <c r="M17" i="79"/>
  <c r="F6" i="79"/>
  <c r="F59" i="79"/>
  <c r="H58" i="33" l="1"/>
  <c r="I65" i="40"/>
  <c r="J63" i="40"/>
  <c r="F24" i="79"/>
  <c r="C24" i="79" s="1"/>
  <c r="F24" i="15"/>
  <c r="C24" i="15" s="1"/>
  <c r="F22" i="69"/>
  <c r="F24" i="67"/>
  <c r="F24" i="80"/>
  <c r="C24" i="80" s="1"/>
  <c r="F24" i="78"/>
  <c r="C24" i="78" s="1"/>
  <c r="F22" i="11"/>
  <c r="F25" i="12"/>
  <c r="C26" i="12" s="1"/>
  <c r="D25" i="12" s="1"/>
  <c r="F22" i="68"/>
  <c r="H6" i="3"/>
  <c r="H68" i="39"/>
  <c r="G70" i="39"/>
  <c r="C38" i="15"/>
  <c r="C66" i="80"/>
  <c r="C60" i="80"/>
  <c r="C6" i="79"/>
  <c r="C5" i="79" s="1"/>
  <c r="C6" i="80"/>
  <c r="C5" i="80" s="1"/>
  <c r="C33" i="43"/>
  <c r="C35" i="43"/>
  <c r="C36" i="43"/>
  <c r="T11" i="43"/>
  <c r="V11" i="43" s="1"/>
  <c r="T16" i="43"/>
  <c r="V16" i="43" s="1"/>
  <c r="T14" i="43"/>
  <c r="V14" i="43" s="1"/>
  <c r="T12" i="43"/>
  <c r="V12" i="43" s="1"/>
  <c r="T9" i="43"/>
  <c r="V9" i="43" s="1"/>
  <c r="T8" i="43"/>
  <c r="V8" i="43" s="1"/>
  <c r="T15" i="43"/>
  <c r="V15" i="43" s="1"/>
  <c r="T13" i="43"/>
  <c r="V13" i="43" s="1"/>
  <c r="T10" i="43"/>
  <c r="V10" i="43" s="1"/>
  <c r="C39" i="43"/>
  <c r="E39" i="43" s="1"/>
  <c r="C37" i="43"/>
  <c r="C34" i="43"/>
  <c r="C38" i="43"/>
  <c r="C60" i="79"/>
  <c r="C66" i="79"/>
  <c r="E107" i="43"/>
  <c r="E109" i="43"/>
  <c r="E102" i="43"/>
  <c r="E104" i="43"/>
  <c r="E105" i="43"/>
  <c r="E106" i="43"/>
  <c r="E103" i="43"/>
  <c r="I115" i="43"/>
  <c r="J115" i="43" s="1"/>
  <c r="K115" i="43" s="1"/>
  <c r="L115" i="43" s="1"/>
  <c r="M115" i="43" s="1"/>
  <c r="B116" i="43"/>
  <c r="C116" i="43" s="1"/>
  <c r="B118" i="43"/>
  <c r="C118" i="43" s="1"/>
  <c r="D116" i="43"/>
  <c r="E116" i="43" s="1"/>
  <c r="F116" i="43" s="1"/>
  <c r="G116" i="43" s="1"/>
  <c r="H116" i="43" s="1"/>
  <c r="D118" i="43"/>
  <c r="E118" i="43" s="1"/>
  <c r="F118" i="43" s="1"/>
  <c r="D115" i="43"/>
  <c r="E115" i="43" s="1"/>
  <c r="F115" i="43" s="1"/>
  <c r="G115" i="43" s="1"/>
  <c r="H115" i="43" s="1"/>
  <c r="D117" i="43"/>
  <c r="E117" i="43" s="1"/>
  <c r="F117" i="43" s="1"/>
  <c r="G117" i="43" s="1"/>
  <c r="H117" i="43" s="1"/>
  <c r="I118" i="43"/>
  <c r="J118" i="43" s="1"/>
  <c r="K118" i="43" s="1"/>
  <c r="L118" i="43" s="1"/>
  <c r="M118" i="43" s="1"/>
  <c r="I117" i="43"/>
  <c r="J117" i="43" s="1"/>
  <c r="K117" i="43" s="1"/>
  <c r="L117" i="43" s="1"/>
  <c r="M117" i="43" s="1"/>
  <c r="G118" i="43"/>
  <c r="H118" i="43" s="1"/>
  <c r="B115" i="43"/>
  <c r="C115" i="43" s="1"/>
  <c r="B117" i="43"/>
  <c r="C117" i="43" s="1"/>
  <c r="I116" i="43"/>
  <c r="J116" i="43" s="1"/>
  <c r="K116" i="43" s="1"/>
  <c r="L116" i="43" s="1"/>
  <c r="M116" i="43" s="1"/>
  <c r="D105" i="43"/>
  <c r="D102" i="43"/>
  <c r="D104" i="43"/>
  <c r="D109" i="43"/>
  <c r="D106" i="43"/>
  <c r="D103" i="43"/>
  <c r="D107" i="43"/>
  <c r="F106" i="43"/>
  <c r="F109" i="43"/>
  <c r="F107" i="43"/>
  <c r="F104" i="43"/>
  <c r="F105" i="43"/>
  <c r="F103" i="43"/>
  <c r="F102" i="43"/>
  <c r="G103" i="43"/>
  <c r="G105" i="43"/>
  <c r="G107" i="43"/>
  <c r="G109" i="43"/>
  <c r="G106" i="43"/>
  <c r="G102" i="43"/>
  <c r="G104" i="43"/>
  <c r="M109" i="43"/>
  <c r="M107" i="43"/>
  <c r="M102" i="43"/>
  <c r="M106" i="43"/>
  <c r="M104" i="43"/>
  <c r="M105" i="43"/>
  <c r="M103" i="43"/>
  <c r="N105" i="43"/>
  <c r="N109" i="43"/>
  <c r="N106" i="43"/>
  <c r="N102" i="43"/>
  <c r="N104" i="43"/>
  <c r="N103" i="43"/>
  <c r="N107" i="43"/>
  <c r="H106" i="43"/>
  <c r="H103" i="43"/>
  <c r="H104" i="43"/>
  <c r="H107" i="43"/>
  <c r="H105" i="43"/>
  <c r="H102" i="43"/>
  <c r="H109" i="43"/>
  <c r="C109" i="43"/>
  <c r="C104" i="43"/>
  <c r="C105" i="43"/>
  <c r="C103" i="43"/>
  <c r="C107" i="43"/>
  <c r="C106" i="43"/>
  <c r="C102" i="43"/>
  <c r="I109" i="43"/>
  <c r="I106" i="43"/>
  <c r="I104" i="43"/>
  <c r="I107" i="43"/>
  <c r="I102" i="43"/>
  <c r="I103" i="43"/>
  <c r="I105" i="43"/>
  <c r="D22" i="43"/>
  <c r="J102" i="43"/>
  <c r="J105" i="43"/>
  <c r="J106" i="43"/>
  <c r="J107" i="43"/>
  <c r="J104" i="43"/>
  <c r="J103" i="43"/>
  <c r="J109" i="43"/>
  <c r="C39" i="35"/>
  <c r="B2" i="35" s="1"/>
  <c r="B3" i="35" s="1"/>
  <c r="C38" i="35"/>
  <c r="F27" i="69"/>
  <c r="F27" i="68"/>
  <c r="F28" i="12"/>
  <c r="C29" i="12" s="1"/>
  <c r="D28" i="12" s="1"/>
  <c r="F27" i="11"/>
  <c r="E61" i="39"/>
  <c r="E56" i="40"/>
  <c r="F27" i="6"/>
  <c r="F31" i="6" s="1"/>
  <c r="E51" i="40"/>
  <c r="E56" i="39"/>
  <c r="E16" i="6"/>
  <c r="E62" i="39"/>
  <c r="E57" i="40"/>
  <c r="G46" i="37"/>
  <c r="H46" i="37" s="1"/>
  <c r="G47" i="37"/>
  <c r="H47" i="37" s="1"/>
  <c r="R43" i="37"/>
  <c r="E42" i="37"/>
  <c r="C48" i="21"/>
  <c r="C49" i="21"/>
  <c r="K24" i="6"/>
  <c r="M24" i="6" s="1"/>
  <c r="I24" i="6" s="1"/>
  <c r="S24" i="6" s="1"/>
  <c r="K21" i="6"/>
  <c r="K25" i="6"/>
  <c r="M25" i="6" s="1"/>
  <c r="I25" i="6" s="1"/>
  <c r="S25" i="6" s="1"/>
  <c r="K23" i="6"/>
  <c r="M23" i="6" s="1"/>
  <c r="I23" i="6" s="1"/>
  <c r="S23" i="6" s="1"/>
  <c r="K26" i="6"/>
  <c r="M26" i="6" s="1"/>
  <c r="I26" i="6" s="1"/>
  <c r="S26" i="6" s="1"/>
  <c r="K22" i="6"/>
  <c r="M22" i="6" s="1"/>
  <c r="I22" i="6" s="1"/>
  <c r="S22" i="6" s="1"/>
  <c r="K19" i="6"/>
  <c r="E31" i="6"/>
  <c r="K20" i="6"/>
  <c r="J6" i="79"/>
  <c r="J5" i="79" s="1"/>
  <c r="K103" i="43"/>
  <c r="K104" i="43"/>
  <c r="K102" i="43"/>
  <c r="K109" i="43"/>
  <c r="K107" i="43"/>
  <c r="K105" i="43"/>
  <c r="K106" i="43"/>
  <c r="L109" i="43"/>
  <c r="L107" i="43"/>
  <c r="L102" i="43"/>
  <c r="L104" i="43"/>
  <c r="L106" i="43"/>
  <c r="L103" i="43"/>
  <c r="L105" i="43"/>
  <c r="AC6" i="3"/>
  <c r="E6" i="3" s="1"/>
  <c r="E43" i="35"/>
  <c r="F43" i="35" s="1"/>
  <c r="E42" i="35"/>
  <c r="F42" i="35" s="1"/>
  <c r="K46" i="36"/>
  <c r="C35" i="69"/>
  <c r="C38" i="69"/>
  <c r="H10" i="40"/>
  <c r="F10" i="39"/>
  <c r="J10" i="40"/>
  <c r="F10" i="40"/>
  <c r="J10" i="39"/>
  <c r="H10" i="39"/>
  <c r="M16" i="1"/>
  <c r="E58" i="40"/>
  <c r="E63" i="39"/>
  <c r="E59" i="40"/>
  <c r="E64" i="39"/>
  <c r="E65" i="39"/>
  <c r="E60" i="40"/>
  <c r="E52" i="21"/>
  <c r="F52" i="21" s="1"/>
  <c r="E53" i="21"/>
  <c r="F53" i="21" s="1"/>
  <c r="E3" i="6"/>
  <c r="AY6" i="3"/>
  <c r="J6" i="80"/>
  <c r="J10" i="80"/>
  <c r="F31" i="80"/>
  <c r="F31" i="79"/>
  <c r="F41" i="79"/>
  <c r="F41" i="80"/>
  <c r="C24" i="67" l="1"/>
  <c r="C23" i="67"/>
  <c r="J65" i="40"/>
  <c r="K63" i="40"/>
  <c r="C26" i="68"/>
  <c r="D22" i="68" s="1"/>
  <c r="C24" i="68"/>
  <c r="C44" i="68"/>
  <c r="D41" i="68" s="1"/>
  <c r="C44" i="11"/>
  <c r="D41" i="11" s="1"/>
  <c r="C26" i="11"/>
  <c r="D22" i="11" s="1"/>
  <c r="C23" i="11"/>
  <c r="C26" i="69"/>
  <c r="D22" i="69" s="1"/>
  <c r="C44" i="69"/>
  <c r="D41" i="69" s="1"/>
  <c r="I58" i="33"/>
  <c r="F69" i="80"/>
  <c r="H70" i="39"/>
  <c r="I68" i="39"/>
  <c r="F69" i="79"/>
  <c r="D3" i="34"/>
  <c r="B2" i="34" s="1"/>
  <c r="B3" i="34" s="1"/>
  <c r="B14" i="74"/>
  <c r="B1" i="74" s="1"/>
  <c r="D37" i="11"/>
  <c r="C37" i="11" s="1"/>
  <c r="M18" i="9"/>
  <c r="B118" i="9" s="1"/>
  <c r="D14" i="12"/>
  <c r="D3" i="21"/>
  <c r="L18" i="9"/>
  <c r="E6" i="6"/>
  <c r="D3" i="33"/>
  <c r="D19" i="11"/>
  <c r="C19" i="11" s="1"/>
  <c r="D3" i="37"/>
  <c r="C17" i="4"/>
  <c r="B4" i="52" s="1"/>
  <c r="B43" i="72" s="1"/>
  <c r="U10" i="39"/>
  <c r="AB10" i="39"/>
  <c r="AA10" i="40"/>
  <c r="S10" i="40"/>
  <c r="S10" i="39"/>
  <c r="AA10" i="39"/>
  <c r="J5" i="80"/>
  <c r="AY87" i="3"/>
  <c r="AY83" i="3"/>
  <c r="AY51" i="3"/>
  <c r="AY66" i="3"/>
  <c r="AY98" i="3"/>
  <c r="AY82"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6" i="1"/>
  <c r="C34" i="11"/>
  <c r="L16" i="1"/>
  <c r="C34" i="68"/>
  <c r="W10" i="39"/>
  <c r="AC10" i="39"/>
  <c r="AC10" i="40"/>
  <c r="W10" i="40"/>
  <c r="U10" i="40"/>
  <c r="AB10" i="40"/>
  <c r="L46" i="36"/>
  <c r="S7" i="1"/>
  <c r="M20" i="6"/>
  <c r="I20" i="6" s="1"/>
  <c r="S20" i="6" s="1"/>
  <c r="S6" i="1"/>
  <c r="M19" i="6"/>
  <c r="K27" i="6"/>
  <c r="C43" i="37"/>
  <c r="B2" i="37" s="1"/>
  <c r="B3" i="37" s="1"/>
  <c r="C42" i="37"/>
  <c r="C47" i="11"/>
  <c r="D45" i="11" s="1"/>
  <c r="C29" i="11"/>
  <c r="D27" i="11" s="1"/>
  <c r="C29" i="68"/>
  <c r="D27" i="68" s="1"/>
  <c r="C47" i="68"/>
  <c r="D45" i="68" s="1"/>
  <c r="D113" i="43"/>
  <c r="G34" i="43"/>
  <c r="I34" i="43" s="1"/>
  <c r="E34" i="43"/>
  <c r="E36" i="43"/>
  <c r="G36" i="43"/>
  <c r="I36" i="43" s="1"/>
  <c r="G33" i="43"/>
  <c r="I33" i="43" s="1"/>
  <c r="E33" i="43"/>
  <c r="C32" i="80"/>
  <c r="C38" i="80"/>
  <c r="J24" i="79"/>
  <c r="J26" i="79"/>
  <c r="J29" i="79" s="1"/>
  <c r="J18" i="79"/>
  <c r="S8" i="1"/>
  <c r="M21" i="6"/>
  <c r="I21" i="6" s="1"/>
  <c r="S21" i="6" s="1"/>
  <c r="B2" i="21"/>
  <c r="B3" i="21" s="1"/>
  <c r="E47" i="37"/>
  <c r="F47" i="37" s="1"/>
  <c r="E46" i="37"/>
  <c r="F46" i="37" s="1"/>
  <c r="I47" i="37"/>
  <c r="J47" i="37" s="1"/>
  <c r="E66" i="39"/>
  <c r="C47" i="69"/>
  <c r="D45" i="69" s="1"/>
  <c r="C29" i="69"/>
  <c r="D27" i="69" s="1"/>
  <c r="S5" i="43"/>
  <c r="T5" i="43" s="1"/>
  <c r="V5" i="43" s="1"/>
  <c r="S6" i="43"/>
  <c r="T6" i="43" s="1"/>
  <c r="V6" i="43" s="1"/>
  <c r="S3" i="43"/>
  <c r="T3" i="43" s="1"/>
  <c r="V3" i="43" s="1"/>
  <c r="S7" i="43"/>
  <c r="T7" i="43" s="1"/>
  <c r="V7" i="43" s="1"/>
  <c r="C23" i="43"/>
  <c r="C21" i="43" s="1"/>
  <c r="S4" i="43"/>
  <c r="T4" i="43" s="1"/>
  <c r="V4" i="43" s="1"/>
  <c r="S2" i="43"/>
  <c r="T2" i="43" s="1"/>
  <c r="V2" i="43" s="1"/>
  <c r="G38" i="43"/>
  <c r="I38" i="43" s="1"/>
  <c r="E38" i="43"/>
  <c r="G37" i="43"/>
  <c r="I37" i="43" s="1"/>
  <c r="E37" i="43"/>
  <c r="G35" i="43"/>
  <c r="I35" i="43" s="1"/>
  <c r="E35" i="43"/>
  <c r="C32" i="79"/>
  <c r="C38" i="79"/>
  <c r="C17" i="15"/>
  <c r="C17" i="79"/>
  <c r="C17" i="78"/>
  <c r="C17" i="80"/>
  <c r="C29" i="67" l="1"/>
  <c r="C13" i="67" s="1"/>
  <c r="J58" i="33"/>
  <c r="K65" i="40"/>
  <c r="L63" i="40"/>
  <c r="J68" i="39"/>
  <c r="I70" i="39"/>
  <c r="B2" i="79"/>
  <c r="B3" i="79" s="1"/>
  <c r="Q56" i="79"/>
  <c r="Q62" i="79" s="1"/>
  <c r="Q65" i="79"/>
  <c r="Q75" i="79" s="1"/>
  <c r="Q47" i="79"/>
  <c r="Q53" i="79" s="1"/>
  <c r="I19" i="6"/>
  <c r="H19" i="6" s="1"/>
  <c r="M27" i="6"/>
  <c r="C38" i="68"/>
  <c r="C35" i="68"/>
  <c r="C38" i="11"/>
  <c r="C35" i="11"/>
  <c r="H20" i="6"/>
  <c r="M19" i="9"/>
  <c r="C118" i="9" s="1"/>
  <c r="D19" i="6"/>
  <c r="D26" i="6"/>
  <c r="C18" i="4"/>
  <c r="D8" i="6"/>
  <c r="D23" i="6"/>
  <c r="D14" i="6"/>
  <c r="D5" i="6"/>
  <c r="D12" i="6"/>
  <c r="D11" i="6"/>
  <c r="D13" i="6"/>
  <c r="D28" i="6"/>
  <c r="E61" i="40"/>
  <c r="H22" i="6"/>
  <c r="H21" i="6"/>
  <c r="H24" i="6"/>
  <c r="C14" i="74"/>
  <c r="B2" i="74" s="1"/>
  <c r="D25" i="6"/>
  <c r="D15" i="6"/>
  <c r="D22" i="6"/>
  <c r="D21" i="6"/>
  <c r="D24" i="6"/>
  <c r="D20" i="6"/>
  <c r="R20" i="6" s="1"/>
  <c r="R7" i="1" s="1"/>
  <c r="D6" i="6"/>
  <c r="D9" i="6"/>
  <c r="D10" i="6"/>
  <c r="L19" i="9"/>
  <c r="D29" i="6"/>
  <c r="H25" i="6"/>
  <c r="R25" i="6" s="1"/>
  <c r="H23" i="6"/>
  <c r="H26" i="6"/>
  <c r="J26" i="80"/>
  <c r="J29" i="80" s="1"/>
  <c r="J24" i="80"/>
  <c r="J18" i="80"/>
  <c r="C20" i="11"/>
  <c r="C25" i="11" s="1"/>
  <c r="C24" i="11"/>
  <c r="D17" i="12"/>
  <c r="C17" i="12" s="1"/>
  <c r="C14" i="12"/>
  <c r="C16" i="12" s="1"/>
  <c r="C29" i="43"/>
  <c r="E8" i="70"/>
  <c r="AQ8" i="1"/>
  <c r="T8" i="1"/>
  <c r="AR8" i="1"/>
  <c r="AR6" i="1"/>
  <c r="E6" i="70"/>
  <c r="AQ6" i="1"/>
  <c r="S16" i="1"/>
  <c r="T6" i="1"/>
  <c r="AQ7" i="1"/>
  <c r="AR7" i="1"/>
  <c r="T7" i="1"/>
  <c r="E7" i="70"/>
  <c r="M46" i="36"/>
  <c r="N46" i="36" s="1"/>
  <c r="O46" i="36" s="1"/>
  <c r="J7" i="36" s="1"/>
  <c r="F50" i="11"/>
  <c r="F50" i="68"/>
  <c r="F50" i="69"/>
  <c r="D10" i="11"/>
  <c r="C10" i="11" s="1"/>
  <c r="D10" i="68"/>
  <c r="D20" i="12"/>
  <c r="C20" i="12" s="1"/>
  <c r="D10" i="69"/>
  <c r="C7" i="74"/>
  <c r="C8" i="74"/>
  <c r="M21" i="80"/>
  <c r="F35" i="80"/>
  <c r="F35" i="79"/>
  <c r="C14" i="80"/>
  <c r="C14" i="79"/>
  <c r="C14" i="78"/>
  <c r="M21" i="79"/>
  <c r="C14" i="15"/>
  <c r="Q49" i="67" l="1"/>
  <c r="J14" i="67"/>
  <c r="J13" i="67" s="1"/>
  <c r="J23" i="67" s="1"/>
  <c r="C33" i="67"/>
  <c r="C31" i="67" s="1"/>
  <c r="C36" i="67"/>
  <c r="J59" i="67"/>
  <c r="J60" i="67" s="1"/>
  <c r="Q48" i="67" s="1"/>
  <c r="J19" i="67"/>
  <c r="J17" i="67" s="1"/>
  <c r="C57" i="67"/>
  <c r="C61" i="67" s="1"/>
  <c r="C59" i="67" s="1"/>
  <c r="J22" i="67"/>
  <c r="K58" i="33"/>
  <c r="L58" i="33" s="1"/>
  <c r="M58" i="33" s="1"/>
  <c r="N58" i="33" s="1"/>
  <c r="O58" i="33" s="1"/>
  <c r="J7" i="33"/>
  <c r="F7" i="33"/>
  <c r="F7" i="36"/>
  <c r="R24" i="6"/>
  <c r="R22" i="6"/>
  <c r="C64" i="67"/>
  <c r="Q70" i="67"/>
  <c r="C37" i="67"/>
  <c r="C56" i="67"/>
  <c r="C65" i="67" s="1"/>
  <c r="C75" i="67"/>
  <c r="L65" i="40"/>
  <c r="M63" i="40"/>
  <c r="H7" i="33"/>
  <c r="C33" i="11"/>
  <c r="C42" i="11" s="1"/>
  <c r="K68" i="39"/>
  <c r="J70" i="39"/>
  <c r="C22" i="11"/>
  <c r="C15" i="15"/>
  <c r="C18" i="15"/>
  <c r="C15" i="78"/>
  <c r="C18" i="78"/>
  <c r="C34" i="79"/>
  <c r="F63" i="79"/>
  <c r="C62" i="79" s="1"/>
  <c r="J20" i="80"/>
  <c r="J20" i="79"/>
  <c r="F63" i="80"/>
  <c r="C62" i="80" s="1"/>
  <c r="C34" i="80"/>
  <c r="C18" i="80"/>
  <c r="C15" i="80"/>
  <c r="C15" i="79"/>
  <c r="C18" i="79"/>
  <c r="S7" i="36"/>
  <c r="AA7" i="36"/>
  <c r="R36" i="36" s="1"/>
  <c r="T16" i="1"/>
  <c r="R21" i="6"/>
  <c r="R8" i="1" s="1"/>
  <c r="D7" i="74"/>
  <c r="D8" i="74"/>
  <c r="D30" i="6"/>
  <c r="R23" i="6"/>
  <c r="A7" i="51"/>
  <c r="B7" i="72" s="1"/>
  <c r="A10" i="51"/>
  <c r="B9" i="72" s="1"/>
  <c r="C4" i="52"/>
  <c r="B45" i="72" s="1"/>
  <c r="D27" i="6"/>
  <c r="D31" i="6" s="1"/>
  <c r="R19" i="6"/>
  <c r="R6" i="1" s="1"/>
  <c r="S19" i="6"/>
  <c r="S27" i="6" s="1"/>
  <c r="I27" i="6"/>
  <c r="D19" i="69"/>
  <c r="C10" i="69"/>
  <c r="C8" i="69" s="1"/>
  <c r="C5" i="69" s="1"/>
  <c r="C10" i="68"/>
  <c r="B29" i="1" s="1"/>
  <c r="C8" i="68" s="1"/>
  <c r="H9" i="68" s="1"/>
  <c r="D19" i="68"/>
  <c r="D37" i="68" s="1"/>
  <c r="C37" i="68" s="1"/>
  <c r="C33" i="68" s="1"/>
  <c r="W7" i="36"/>
  <c r="AC7" i="36"/>
  <c r="V36" i="36" s="1"/>
  <c r="I36" i="36" s="1"/>
  <c r="E2" i="70"/>
  <c r="E29" i="43"/>
  <c r="C26" i="43" s="1"/>
  <c r="C30" i="43"/>
  <c r="E30" i="43" s="1"/>
  <c r="C27" i="43" s="1"/>
  <c r="C28" i="11"/>
  <c r="C27" i="11" s="1"/>
  <c r="H27" i="6"/>
  <c r="D16" i="6"/>
  <c r="R26" i="6"/>
  <c r="R27" i="6" s="1"/>
  <c r="C39" i="11"/>
  <c r="H7" i="36"/>
  <c r="M21" i="78"/>
  <c r="F35" i="15"/>
  <c r="F35" i="78"/>
  <c r="M21" i="15"/>
  <c r="E6" i="76"/>
  <c r="C30" i="67" l="1"/>
  <c r="C39" i="67" s="1"/>
  <c r="C80" i="67" s="1"/>
  <c r="C79" i="67" s="1"/>
  <c r="L46" i="67"/>
  <c r="AB7" i="33"/>
  <c r="T48" i="33" s="1"/>
  <c r="G48" i="33" s="1"/>
  <c r="G52" i="33" s="1"/>
  <c r="H52" i="33" s="1"/>
  <c r="U7" i="33"/>
  <c r="C58" i="67"/>
  <c r="C67" i="67" s="1"/>
  <c r="C68" i="67" s="1"/>
  <c r="W7" i="33"/>
  <c r="AC7" i="33"/>
  <c r="V48" i="33" s="1"/>
  <c r="I48" i="33" s="1"/>
  <c r="M65" i="40"/>
  <c r="N63" i="40"/>
  <c r="S7" i="33"/>
  <c r="AA7" i="33"/>
  <c r="R48" i="33" s="1"/>
  <c r="J16" i="67"/>
  <c r="J25" i="67" s="1"/>
  <c r="K70" i="39"/>
  <c r="L68" i="39"/>
  <c r="C19" i="80"/>
  <c r="C20" i="80" s="1"/>
  <c r="C26" i="80" s="1"/>
  <c r="C19" i="15"/>
  <c r="C20" i="15" s="1"/>
  <c r="C26" i="15" s="1"/>
  <c r="C31" i="11"/>
  <c r="C19" i="79"/>
  <c r="C20" i="79" s="1"/>
  <c r="C26" i="79" s="1"/>
  <c r="C19" i="78"/>
  <c r="C20" i="78" s="1"/>
  <c r="C26" i="78" s="1"/>
  <c r="E2" i="76"/>
  <c r="J20" i="15"/>
  <c r="F63" i="15"/>
  <c r="C62" i="15" s="1"/>
  <c r="C34" i="15"/>
  <c r="C34" i="78"/>
  <c r="F63" i="78"/>
  <c r="C62" i="78" s="1"/>
  <c r="J20" i="78"/>
  <c r="C39" i="68"/>
  <c r="C42" i="68"/>
  <c r="C46" i="11"/>
  <c r="C45" i="11" s="1"/>
  <c r="C43" i="11"/>
  <c r="C41" i="11" s="1"/>
  <c r="U7" i="36"/>
  <c r="AB7" i="36"/>
  <c r="T36" i="36" s="1"/>
  <c r="G36" i="36" s="1"/>
  <c r="B2" i="43"/>
  <c r="I40" i="36"/>
  <c r="J40" i="36" s="1"/>
  <c r="C23" i="69"/>
  <c r="R16" i="1"/>
  <c r="D37" i="69"/>
  <c r="C37" i="69" s="1"/>
  <c r="C33" i="69" s="1"/>
  <c r="C19" i="69"/>
  <c r="C24" i="69" s="1"/>
  <c r="I5" i="6"/>
  <c r="I6" i="6"/>
  <c r="E36" i="36"/>
  <c r="R37" i="36"/>
  <c r="C18" i="12"/>
  <c r="C21" i="12" s="1"/>
  <c r="B6" i="76"/>
  <c r="L51" i="67"/>
  <c r="Q69" i="67" l="1"/>
  <c r="Q68" i="67" s="1"/>
  <c r="C40" i="67"/>
  <c r="C43" i="67" s="1"/>
  <c r="Q67" i="67"/>
  <c r="L57" i="67"/>
  <c r="L60" i="67" s="1"/>
  <c r="E48" i="33"/>
  <c r="R49" i="33"/>
  <c r="G53" i="33"/>
  <c r="H53" i="33" s="1"/>
  <c r="I52" i="33"/>
  <c r="J52" i="33" s="1"/>
  <c r="C71" i="67"/>
  <c r="O63" i="40"/>
  <c r="O65" i="40" s="1"/>
  <c r="N65" i="40"/>
  <c r="C49" i="11"/>
  <c r="C51" i="11" s="1"/>
  <c r="C52" i="11" s="1"/>
  <c r="B2" i="11" s="1"/>
  <c r="B3" i="11" s="1"/>
  <c r="L70" i="39"/>
  <c r="M68" i="39"/>
  <c r="C23" i="15"/>
  <c r="C29" i="15" s="1"/>
  <c r="C36" i="15" s="1"/>
  <c r="C23" i="80"/>
  <c r="C29" i="80" s="1"/>
  <c r="C13" i="80" s="1"/>
  <c r="B2" i="76"/>
  <c r="B3" i="76" s="1"/>
  <c r="B3" i="43"/>
  <c r="G40" i="36"/>
  <c r="H40" i="36" s="1"/>
  <c r="G41" i="36"/>
  <c r="H41" i="36" s="1"/>
  <c r="C23" i="79"/>
  <c r="C29" i="79" s="1"/>
  <c r="C23" i="78"/>
  <c r="C29" i="78" s="1"/>
  <c r="C22" i="12"/>
  <c r="C30" i="12" s="1"/>
  <c r="C28" i="12" s="1"/>
  <c r="E40" i="36"/>
  <c r="F40" i="36" s="1"/>
  <c r="E41" i="36"/>
  <c r="F41" i="36" s="1"/>
  <c r="C39" i="69"/>
  <c r="C43" i="69" s="1"/>
  <c r="C42" i="69"/>
  <c r="C36" i="36"/>
  <c r="C37" i="36"/>
  <c r="B2" i="36" s="1"/>
  <c r="B3" i="36" s="1"/>
  <c r="C20" i="69"/>
  <c r="I41" i="36"/>
  <c r="J41" i="36" s="1"/>
  <c r="C46" i="68"/>
  <c r="C45" i="68" s="1"/>
  <c r="C43" i="68"/>
  <c r="C41" i="68" s="1"/>
  <c r="Q47" i="67" l="1"/>
  <c r="Q53" i="67" s="1"/>
  <c r="C45" i="67"/>
  <c r="C46" i="67" s="1"/>
  <c r="C83" i="67"/>
  <c r="C82" i="67" s="1"/>
  <c r="Q65" i="67"/>
  <c r="J19" i="15"/>
  <c r="J17" i="15" s="1"/>
  <c r="Q56" i="67"/>
  <c r="D2" i="67"/>
  <c r="B3" i="67" s="1"/>
  <c r="F7" i="40"/>
  <c r="H7" i="40"/>
  <c r="E53" i="33"/>
  <c r="F53" i="33" s="1"/>
  <c r="E52" i="33"/>
  <c r="F52" i="33" s="1"/>
  <c r="J7" i="40"/>
  <c r="I53" i="33"/>
  <c r="J53" i="33" s="1"/>
  <c r="C49" i="33"/>
  <c r="B2" i="33" s="1"/>
  <c r="B3" i="33" s="1"/>
  <c r="C48" i="33"/>
  <c r="Q66" i="67"/>
  <c r="Q75" i="67" s="1"/>
  <c r="Q57" i="67"/>
  <c r="Q49" i="15"/>
  <c r="C13" i="15"/>
  <c r="C75" i="15" s="1"/>
  <c r="C33" i="15"/>
  <c r="C31" i="15" s="1"/>
  <c r="M70" i="39"/>
  <c r="N68" i="39"/>
  <c r="C56" i="11"/>
  <c r="C57" i="11" s="1"/>
  <c r="Q49" i="80"/>
  <c r="C57" i="15"/>
  <c r="C64" i="15" s="1"/>
  <c r="J14" i="15"/>
  <c r="J22" i="15" s="1"/>
  <c r="C33" i="80"/>
  <c r="C31" i="80" s="1"/>
  <c r="C57" i="80"/>
  <c r="C61" i="80" s="1"/>
  <c r="C59" i="80" s="1"/>
  <c r="J19" i="80"/>
  <c r="J17" i="80" s="1"/>
  <c r="C41" i="69"/>
  <c r="C36" i="80"/>
  <c r="J14" i="80"/>
  <c r="J22" i="80" s="1"/>
  <c r="C49" i="68"/>
  <c r="C51" i="68" s="1"/>
  <c r="C46" i="69"/>
  <c r="C45" i="69" s="1"/>
  <c r="C27" i="12"/>
  <c r="C25" i="12" s="1"/>
  <c r="C32" i="12" s="1"/>
  <c r="B2" i="12" s="1"/>
  <c r="B3" i="12" s="1"/>
  <c r="C64" i="80"/>
  <c r="C61" i="15"/>
  <c r="C59" i="15" s="1"/>
  <c r="J13" i="15"/>
  <c r="J23" i="15" s="1"/>
  <c r="C57" i="78"/>
  <c r="Q49" i="78"/>
  <c r="C36" i="78"/>
  <c r="C33" i="78"/>
  <c r="C31" i="78" s="1"/>
  <c r="J14" i="78"/>
  <c r="C13" i="78"/>
  <c r="J19" i="78"/>
  <c r="J17" i="78" s="1"/>
  <c r="C28" i="69"/>
  <c r="C27" i="69" s="1"/>
  <c r="C25" i="69"/>
  <c r="C22" i="69" s="1"/>
  <c r="C75" i="80"/>
  <c r="C37" i="80"/>
  <c r="C56" i="80"/>
  <c r="C65" i="80" s="1"/>
  <c r="Q70" i="80"/>
  <c r="J14" i="79"/>
  <c r="C57" i="79"/>
  <c r="C33" i="79"/>
  <c r="C31" i="79" s="1"/>
  <c r="C36" i="79"/>
  <c r="C13" i="79"/>
  <c r="Q49" i="79"/>
  <c r="J19" i="79"/>
  <c r="J17" i="79" s="1"/>
  <c r="Q62" i="67" l="1"/>
  <c r="B2" i="67"/>
  <c r="AB7" i="40"/>
  <c r="T42" i="40" s="1"/>
  <c r="G42" i="40" s="1"/>
  <c r="U7" i="40"/>
  <c r="W7" i="40"/>
  <c r="AC7" i="40"/>
  <c r="V42" i="40" s="1"/>
  <c r="I42" i="40" s="1"/>
  <c r="AA7" i="40"/>
  <c r="R42" i="40" s="1"/>
  <c r="S7" i="40"/>
  <c r="J13" i="80"/>
  <c r="J23" i="80" s="1"/>
  <c r="C37" i="15"/>
  <c r="C30" i="15" s="1"/>
  <c r="C39" i="15" s="1"/>
  <c r="C80" i="15" s="1"/>
  <c r="C79" i="15" s="1"/>
  <c r="Q70" i="15"/>
  <c r="C56" i="15"/>
  <c r="C65" i="15" s="1"/>
  <c r="C58" i="15" s="1"/>
  <c r="C67" i="15" s="1"/>
  <c r="C68" i="15" s="1"/>
  <c r="N70" i="39"/>
  <c r="O68" i="39"/>
  <c r="O70" i="39" s="1"/>
  <c r="H7" i="39" s="1"/>
  <c r="F7" i="39"/>
  <c r="J7" i="39"/>
  <c r="J16" i="15"/>
  <c r="J25" i="15" s="1"/>
  <c r="C30" i="80"/>
  <c r="C39" i="80" s="1"/>
  <c r="Q69" i="80" s="1"/>
  <c r="Q68" i="80" s="1"/>
  <c r="J16" i="80"/>
  <c r="J25" i="80" s="1"/>
  <c r="C49" i="69"/>
  <c r="C51" i="69" s="1"/>
  <c r="C64" i="79"/>
  <c r="C61" i="79"/>
  <c r="C59" i="79" s="1"/>
  <c r="C37" i="78"/>
  <c r="C30" i="78" s="1"/>
  <c r="C39" i="78" s="1"/>
  <c r="Q70" i="78"/>
  <c r="C56" i="78"/>
  <c r="C65" i="78" s="1"/>
  <c r="C83" i="78"/>
  <c r="C82" i="78" s="1"/>
  <c r="C75" i="78"/>
  <c r="C75" i="79"/>
  <c r="C56" i="79"/>
  <c r="C65" i="79" s="1"/>
  <c r="C83" i="79"/>
  <c r="C82" i="79" s="1"/>
  <c r="C37" i="79"/>
  <c r="C30" i="79" s="1"/>
  <c r="C39" i="79" s="1"/>
  <c r="Q70" i="79"/>
  <c r="J13" i="79"/>
  <c r="J23" i="79" s="1"/>
  <c r="J22" i="79"/>
  <c r="C31" i="69"/>
  <c r="J22" i="78"/>
  <c r="J13" i="78"/>
  <c r="J23" i="78" s="1"/>
  <c r="C61" i="78"/>
  <c r="C59" i="78" s="1"/>
  <c r="C64" i="78"/>
  <c r="C58" i="80"/>
  <c r="C67" i="80" s="1"/>
  <c r="C68" i="80" s="1"/>
  <c r="L51" i="15"/>
  <c r="I46" i="40" l="1"/>
  <c r="J46" i="40" s="1"/>
  <c r="R43" i="40"/>
  <c r="E42" i="40"/>
  <c r="G47" i="40"/>
  <c r="H47" i="40" s="1"/>
  <c r="G46" i="40"/>
  <c r="H46" i="40" s="1"/>
  <c r="C80" i="78"/>
  <c r="C79" i="78" s="1"/>
  <c r="C40" i="15"/>
  <c r="Q47" i="15" s="1"/>
  <c r="Q53" i="15" s="1"/>
  <c r="Q69" i="15"/>
  <c r="Q68" i="15" s="1"/>
  <c r="C40" i="80"/>
  <c r="B2" i="80" s="1"/>
  <c r="C52" i="69"/>
  <c r="B2" i="69" s="1"/>
  <c r="B3" i="69" s="1"/>
  <c r="AC7" i="39"/>
  <c r="V47" i="39" s="1"/>
  <c r="I47" i="39" s="1"/>
  <c r="I51" i="39" s="1"/>
  <c r="J51" i="39" s="1"/>
  <c r="W7" i="39"/>
  <c r="AB7" i="39"/>
  <c r="T47" i="39" s="1"/>
  <c r="G47" i="39" s="1"/>
  <c r="U7" i="39"/>
  <c r="AA7" i="39"/>
  <c r="R47" i="39" s="1"/>
  <c r="S7" i="39"/>
  <c r="C80" i="80"/>
  <c r="C79" i="80" s="1"/>
  <c r="C58" i="78"/>
  <c r="C67" i="78" s="1"/>
  <c r="C68" i="78" s="1"/>
  <c r="C46" i="78" s="1"/>
  <c r="J16" i="78"/>
  <c r="J25" i="78" s="1"/>
  <c r="J26" i="78" s="1"/>
  <c r="J29" i="78" s="1"/>
  <c r="Q56" i="78" s="1"/>
  <c r="Q62" i="78" s="1"/>
  <c r="J16" i="79"/>
  <c r="J25" i="79" s="1"/>
  <c r="Q67" i="15"/>
  <c r="C71" i="15"/>
  <c r="C46" i="15"/>
  <c r="Q69" i="79"/>
  <c r="Q68" i="79" s="1"/>
  <c r="C46" i="80"/>
  <c r="C71" i="80"/>
  <c r="B2" i="15"/>
  <c r="C80" i="79"/>
  <c r="C79" i="79" s="1"/>
  <c r="Q69" i="78"/>
  <c r="Q68" i="78" s="1"/>
  <c r="C58" i="79"/>
  <c r="C67" i="79" s="1"/>
  <c r="C68" i="79" s="1"/>
  <c r="L51" i="80"/>
  <c r="L51" i="78"/>
  <c r="AO6" i="1"/>
  <c r="L51" i="79"/>
  <c r="AO7" i="1"/>
  <c r="B7" i="70" l="1"/>
  <c r="E46" i="40"/>
  <c r="F46" i="40" s="1"/>
  <c r="E47" i="40"/>
  <c r="F47" i="40" s="1"/>
  <c r="I47" i="40"/>
  <c r="J47" i="40" s="1"/>
  <c r="C43" i="40"/>
  <c r="C42" i="40"/>
  <c r="Q56" i="15"/>
  <c r="Q62" i="15" s="1"/>
  <c r="Q65" i="80"/>
  <c r="Q75" i="80" s="1"/>
  <c r="C43" i="15"/>
  <c r="C43" i="80"/>
  <c r="C83" i="15"/>
  <c r="C82" i="15" s="1"/>
  <c r="Q65" i="15"/>
  <c r="Q75" i="15" s="1"/>
  <c r="Q47" i="80"/>
  <c r="Q53" i="80" s="1"/>
  <c r="C83" i="80"/>
  <c r="C82" i="80" s="1"/>
  <c r="Q56" i="80"/>
  <c r="Q62" i="80" s="1"/>
  <c r="C57" i="69"/>
  <c r="C56" i="69" s="1"/>
  <c r="Q47" i="78"/>
  <c r="Q53" i="78" s="1"/>
  <c r="Q67" i="80"/>
  <c r="G52" i="39"/>
  <c r="H52" i="39" s="1"/>
  <c r="G51" i="39"/>
  <c r="H51" i="39" s="1"/>
  <c r="R48" i="39"/>
  <c r="E47" i="39"/>
  <c r="Q65" i="78"/>
  <c r="Q75" i="78" s="1"/>
  <c r="B2" i="78"/>
  <c r="C71" i="78"/>
  <c r="Q67" i="78"/>
  <c r="B6" i="70"/>
  <c r="Q67" i="79"/>
  <c r="C71" i="79"/>
  <c r="C46" i="79"/>
  <c r="B3" i="80"/>
  <c r="B3" i="15"/>
  <c r="AO8" i="1"/>
  <c r="B2" i="70" l="1"/>
  <c r="B57" i="40"/>
  <c r="F57" i="40" s="1"/>
  <c r="B56" i="40"/>
  <c r="F56" i="40" s="1"/>
  <c r="B53" i="40"/>
  <c r="F53" i="40" s="1"/>
  <c r="B52" i="40"/>
  <c r="F52" i="40" s="1"/>
  <c r="B55" i="40"/>
  <c r="F55" i="40" s="1"/>
  <c r="B59" i="40"/>
  <c r="F59" i="40" s="1"/>
  <c r="B54" i="40"/>
  <c r="F54" i="40" s="1"/>
  <c r="B58" i="40"/>
  <c r="F58" i="40" s="1"/>
  <c r="B51" i="40"/>
  <c r="F51" i="40" s="1"/>
  <c r="B60" i="40"/>
  <c r="F60" i="40" s="1"/>
  <c r="F61" i="40"/>
  <c r="B2" i="40" s="1"/>
  <c r="B3" i="40" s="1"/>
  <c r="E52" i="39"/>
  <c r="F52" i="39" s="1"/>
  <c r="E51" i="39"/>
  <c r="F51" i="39" s="1"/>
  <c r="I52" i="39"/>
  <c r="J52" i="39" s="1"/>
  <c r="C48" i="39"/>
  <c r="C47" i="39"/>
  <c r="B8" i="70"/>
  <c r="B3" i="78"/>
  <c r="D19" i="9"/>
  <c r="B63" i="39" l="1"/>
  <c r="F63" i="39" s="1"/>
  <c r="B57" i="39"/>
  <c r="F57" i="39" s="1"/>
  <c r="B59" i="39"/>
  <c r="F59" i="39" s="1"/>
  <c r="B62" i="39"/>
  <c r="F62" i="39" s="1"/>
  <c r="B61" i="39"/>
  <c r="F61" i="39" s="1"/>
  <c r="B64" i="39"/>
  <c r="F64" i="39" s="1"/>
  <c r="B60" i="39"/>
  <c r="F60" i="39" s="1"/>
  <c r="B65" i="39"/>
  <c r="F65" i="39" s="1"/>
  <c r="B58" i="39"/>
  <c r="F58" i="39" s="1"/>
  <c r="B56" i="39"/>
  <c r="F56" i="39" s="1"/>
  <c r="D21" i="9"/>
  <c r="D102" i="9"/>
  <c r="B3" i="70"/>
  <c r="D20" i="9"/>
  <c r="F66" i="39" l="1"/>
  <c r="B2" i="39" s="1"/>
  <c r="D103" i="9"/>
  <c r="B3" i="39" l="1"/>
  <c r="C6" i="68"/>
  <c r="C7" i="68" s="1"/>
  <c r="C5" i="68" s="1"/>
  <c r="C23" i="68" s="1"/>
  <c r="C20" i="68" l="1"/>
  <c r="C25" i="68" s="1"/>
  <c r="C22" i="68" s="1"/>
  <c r="C28" i="68" l="1"/>
  <c r="C27" i="68" s="1"/>
  <c r="C31" i="68" s="1"/>
  <c r="C52" i="68" s="1"/>
  <c r="C57" i="68" s="1"/>
  <c r="C56" i="68" s="1"/>
  <c r="B2" i="68" l="1"/>
  <c r="C19" i="9"/>
  <c r="C102" i="9" l="1"/>
  <c r="G19" i="9"/>
  <c r="C32" i="9" s="1"/>
  <c r="C21" i="9"/>
  <c r="D22" i="9"/>
  <c r="B3" i="68"/>
  <c r="G21" i="9"/>
  <c r="C20" i="9"/>
  <c r="D35" i="9"/>
  <c r="D34" i="9"/>
  <c r="C103" i="9" l="1"/>
  <c r="G20" i="9"/>
  <c r="H118" i="9"/>
  <c r="C35" i="9"/>
  <c r="F118" i="9" s="1"/>
  <c r="C34" i="9" l="1"/>
  <c r="D118" i="9" s="1"/>
  <c r="D4" i="52" s="1"/>
  <c r="B47" i="72" s="1"/>
  <c r="F119" i="9"/>
  <c r="F5" i="52" s="1"/>
  <c r="B53" i="72" s="1"/>
  <c r="F4" i="52"/>
  <c r="B51" i="72" s="1"/>
  <c r="G118" i="9"/>
  <c r="G4" i="52" s="1"/>
  <c r="B52" i="72" s="1"/>
  <c r="H101" i="9"/>
  <c r="J102" i="9" s="1"/>
  <c r="H4" i="52"/>
  <c r="C104" i="9"/>
  <c r="I118" i="9"/>
  <c r="D14" i="74"/>
  <c r="H119" i="9"/>
  <c r="H5" i="52" s="1"/>
  <c r="D119" i="9" l="1"/>
  <c r="D5" i="52" s="1"/>
  <c r="B49" i="72" s="1"/>
  <c r="I4" i="52"/>
  <c r="C105" i="9"/>
  <c r="H102" i="9"/>
  <c r="D7" i="53" s="1"/>
  <c r="B21" i="72" s="1"/>
  <c r="E118" i="9"/>
  <c r="E4" i="52" s="1"/>
  <c r="B48" i="72" s="1"/>
  <c r="E14" i="74"/>
  <c r="F14" i="74"/>
  <c r="B5" i="74"/>
  <c r="D5" i="53"/>
  <c r="H107" i="9"/>
  <c r="M48" i="9"/>
  <c r="D45" i="9"/>
  <c r="C64" i="9" l="1"/>
  <c r="C63" i="9" s="1"/>
  <c r="C67" i="9" s="1"/>
  <c r="C68" i="9" s="1"/>
  <c r="D54" i="9" s="1"/>
  <c r="C78" i="9"/>
  <c r="C73" i="9" s="1"/>
  <c r="D52" i="9"/>
  <c r="C85" i="9"/>
  <c r="D53" i="9"/>
  <c r="C93" i="9"/>
  <c r="C86" i="9" s="1"/>
  <c r="C72" i="9"/>
  <c r="D55" i="9"/>
  <c r="M53" i="9" s="1"/>
  <c r="C5" i="74"/>
  <c r="D5" i="74"/>
  <c r="D6" i="53"/>
  <c r="B22" i="72" s="1"/>
  <c r="B20" i="72"/>
  <c r="D13" i="53"/>
  <c r="H108" i="9"/>
  <c r="D15" i="53" s="1"/>
  <c r="B31" i="72" s="1"/>
  <c r="D122" i="9"/>
  <c r="C79" i="9" l="1"/>
  <c r="C80" i="9" s="1"/>
  <c r="E80" i="9" s="1"/>
  <c r="E81" i="9" s="1"/>
  <c r="G14" i="74"/>
  <c r="B6" i="74" s="1"/>
  <c r="D123" i="9"/>
  <c r="D9" i="52" s="1"/>
  <c r="D8" i="52"/>
  <c r="D14" i="53"/>
  <c r="B32" i="72" s="1"/>
  <c r="B30" i="72"/>
  <c r="C95" i="9"/>
  <c r="C81" i="9" l="1"/>
  <c r="C96" i="9"/>
  <c r="E96" i="9" s="1"/>
  <c r="E97" i="9" s="1"/>
  <c r="D6" i="74"/>
  <c r="C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<sst xmlns="http://schemas.openxmlformats.org/spreadsheetml/2006/main" count="8663" uniqueCount="3166">
  <si>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</si>
  <si>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</si>
  <si>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</si>
  <si>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</si>
  <si>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</si>
  <si>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</si>
  <si>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</si>
  <si>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</si>
  <si>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</si>
  <si>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</si>
  <si>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</si>
  <si>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</si>
  <si>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</si>
  <si>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</si>
  <si>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</si>
  <si>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</si>
  <si>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</si>
  <si>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</si>
  <si>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</si>
  <si>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</si>
  <si>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</si>
  <si>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</si>
  <si>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</si>
  <si>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</si>
  <si>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</si>
  <si>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</si>
  <si>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</si>
  <si>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</si>
  <si>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</si>
  <si>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</si>
  <si>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</si>
  <si>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</si>
  <si>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</si>
  <si>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</si>
  <si>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</si>
  <si>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</si>
  <si>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</si>
  <si>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</si>
  <si>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</si>
  <si>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</si>
  <si>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</si>
  <si>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</si>
  <si>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</si>
  <si>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</si>
  <si>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</si>
  <si>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</si>
  <si>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</si>
  <si>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</si>
  <si>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</si>
  <si>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</si>
  <si>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</si>
  <si>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</si>
  <si>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</si>
  <si>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</si>
  <si>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</si>
  <si>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</si>
  <si>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</si>
  <si>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</si>
  <si>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</si>
  <si>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</si>
  <si>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</si>
  <si>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</si>
  <si>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</si>
  <si>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</si>
  <si>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</si>
  <si>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</si>
  <si>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</si>
  <si>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</si>
  <si>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</si>
  <si>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</si>
  <si>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</si>
  <si>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</si>
  <si>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</si>
  <si>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</si>
  <si>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</si>
  <si>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</si>
  <si>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</si>
  <si>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</si>
  <si>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</si>
  <si>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</si>
  <si>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</si>
  <si>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</si>
  <si>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</si>
  <si>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</si>
  <si>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</si>
  <si>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</si>
  <si>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</si>
  <si>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</si>
  <si>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</si>
  <si>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</si>
  <si>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</si>
  <si>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</si>
  <si>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</si>
  <si>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</si>
  <si>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</si>
  <si>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</si>
  <si>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</si>
  <si>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</si>
  <si>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</si>
  <si>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</si>
  <si>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</si>
  <si>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</si>
  <si>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</si>
  <si>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</si>
  <si>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</si>
  <si>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</si>
  <si>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</si>
  <si>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</si>
  <si>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</si>
  <si>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</si>
  <si>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</si>
  <si>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</si>
  <si>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</si>
  <si>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</si>
  <si>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</si>
  <si>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</si>
  <si>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</si>
  <si>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</si>
  <si>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</si>
  <si>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</si>
  <si>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</si>
  <si>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</si>
  <si>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</si>
  <si>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</si>
  <si>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</si>
  <si>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</si>
  <si>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</si>
  <si>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</si>
  <si>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</si>
  <si>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</si>
  <si>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</si>
  <si>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</si>
  <si>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</si>
  <si>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</si>
  <si>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</si>
  <si>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</si>
  <si>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</si>
  <si>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</si>
  <si>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</si>
  <si>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</si>
  <si>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</si>
  <si>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</si>
  <si>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</si>
  <si>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</si>
  <si>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</si>
  <si>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</si>
  <si>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</si>
  <si>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</si>
  <si>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</si>
  <si>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</si>
  <si>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</si>
  <si>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</si>
  <si>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</si>
  <si>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</si>
  <si>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</si>
  <si>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</si>
  <si>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</si>
  <si>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</si>
  <si>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</si>
  <si>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</si>
  <si>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</si>
  <si>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</si>
  <si>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</si>
  <si>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</si>
  <si>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</si>
  <si>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</si>
  <si>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</si>
  <si>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</si>
  <si>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</si>
  <si>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</si>
  <si>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</si>
  <si>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</si>
  <si>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</si>
  <si>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</si>
  <si>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</si>
  <si>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</si>
  <si>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</si>
  <si>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</si>
  <si>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</si>
  <si>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</si>
  <si>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</si>
  <si>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</si>
  <si>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</si>
  <si>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</si>
  <si>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</si>
  <si>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</si>
  <si>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</si>
  <si>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</si>
  <si>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</si>
  <si>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</si>
  <si>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</si>
  <si>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</si>
  <si>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</si>
  <si>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</si>
  <si>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</si>
  <si>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</si>
  <si>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</si>
  <si>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</si>
  <si>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</si>
  <si>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</si>
  <si>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</si>
  <si>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</si>
  <si>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</si>
  <si>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</si>
  <si>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</si>
  <si>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</si>
  <si>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</si>
  <si>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</si>
  <si>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</si>
  <si>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</si>
  <si>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</si>
  <si>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</si>
  <si>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</si>
  <si>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</si>
  <si>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</si>
  <si>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</si>
  <si>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</si>
  <si>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</si>
  <si>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</si>
  <si>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</si>
  <si>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</si>
  <si>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</si>
  <si>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</si>
  <si>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</si>
  <si>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</si>
  <si>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</si>
  <si>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</si>
  <si>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</si>
  <si>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</si>
  <si>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</si>
  <si>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</si>
  <si>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</si>
  <si>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</si>
  <si>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</si>
  <si>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</si>
  <si>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</si>
  <si>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</si>
  <si>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</si>
  <si>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</si>
  <si>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</si>
  <si>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</si>
  <si>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</si>
  <si>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</si>
  <si>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</si>
  <si>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</si>
  <si>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</si>
  <si>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</si>
  <si>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</si>
  <si>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</si>
  <si>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</si>
  <si>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</si>
  <si>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</si>
  <si>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</si>
  <si>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</si>
  <si>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</si>
  <si>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</si>
  <si>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</si>
  <si>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</si>
  <si>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</si>
  <si>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</si>
  <si>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</si>
  <si>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</si>
  <si>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</si>
  <si>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</si>
  <si>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</si>
  <si>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</si>
  <si>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</si>
  <si>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</si>
  <si>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</si>
  <si>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</si>
  <si>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</si>
  <si>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</si>
  <si>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</si>
  <si>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</si>
  <si>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</si>
  <si>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</si>
  <si>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</si>
  <si>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</si>
  <si>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</si>
  <si>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</si>
  <si>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</si>
  <si>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</si>
  <si>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</si>
  <si>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</si>
  <si>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</si>
  <si>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</si>
  <si>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</si>
  <si>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</si>
  <si>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</si>
  <si>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</si>
  <si>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</si>
  <si>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</si>
  <si>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</si>
  <si>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</si>
  <si>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</si>
  <si>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</si>
  <si>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</si>
  <si>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</si>
  <si>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</si>
  <si>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</si>
  <si>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</si>
  <si>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</si>
  <si>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</si>
  <si>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</si>
  <si>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</si>
  <si>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</si>
  <si>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</si>
  <si>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</si>
  <si>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</si>
  <si>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</si>
  <si>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</si>
  <si>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</si>
  <si>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</si>
  <si>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</si>
  <si>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</si>
  <si>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</si>
  <si>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</si>
  <si>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</si>
  <si>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</si>
  <si>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</si>
  <si>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</si>
  <si>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</si>
  <si>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</si>
  <si>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</si>
  <si>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</si>
  <si>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</si>
  <si>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</si>
  <si>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</si>
  <si>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</si>
  <si>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</si>
  <si>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</si>
  <si>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</si>
  <si>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</si>
  <si>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</si>
  <si>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</si>
  <si>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</si>
  <si>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</si>
  <si>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</si>
  <si>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</si>
  <si>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</si>
  <si>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</si>
  <si>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</si>
  <si>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</si>
  <si>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</si>
  <si>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</si>
  <si>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</si>
  <si>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</si>
  <si>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</si>
  <si>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</si>
  <si>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</si>
  <si>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</si>
  <si>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</si>
  <si>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</si>
  <si>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</si>
  <si>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</si>
  <si>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</si>
  <si>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</si>
  <si>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</si>
  <si>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</si>
  <si>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</si>
  <si>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</si>
  <si>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</si>
  <si>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</si>
  <si>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</si>
  <si>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</si>
  <si>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</si>
  <si>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</si>
  <si>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</si>
  <si>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</si>
  <si>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</si>
  <si>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</si>
  <si>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</si>
  <si>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</si>
  <si>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</si>
  <si>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</si>
  <si>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</si>
  <si>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</si>
  <si>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</si>
  <si>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</si>
  <si>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</si>
  <si>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</si>
  <si>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</si>
  <si>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</si>
  <si>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</si>
  <si>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</si>
  <si>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</si>
  <si>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</si>
  <si>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</si>
  <si>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</si>
  <si>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</si>
  <si>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</si>
  <si>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</si>
  <si>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</si>
  <si>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</si>
  <si>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</si>
  <si>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</si>
  <si>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</si>
  <si>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</si>
  <si>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</si>
  <si>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</si>
  <si>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</si>
  <si>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</si>
  <si>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</si>
  <si>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</si>
  <si>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</si>
  <si>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</si>
  <si>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</si>
  <si>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</si>
  <si>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</si>
  <si>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</si>
  <si>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</si>
  <si>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</si>
  <si>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</si>
  <si>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</si>
  <si>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</si>
  <si>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</si>
  <si>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</si>
  <si>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</si>
  <si>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</si>
  <si>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</si>
  <si>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</si>
  <si>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</si>
  <si>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</si>
  <si>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</si>
  <si>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</si>
  <si>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</si>
  <si>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</si>
  <si>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</si>
  <si>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</si>
  <si>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</si>
  <si>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</si>
  <si>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</si>
  <si>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</si>
  <si>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</si>
  <si>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</si>
  <si>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</si>
  <si>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</si>
  <si>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</si>
  <si>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</si>
  <si>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</si>
  <si>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</si>
  <si>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</si>
  <si>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</si>
  <si>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</si>
  <si>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</si>
  <si>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</si>
  <si>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</si>
  <si>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</si>
  <si>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</si>
  <si>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</si>
  <si>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</si>
  <si>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</si>
  <si>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</si>
  <si>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</si>
  <si>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</si>
  <si>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</si>
  <si>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</si>
  <si>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</si>
  <si>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</si>
  <si>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</si>
  <si>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</si>
  <si>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</si>
  <si>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</si>
  <si>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</si>
  <si>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</si>
  <si>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</si>
  <si>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</si>
  <si>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</si>
  <si>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</si>
  <si>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</si>
  <si>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</si>
  <si>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</si>
  <si>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</si>
  <si>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</si>
  <si>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</si>
  <si>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</si>
  <si>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</si>
  <si>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</si>
  <si>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</si>
  <si>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</si>
  <si>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</si>
  <si>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</si>
  <si>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</si>
  <si>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</si>
  <si>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</si>
  <si>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</si>
  <si>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</si>
  <si>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</si>
  <si>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</si>
  <si>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</si>
  <si>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</si>
  <si>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</si>
  <si>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</si>
  <si>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</si>
  <si>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</si>
  <si>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</si>
  <si>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</si>
  <si>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</si>
  <si>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</si>
  <si>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</si>
  <si>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</si>
  <si>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</si>
  <si>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</si>
  <si>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</si>
  <si>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</si>
  <si>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</si>
  <si>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</si>
  <si>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</si>
  <si>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</si>
  <si>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</si>
  <si>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</si>
  <si>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</si>
  <si>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</si>
  <si>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</si>
  <si>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</si>
  <si>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</si>
  <si>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</si>
  <si>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</si>
  <si>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</si>
  <si>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</si>
  <si>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</si>
  <si>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</si>
  <si>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</si>
  <si>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</si>
  <si>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</si>
  <si>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</si>
  <si>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</si>
  <si>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</si>
  <si>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</si>
  <si>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</si>
  <si>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</si>
  <si>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</si>
  <si>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</si>
  <si>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</si>
  <si>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</si>
  <si>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</si>
  <si>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</si>
  <si>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</si>
  <si>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</si>
  <si>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</si>
  <si>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</si>
  <si>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</si>
  <si>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</si>
  <si>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</si>
  <si>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</si>
  <si>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</si>
  <si>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</si>
  <si>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</si>
  <si>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</si>
  <si>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</si>
  <si>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</si>
  <si>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</si>
  <si>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</si>
  <si>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</si>
  <si>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</si>
  <si>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</si>
  <si>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</si>
  <si>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</si>
  <si>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</si>
  <si>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</si>
  <si>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</si>
  <si>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</si>
  <si>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</si>
  <si>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</si>
  <si>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</si>
  <si>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</si>
  <si>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</si>
  <si>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</si>
  <si>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</si>
  <si>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</si>
  <si>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</si>
  <si>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</si>
  <si>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</si>
  <si>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</si>
  <si>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</si>
  <si>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</si>
  <si>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</si>
  <si>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</si>
  <si>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</si>
  <si>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</si>
  <si>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</si>
  <si>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</si>
  <si>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</si>
  <si>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</si>
  <si>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</si>
  <si>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</si>
  <si>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</si>
  <si>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</si>
  <si>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</si>
  <si>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</si>
  <si>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</si>
  <si>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</si>
  <si>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</si>
  <si>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</si>
  <si>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</si>
  <si>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</si>
  <si>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</si>
  <si>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</si>
  <si>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</si>
  <si>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</si>
  <si>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</si>
  <si>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</si>
  <si>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</si>
  <si>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</si>
  <si>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</si>
  <si>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</si>
  <si>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</si>
  <si>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</si>
  <si>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</si>
  <si>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</si>
  <si>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</si>
  <si>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</si>
  <si>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</si>
  <si>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</si>
  <si>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</si>
  <si>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</si>
  <si>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</si>
  <si>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</si>
  <si>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</si>
  <si>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</si>
  <si>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</si>
  <si>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</si>
  <si>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</si>
  <si>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</si>
  <si>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</si>
  <si>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</si>
  <si>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</si>
  <si>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</si>
  <si>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</si>
  <si>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</si>
  <si>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</si>
  <si>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</si>
  <si>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</si>
  <si>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</si>
  <si>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</si>
  <si>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</si>
  <si>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</si>
  <si>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</si>
  <si>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</si>
  <si>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</si>
  <si>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</si>
  <si>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</si>
  <si>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</si>
  <si>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</si>
  <si>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</si>
  <si>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</si>
  <si>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</si>
  <si>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</si>
  <si>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</si>
  <si>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</si>
  <si>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</si>
  <si>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</si>
  <si>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</si>
  <si>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</si>
  <si>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</si>
  <si>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</si>
  <si>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</si>
  <si>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</si>
  <si>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</si>
  <si>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</si>
  <si>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</si>
  <si>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</si>
  <si>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</si>
  <si>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</si>
  <si>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</si>
  <si>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</si>
  <si>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</si>
  <si>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</si>
  <si>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</si>
  <si>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</si>
  <si>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</si>
  <si>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</si>
  <si>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</si>
  <si>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</si>
  <si>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</si>
  <si>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</si>
  <si>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</si>
  <si>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</si>
  <si>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</si>
  <si>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</si>
  <si>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</si>
  <si>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</si>
  <si>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</si>
  <si>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</si>
  <si>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</si>
  <si>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</si>
  <si>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</si>
  <si>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</si>
  <si>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</si>
  <si>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</si>
  <si>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</si>
  <si>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</si>
  <si>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</si>
  <si>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</si>
  <si>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</si>
  <si>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</si>
  <si>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</si>
  <si>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</si>
  <si>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</si>
  <si>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</si>
  <si>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</si>
  <si>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</si>
  <si>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</si>
  <si>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</si>
  <si>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</si>
  <si>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</si>
  <si>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</si>
  <si>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</si>
  <si>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</si>
  <si>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</si>
  <si>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</si>
  <si>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</si>
  <si>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</si>
  <si>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</si>
  <si>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</si>
  <si>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</si>
  <si>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</si>
  <si>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</si>
  <si>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</si>
  <si>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</si>
  <si>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</si>
  <si>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</si>
  <si>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</si>
  <si>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</si>
  <si>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</si>
  <si>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</si>
  <si>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</si>
  <si>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</si>
  <si>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</si>
  <si>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</si>
  <si>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</si>
  <si>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</si>
  <si>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</si>
  <si>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</si>
  <si>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</si>
  <si>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</si>
  <si>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</si>
  <si>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</si>
  <si>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</si>
  <si>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</si>
  <si>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</si>
  <si>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</si>
  <si>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</si>
  <si>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</si>
  <si>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</si>
  <si>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</si>
  <si>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</si>
  <si>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</si>
  <si>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</si>
  <si>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</si>
  <si>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</si>
  <si>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</si>
  <si>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</si>
  <si>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</si>
  <si>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</si>
  <si>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</si>
  <si>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</si>
  <si>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</si>
  <si>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</si>
  <si>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</si>
  <si>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</si>
  <si>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</si>
  <si>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</si>
  <si>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</si>
  <si>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</si>
  <si>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</si>
  <si>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</si>
  <si>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</si>
  <si>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</si>
  <si>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</si>
  <si>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</si>
  <si>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</si>
  <si>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</si>
  <si>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</si>
  <si>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</si>
  <si>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</si>
  <si>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</si>
  <si>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</si>
  <si>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</si>
  <si>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</si>
  <si>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</si>
  <si>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</si>
  <si>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</si>
  <si>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</si>
  <si>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</si>
  <si>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</si>
  <si>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</si>
  <si>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</si>
  <si>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</si>
  <si>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</si>
  <si>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</si>
  <si>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</si>
  <si>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</si>
  <si>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</si>
  <si>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</si>
  <si>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</si>
  <si>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</si>
  <si>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</si>
  <si>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</si>
  <si>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</si>
  <si>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</si>
  <si>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</si>
  <si>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</si>
  <si>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</si>
  <si>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</si>
  <si>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</si>
  <si>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</si>
  <si>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</si>
  <si>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</si>
  <si>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</si>
  <si>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</si>
  <si>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</si>
  <si>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</si>
  <si>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</si>
  <si>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</si>
  <si>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</si>
  <si>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</si>
  <si>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</si>
  <si>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</si>
  <si>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</si>
  <si>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</si>
  <si>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</si>
  <si>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</si>
  <si>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</si>
  <si>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</si>
  <si>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</si>
  <si>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</si>
  <si>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</si>
  <si>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</si>
  <si>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</si>
  <si>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</si>
  <si>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</si>
  <si>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</si>
  <si>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</si>
  <si>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</si>
  <si>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</si>
  <si>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</si>
  <si>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</si>
  <si>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</si>
  <si>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</si>
  <si>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</si>
  <si>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</si>
  <si>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</si>
  <si>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</si>
  <si>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</si>
  <si>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</si>
  <si>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</si>
  <si>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</si>
  <si>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</si>
  <si>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</si>
  <si>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</si>
  <si>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</si>
  <si>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</si>
  <si>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</si>
  <si>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</si>
  <si>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</si>
  <si>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</si>
  <si>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</si>
  <si>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</si>
  <si>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</si>
  <si>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</si>
  <si>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</si>
  <si>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</si>
  <si>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</si>
  <si>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</si>
  <si>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</si>
  <si>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</si>
  <si>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</si>
  <si>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</si>
  <si>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</si>
  <si>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</si>
  <si>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</si>
  <si>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</si>
  <si>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</si>
  <si>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</si>
  <si>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</si>
  <si>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</si>
  <si>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</si>
  <si>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</si>
  <si>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</si>
  <si>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</si>
  <si>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</si>
  <si>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</si>
  <si>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</si>
  <si>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</si>
  <si>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</si>
  <si>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</si>
  <si>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</si>
  <si>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</si>
  <si>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</si>
  <si>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</si>
  <si>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</si>
  <si>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</si>
  <si>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</si>
  <si>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</si>
  <si>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</si>
  <si>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</si>
  <si>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</si>
  <si>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</si>
  <si>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</si>
  <si>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</si>
  <si>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</si>
  <si>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</si>
  <si>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</si>
  <si>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</si>
  <si>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</si>
  <si>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</si>
  <si>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</si>
  <si>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</si>
  <si>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</si>
  <si>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</si>
  <si>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</si>
  <si>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</si>
  <si>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</si>
  <si>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</si>
  <si>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</si>
  <si>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</si>
  <si>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</si>
  <si>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</si>
  <si>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</si>
  <si>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</si>
  <si>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</si>
  <si>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</si>
  <si>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</si>
  <si>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</si>
  <si>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</si>
  <si>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</si>
  <si>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</si>
  <si>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</si>
  <si>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</si>
  <si>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</si>
  <si>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</si>
  <si>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</si>
  <si>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</si>
  <si>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</si>
  <si>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</si>
  <si>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</si>
  <si>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</si>
  <si>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</si>
  <si>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</si>
  <si>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</si>
  <si>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</si>
  <si>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</si>
  <si>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</si>
  <si>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</si>
  <si>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</si>
  <si>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</si>
  <si>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</si>
  <si>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</si>
  <si>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</si>
  <si>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</si>
  <si>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</si>
  <si>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</si>
  <si>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</si>
  <si>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</si>
  <si>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</si>
  <si>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</si>
  <si>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</si>
  <si>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</si>
  <si>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</si>
  <si>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</si>
  <si>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</si>
  <si>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</si>
  <si>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</si>
  <si>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</si>
  <si>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</si>
  <si>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</si>
  <si>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</si>
  <si>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</si>
  <si>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</si>
  <si>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</si>
  <si>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</si>
  <si>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</si>
  <si>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</si>
  <si>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</si>
  <si>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</si>
  <si>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</si>
  <si>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</si>
  <si>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</si>
  <si>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</si>
  <si>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</si>
  <si>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</si>
  <si>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</si>
  <si>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</si>
  <si>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</si>
  <si>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</si>
  <si>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</si>
  <si>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</si>
  <si>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</si>
  <si>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</si>
  <si>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</si>
  <si>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</si>
  <si>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</si>
  <si>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</si>
  <si>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</si>
  <si>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</si>
  <si>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</si>
  <si>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</si>
  <si>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</si>
  <si>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</si>
  <si>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</si>
  <si>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</si>
  <si>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</si>
  <si>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</si>
  <si>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</si>
  <si>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</si>
  <si>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</si>
  <si>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</si>
  <si>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</si>
  <si>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</si>
  <si>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</si>
  <si>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</si>
  <si>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</si>
  <si>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</si>
  <si>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</si>
  <si>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</si>
  <si>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</si>
  <si>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</si>
  <si>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</si>
  <si>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</si>
  <si>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</si>
  <si>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</si>
  <si>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</si>
  <si>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</si>
  <si>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</si>
  <si>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</si>
  <si>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</si>
  <si>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</si>
  <si>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</si>
  <si>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</si>
  <si>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</si>
  <si>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</si>
  <si>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</si>
  <si>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</si>
  <si>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</si>
  <si>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</si>
  <si>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</si>
  <si>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</si>
  <si>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</si>
  <si>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</si>
  <si>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</si>
  <si>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</si>
  <si>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</si>
  <si>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</si>
  <si>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</si>
  <si>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</si>
  <si>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</si>
  <si>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</si>
  <si>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</si>
  <si>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</si>
  <si>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</si>
  <si>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</si>
  <si>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</si>
  <si>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</si>
  <si>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</si>
  <si>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</si>
  <si>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</si>
  <si>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</si>
  <si>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</si>
  <si>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</si>
  <si>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</si>
  <si>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</si>
  <si>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</si>
  <si>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</si>
  <si>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</si>
  <si>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</si>
  <si>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</si>
  <si>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</si>
  <si>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</si>
  <si>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</si>
  <si>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</si>
  <si>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</si>
  <si>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</si>
  <si>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</si>
  <si>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</si>
  <si>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</si>
  <si>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</si>
  <si>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</si>
  <si>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</si>
  <si>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</si>
  <si>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</si>
  <si>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</si>
  <si>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</si>
  <si>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</si>
  <si>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</si>
  <si>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</si>
  <si>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</si>
  <si>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</si>
  <si>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</si>
  <si>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</si>
  <si>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</si>
  <si>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</si>
  <si>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</si>
  <si>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</si>
  <si>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</si>
  <si>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</si>
  <si>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</si>
  <si>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</si>
  <si>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</si>
  <si>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</si>
  <si>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</si>
  <si>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</si>
  <si>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</si>
  <si>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</si>
  <si>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</si>
  <si>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</si>
  <si>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</si>
  <si>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</si>
  <si>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</si>
  <si>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</si>
  <si>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</si>
  <si>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</si>
  <si>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</si>
  <si>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</si>
  <si>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</si>
  <si>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</si>
  <si>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</si>
  <si>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</si>
  <si>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</si>
  <si>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</si>
  <si>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</si>
  <si>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</si>
  <si>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</si>
  <si>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</si>
  <si>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</si>
  <si>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</si>
  <si>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</si>
  <si>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</si>
  <si>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</si>
  <si>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</si>
  <si>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</si>
  <si>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</si>
  <si>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</si>
  <si>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</si>
  <si>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</si>
  <si>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</si>
  <si>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</si>
  <si>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</si>
  <si>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</si>
  <si>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</si>
  <si>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</si>
  <si>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</si>
  <si>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</si>
  <si>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</si>
  <si>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</si>
  <si>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</si>
  <si>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</si>
  <si>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</si>
  <si>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</si>
  <si>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</si>
  <si>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</si>
  <si>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</si>
  <si>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</si>
  <si>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</si>
  <si>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</si>
  <si>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</si>
  <si>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</si>
  <si>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</si>
  <si>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</si>
  <si>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</si>
  <si>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</si>
  <si>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</si>
  <si>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</si>
  <si>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</si>
  <si>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</si>
  <si>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</si>
  <si>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</si>
  <si>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</si>
  <si>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</si>
  <si>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</si>
  <si>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</si>
  <si>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</si>
  <si>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</si>
  <si>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</si>
  <si>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</si>
  <si>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</si>
  <si>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</si>
  <si>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</si>
  <si>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</si>
  <si>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</si>
  <si>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</si>
  <si>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</si>
  <si>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</si>
  <si>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</si>
  <si>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</si>
  <si>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</si>
  <si>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</si>
  <si>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</si>
  <si>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</si>
  <si>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</si>
  <si>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</si>
  <si>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</si>
  <si>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</si>
  <si>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</si>
  <si>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</si>
  <si>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</si>
  <si>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</si>
  <si>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</si>
  <si>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</si>
  <si>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</si>
  <si>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</si>
  <si>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</si>
  <si>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</si>
  <si>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</si>
  <si>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</si>
  <si>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</si>
  <si>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</si>
  <si>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</si>
  <si>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</si>
  <si>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</si>
  <si>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</si>
  <si>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</si>
  <si>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</si>
  <si>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</si>
  <si>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</si>
  <si>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</si>
  <si>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</si>
  <si>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</si>
  <si>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</si>
  <si>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</si>
  <si>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</si>
  <si>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</si>
  <si>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</si>
  <si>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</si>
  <si>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</si>
  <si>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</si>
  <si>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</si>
  <si>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</si>
  <si>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</si>
  <si>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</si>
  <si>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</si>
  <si>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</si>
  <si>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</si>
  <si>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</si>
  <si>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</si>
  <si>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</si>
  <si>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</si>
  <si>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</si>
  <si>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</si>
  <si>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</si>
  <si>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</si>
  <si>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</si>
  <si>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</si>
  <si>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</si>
  <si>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</si>
  <si>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</si>
  <si>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</si>
  <si>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</si>
  <si>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</si>
  <si>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</si>
  <si>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</si>
  <si>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</si>
  <si>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</si>
  <si>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</si>
  <si>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</si>
  <si>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</si>
  <si>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</si>
  <si>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</si>
  <si>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</si>
  <si>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</si>
  <si>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</si>
  <si>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</si>
  <si>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</si>
  <si>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</si>
  <si>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</si>
  <si>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</si>
  <si>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</si>
  <si>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</si>
  <si>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</si>
  <si>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</si>
  <si>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</si>
  <si>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</si>
  <si>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</si>
  <si>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</si>
  <si>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</si>
  <si>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</si>
  <si>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</si>
  <si>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</si>
  <si>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</si>
  <si>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</si>
  <si>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</si>
  <si>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</si>
  <si>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</si>
  <si>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</si>
  <si>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</si>
  <si>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</si>
  <si>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</si>
  <si>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</si>
  <si>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</si>
  <si>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</si>
  <si>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</si>
  <si>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</si>
  <si>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</si>
  <si>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</si>
  <si>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</si>
  <si>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</si>
  <si>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</si>
  <si>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</si>
  <si>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</si>
  <si>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</si>
  <si>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</si>
  <si>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</si>
  <si>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</si>
  <si>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</si>
  <si>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</si>
  <si>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</si>
  <si>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</si>
  <si>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</si>
  <si>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</si>
  <si>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</si>
  <si>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</si>
  <si>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</si>
  <si>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</si>
  <si>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</si>
  <si>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</si>
  <si>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</si>
  <si>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</si>
  <si>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</si>
  <si>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</si>
  <si>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</si>
  <si>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</si>
  <si>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</si>
  <si>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</si>
  <si>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</si>
  <si>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</si>
  <si>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</si>
  <si>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</si>
  <si>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</si>
  <si>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</si>
  <si>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</si>
  <si>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</si>
  <si>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</si>
  <si>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</si>
  <si>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</si>
  <si>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</si>
  <si>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</si>
  <si>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</si>
  <si>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</si>
  <si>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</si>
  <si>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</si>
  <si>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</si>
  <si>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</si>
  <si>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</si>
  <si>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</si>
  <si>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</si>
  <si>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</si>
  <si>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</si>
  <si>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</si>
  <si>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</si>
  <si>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</si>
  <si>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</si>
  <si>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</si>
  <si>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</si>
  <si>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</si>
  <si>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</si>
  <si>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</si>
  <si>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</si>
  <si>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</si>
  <si>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</si>
  <si>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</si>
  <si>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</si>
  <si>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</si>
  <si>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</si>
  <si>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</si>
  <si>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</si>
  <si>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</si>
  <si>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</si>
  <si>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</si>
  <si>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</si>
  <si>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</si>
  <si>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</si>
  <si>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</si>
  <si>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</si>
  <si>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</si>
  <si>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</si>
  <si>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</si>
  <si>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</si>
  <si>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</si>
  <si>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</si>
  <si>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</si>
  <si>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</si>
  <si>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</si>
  <si>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</si>
  <si>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</si>
  <si>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</si>
  <si>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</si>
  <si>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</si>
  <si>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</si>
  <si>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</si>
  <si>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</si>
  <si>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</si>
  <si>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</si>
  <si>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</si>
  <si>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</si>
  <si>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</si>
  <si>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</si>
  <si>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</si>
  <si>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</si>
  <si>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</si>
  <si>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</si>
  <si>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</si>
  <si>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</si>
  <si>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</si>
  <si>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</si>
  <si>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</si>
  <si>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</si>
  <si>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</si>
  <si>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</si>
  <si>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</si>
  <si>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</si>
  <si>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</si>
  <si>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</si>
  <si>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</si>
  <si>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</si>
  <si>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</si>
  <si>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</si>
  <si>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</si>
  <si>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</si>
  <si>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</si>
  <si>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</si>
  <si>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</si>
  <si>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</si>
  <si>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</si>
  <si>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</si>
  <si>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</si>
  <si>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</si>
  <si>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</si>
  <si>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</si>
  <si>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</si>
  <si>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</si>
  <si>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</si>
  <si>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</si>
  <si>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</si>
  <si>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</si>
  <si>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</si>
  <si>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</si>
  <si>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</si>
  <si>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</si>
  <si>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</si>
  <si>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</si>
  <si>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</si>
  <si>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</si>
  <si>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</si>
  <si>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</si>
  <si>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</si>
  <si>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</si>
  <si>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</si>
  <si>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</si>
  <si>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</si>
  <si>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</si>
  <si>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</si>
  <si>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</si>
  <si>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</si>
  <si>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</si>
  <si>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</si>
  <si>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</si>
  <si>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</si>
  <si>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</si>
  <si>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</si>
  <si>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</si>
  <si>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</si>
  <si>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</si>
  <si>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</si>
  <si>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</si>
  <si>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</si>
  <si>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</si>
  <si>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</si>
  <si>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</si>
  <si>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</si>
  <si>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</si>
  <si>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</si>
  <si>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</si>
  <si>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</si>
  <si>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</si>
  <si>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</si>
  <si>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</si>
  <si>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</si>
  <si>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</si>
  <si>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</si>
  <si>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</si>
  <si>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</si>
  <si>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</si>
  <si>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</si>
  <si>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</si>
  <si>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</si>
  <si>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</si>
  <si>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</si>
  <si>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</si>
  <si>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</si>
  <si>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</si>
  <si>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</si>
  <si>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</si>
  <si>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</si>
  <si>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</si>
  <si>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</si>
  <si>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</si>
  <si>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</si>
  <si>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</si>
  <si>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</si>
  <si>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</si>
  <si>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</si>
  <si>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</si>
  <si>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</si>
  <si>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</si>
  <si>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</si>
  <si>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</si>
  <si>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</si>
  <si>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</si>
  <si>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</si>
  <si>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</si>
  <si>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</si>
  <si>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</si>
  <si>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</si>
  <si>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</si>
  <si>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</si>
  <si>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</si>
  <si>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</si>
  <si>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</si>
  <si>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</si>
  <si>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</si>
  <si>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</si>
  <si>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</si>
  <si>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</si>
  <si>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</si>
  <si>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</si>
  <si>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</si>
  <si>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</si>
  <si>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</si>
  <si>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</si>
  <si>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</si>
  <si>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</si>
  <si>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</si>
  <si>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</si>
  <si>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</si>
  <si>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</si>
  <si>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</si>
  <si>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</si>
  <si>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</si>
  <si>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</si>
  <si>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</si>
  <si>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</si>
  <si>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</si>
  <si>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</si>
  <si>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</si>
  <si>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</si>
  <si>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</si>
  <si>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</si>
  <si>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</si>
  <si>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</si>
  <si>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</si>
  <si>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</si>
  <si>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</si>
  <si>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</si>
  <si>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</si>
  <si>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</si>
  <si>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</si>
  <si>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</si>
  <si>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</si>
  <si>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</si>
  <si>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</si>
  <si>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</si>
  <si>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</si>
  <si>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</si>
  <si>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</si>
  <si>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</si>
  <si>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</si>
  <si>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</si>
  <si>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</si>
  <si>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</si>
  <si>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</si>
  <si>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</si>
  <si>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</si>
  <si>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</si>
  <si>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</si>
  <si>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</si>
  <si>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</si>
  <si>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</si>
  <si>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</si>
  <si>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</si>
  <si>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</si>
  <si>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</si>
  <si>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</si>
  <si>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</si>
  <si>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</si>
  <si>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</si>
  <si>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</si>
  <si>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</si>
  <si>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</si>
  <si>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</si>
  <si>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</si>
  <si>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</si>
  <si>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</si>
  <si>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</si>
  <si>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</si>
  <si>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</si>
  <si>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</si>
  <si>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</si>
  <si>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</si>
  <si>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</si>
  <si>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</si>
  <si>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</si>
  <si>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</si>
  <si>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</si>
  <si>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</si>
  <si>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</si>
  <si>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</si>
  <si>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</si>
  <si>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</si>
  <si>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</si>
  <si>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</si>
  <si>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</si>
  <si>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</si>
  <si>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</si>
  <si>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</si>
  <si>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</si>
  <si>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</si>
  <si>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</si>
  <si>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</si>
  <si>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</si>
  <si>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</si>
  <si>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</si>
  <si>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</si>
  <si>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</si>
  <si>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</si>
  <si>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</si>
  <si>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</si>
  <si>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</si>
  <si>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</si>
  <si>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</si>
  <si>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</si>
  <si>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</si>
  <si>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</si>
  <si>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</si>
  <si>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</si>
  <si>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</si>
  <si>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</si>
  <si>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</si>
  <si>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</si>
  <si>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</si>
  <si>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</si>
  <si>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</si>
  <si>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</si>
  <si>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</si>
  <si>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</si>
  <si>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</si>
  <si>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</si>
  <si>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</si>
  <si>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</si>
  <si>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</si>
  <si>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</si>
  <si>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</si>
  <si>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</si>
  <si>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</si>
  <si>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</si>
  <si>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</si>
  <si>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</si>
  <si>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</si>
  <si>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</si>
  <si>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</si>
  <si>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</si>
  <si>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</si>
  <si>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</si>
  <si>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</si>
  <si>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</si>
  <si>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</si>
  <si>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</si>
  <si>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</si>
  <si>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</si>
  <si>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</si>
  <si>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</si>
  <si>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</si>
  <si>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</si>
  <si>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</si>
  <si>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</si>
  <si>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</si>
  <si>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</si>
  <si>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</si>
  <si>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</si>
  <si>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</si>
  <si>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</si>
  <si>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</si>
  <si>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</si>
  <si>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</si>
  <si>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</si>
  <si>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</si>
  <si>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</si>
  <si>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</si>
  <si>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</si>
  <si>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</si>
  <si>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</si>
  <si>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</si>
  <si>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</si>
  <si>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</si>
  <si>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</si>
  <si>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</si>
  <si>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</si>
  <si>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</si>
  <si>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</si>
  <si>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</si>
  <si>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</si>
  <si>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</si>
  <si>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</si>
  <si>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</si>
  <si>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</si>
  <si>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</si>
  <si>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</si>
  <si>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</si>
  <si>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</si>
  <si>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</si>
  <si>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</si>
  <si>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</si>
  <si>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</si>
  <si>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</si>
  <si>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</si>
  <si>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</si>
  <si>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</si>
  <si>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</si>
  <si>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</si>
  <si>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</si>
  <si>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</si>
  <si>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</si>
  <si>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</si>
  <si>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</si>
  <si>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</si>
  <si>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</si>
  <si>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</si>
  <si>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</si>
  <si>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</si>
  <si>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</si>
  <si>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</si>
  <si>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</si>
  <si>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</si>
  <si>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</si>
  <si>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</si>
  <si>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</si>
  <si>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</si>
  <si>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</si>
  <si>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</si>
  <si>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</si>
  <si>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</si>
  <si>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</si>
  <si>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</si>
  <si>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</si>
  <si>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</si>
  <si>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</si>
  <si>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</si>
  <si>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</si>
  <si>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</si>
  <si>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</si>
  <si>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</si>
  <si>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</si>
  <si>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</si>
  <si>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</si>
  <si>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</si>
  <si>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</si>
  <si>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</si>
  <si>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</si>
  <si>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</si>
  <si>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</si>
  <si>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</si>
  <si>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</si>
  <si>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</si>
  <si>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</si>
  <si>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</si>
  <si>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</si>
  <si>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</si>
  <si>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</si>
  <si>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</si>
  <si>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</si>
  <si>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</si>
  <si>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</si>
  <si>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</si>
  <si>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</si>
  <si>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</si>
  <si>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</si>
  <si>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</si>
  <si>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</si>
  <si>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</si>
  <si>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</si>
  <si>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</si>
  <si>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</si>
  <si>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</si>
  <si>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</si>
  <si>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</si>
  <si>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</si>
  <si>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</si>
  <si>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</si>
  <si>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</si>
  <si>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</si>
  <si>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</si>
  <si>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</si>
  <si>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</si>
  <si>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</si>
  <si>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</si>
  <si>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</si>
  <si>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</si>
  <si>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</si>
  <si>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</si>
  <si>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</si>
  <si>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</si>
  <si>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</si>
  <si>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</si>
  <si>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</si>
  <si>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</si>
  <si>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</si>
  <si>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</si>
  <si>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</si>
  <si>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</si>
  <si>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</si>
  <si>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</si>
  <si>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</si>
  <si>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</si>
  <si>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</si>
  <si>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</si>
  <si>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</si>
  <si>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</si>
  <si>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</si>
  <si>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</si>
  <si>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</si>
  <si>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</si>
  <si>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</si>
  <si>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</si>
  <si>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</si>
  <si>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</si>
  <si>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</si>
  <si>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</si>
  <si>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</si>
  <si>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</si>
  <si>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</si>
  <si>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</si>
  <si>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</si>
  <si>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</si>
  <si>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</si>
  <si>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</si>
  <si>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</si>
  <si>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</si>
  <si>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</si>
  <si>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</si>
  <si>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</si>
  <si>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</si>
  <si>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</si>
  <si>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</si>
  <si>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</si>
  <si>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</si>
  <si>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</si>
  <si>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</si>
  <si>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</si>
  <si>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</si>
  <si>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</si>
  <si>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</si>
  <si>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</si>
  <si>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</si>
  <si>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</si>
  <si>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</si>
  <si>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</si>
  <si>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</si>
  <si>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</si>
  <si>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</si>
  <si>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</si>
  <si>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</si>
  <si>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</si>
  <si>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</si>
  <si>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</si>
  <si>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</si>
  <si>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</si>
  <si>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</si>
  <si>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</si>
  <si>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</si>
  <si>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</si>
  <si>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</si>
  <si>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</si>
  <si>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</si>
  <si>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</si>
  <si>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</si>
  <si>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</si>
  <si>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</si>
  <si>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</si>
  <si>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</si>
  <si>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</si>
  <si>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</si>
  <si>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</si>
  <si>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</si>
  <si>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</si>
  <si>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</si>
  <si>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</si>
  <si>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</si>
  <si>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</si>
  <si>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</si>
  <si>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</si>
  <si>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</si>
  <si>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</si>
  <si>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</si>
  <si>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</si>
  <si>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</si>
  <si>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</si>
  <si>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</si>
  <si>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</si>
  <si>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</si>
  <si>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</si>
  <si>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</si>
  <si>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</si>
  <si>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</si>
  <si>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</si>
  <si>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</si>
  <si>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</si>
  <si>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</si>
  <si>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</si>
  <si>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</si>
  <si>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</si>
  <si>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</si>
  <si>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</si>
  <si>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</si>
  <si>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</si>
  <si>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</si>
  <si>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</si>
  <si>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</si>
  <si>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</si>
  <si>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</si>
  <si>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</si>
  <si>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</si>
  <si>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</si>
  <si>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</si>
  <si>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</si>
  <si>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</si>
  <si>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</si>
  <si>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</si>
  <si>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</si>
  <si>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</si>
  <si>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</si>
  <si>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</si>
  <si>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</si>
  <si>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</si>
  <si>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</si>
  <si>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</si>
  <si>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</si>
  <si>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</si>
  <si>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</si>
  <si>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</si>
  <si>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</si>
  <si>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</si>
  <si>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</si>
  <si>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</si>
  <si>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</si>
  <si>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</si>
  <si>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</si>
  <si>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</si>
  <si>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</si>
  <si>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</si>
  <si>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</si>
  <si>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</si>
  <si>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</si>
  <si>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</si>
  <si>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</si>
  <si>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</si>
  <si>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</si>
  <si>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</si>
  <si>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</si>
  <si>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</si>
  <si>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</si>
  <si>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</si>
  <si>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</si>
  <si>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</si>
  <si>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</si>
  <si>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</si>
  <si>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</si>
  <si>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</si>
  <si>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</si>
  <si>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</si>
  <si>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</si>
  <si>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</si>
  <si>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</si>
  <si>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</si>
  <si>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</si>
  <si>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</si>
  <si>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</si>
  <si>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</si>
  <si>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</si>
  <si>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</si>
  <si>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</si>
  <si>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</si>
  <si>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</si>
  <si>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</si>
  <si>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</si>
  <si>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</si>
  <si>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</si>
  <si>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</si>
  <si>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</si>
  <si>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</si>
  <si>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</si>
  <si>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</si>
  <si>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</si>
  <si>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</si>
  <si>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</si>
  <si>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</si>
  <si>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</si>
  <si>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</si>
  <si>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</si>
  <si>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</si>
  <si>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</si>
  <si>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</si>
  <si>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</si>
  <si>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</si>
  <si>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</si>
  <si>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</si>
  <si>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</si>
  <si>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</si>
  <si>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</si>
  <si>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</si>
  <si>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</si>
  <si>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</si>
  <si>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</si>
  <si>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</si>
  <si>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</si>
  <si>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</si>
  <si>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</si>
  <si>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</si>
  <si>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</si>
  <si>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</si>
  <si>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</si>
  <si>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</si>
  <si>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</si>
  <si>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</si>
  <si>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</si>
  <si>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</si>
  <si>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</si>
  <si>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</si>
  <si>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</si>
  <si>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</si>
  <si>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</si>
  <si>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</si>
  <si>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</si>
  <si>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</si>
  <si>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</si>
  <si>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</si>
  <si>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</si>
  <si>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</si>
  <si>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</si>
  <si>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</si>
  <si>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</si>
  <si>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</si>
  <si>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</si>
  <si>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</si>
  <si>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</si>
  <si>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</si>
  <si>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</si>
  <si>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</si>
  <si>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</si>
  <si>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</si>
  <si>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</si>
  <si>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</si>
  <si>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</si>
  <si>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</si>
  <si>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</si>
  <si>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</si>
  <si>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</si>
  <si>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</si>
  <si>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</si>
  <si>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</si>
  <si>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</si>
  <si>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</si>
  <si>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</si>
  <si>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</si>
  <si>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</si>
  <si>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</si>
  <si>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</si>
  <si>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</si>
  <si>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</si>
  <si>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</si>
  <si>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</si>
  <si>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</si>
  <si>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</si>
  <si>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</si>
  <si>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</si>
  <si>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</si>
  <si>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</si>
  <si>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</si>
  <si>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</si>
  <si>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</si>
  <si>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</si>
  <si>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</si>
  <si>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</si>
  <si>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</si>
  <si>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</si>
  <si>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</si>
  <si>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</si>
  <si>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</si>
  <si>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</si>
  <si>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</si>
  <si>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</si>
  <si>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</si>
  <si>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</si>
  <si>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</si>
  <si>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</si>
  <si>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</si>
  <si>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</si>
  <si>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</si>
  <si>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</si>
  <si>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</si>
  <si>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</si>
  <si>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</si>
  <si>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</si>
  <si>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</si>
  <si>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</si>
  <si>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</si>
  <si>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</si>
  <si>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</si>
  <si>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</si>
  <si>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</si>
  <si>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</si>
  <si>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</si>
  <si>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</si>
  <si>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</si>
  <si>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</si>
  <si>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</si>
  <si>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</si>
  <si>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</si>
  <si>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</si>
  <si>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</si>
  <si>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</si>
  <si>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</si>
  <si>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</si>
  <si>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</si>
  <si>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</si>
  <si>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</si>
  <si>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</si>
  <si>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</si>
  <si>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</si>
  <si>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</si>
  <si>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</si>
  <si>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</si>
  <si>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</si>
  <si>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</si>
  <si>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</si>
  <si>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</si>
  <si>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</si>
  <si>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</si>
  <si>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</si>
  <si>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</si>
  <si>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</si>
  <si>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</si>
  <si>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</si>
  <si>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</si>
  <si>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</si>
  <si>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</si>
  <si>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</si>
  <si>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</si>
  <si>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</si>
  <si>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</si>
  <si>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</si>
  <si>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</si>
  <si>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</si>
  <si>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</si>
  <si>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</si>
  <si>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</si>
  <si>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</si>
  <si>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</si>
  <si>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</si>
  <si>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</si>
  <si>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</si>
  <si>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</si>
  <si>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</si>
  <si>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</si>
  <si>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</si>
  <si>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</si>
  <si>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</si>
  <si>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</si>
  <si>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</si>
  <si>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</si>
  <si>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</si>
  <si>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</si>
  <si>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</si>
  <si>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</si>
  <si>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</si>
  <si>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</si>
  <si>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</si>
  <si>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</si>
  <si>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</si>
  <si>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</si>
  <si>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</si>
  <si>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</si>
  <si>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</si>
  <si>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</si>
  <si>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</si>
  <si>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</si>
  <si>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</si>
  <si>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</si>
  <si>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</si>
  <si>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</si>
  <si>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</si>
  <si>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</si>
  <si>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</si>
  <si>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</si>
  <si>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</si>
  <si>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</si>
  <si>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</si>
  <si>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</si>
  <si>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</si>
  <si>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</si>
  <si>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</si>
  <si>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</si>
  <si>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</si>
  <si>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</si>
  <si>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</si>
  <si>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</si>
  <si>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</si>
  <si>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</si>
  <si>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</si>
  <si>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</si>
  <si>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</si>
  <si>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</si>
  <si>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</si>
  <si>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</si>
  <si>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</si>
  <si>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</si>
  <si>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</si>
  <si>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</si>
  <si>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</si>
  <si>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</si>
  <si>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</si>
  <si>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</si>
  <si>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</si>
  <si>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</si>
  <si>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</si>
  <si>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</si>
  <si>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</si>
  <si>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</si>
  <si>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</si>
  <si>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</si>
  <si>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</si>
  <si>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</si>
  <si>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</si>
  <si>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</si>
  <si>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</si>
  <si>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</si>
  <si>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</si>
  <si>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</si>
  <si>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</si>
  <si>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</si>
  <si>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</si>
  <si>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</si>
  <si>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</si>
  <si>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</si>
  <si>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</si>
  <si>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</si>
  <si>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</si>
  <si>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</si>
  <si>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</si>
  <si>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</si>
  <si>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</si>
  <si>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</si>
  <si>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</si>
  <si>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</si>
  <si>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</si>
  <si>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</si>
  <si>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</si>
  <si>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</si>
  <si>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</si>
  <si>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</si>
  <si>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</si>
  <si>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</si>
  <si>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</si>
  <si>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</si>
  <si>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</si>
  <si>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</si>
  <si>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</si>
  <si>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</si>
  <si>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</si>
  <si>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</si>
  <si>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</si>
  <si>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</si>
  <si>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</si>
  <si>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</si>
  <si>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</si>
  <si>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</si>
  <si>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</si>
  <si>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</si>
  <si>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</si>
  <si>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</si>
  <si>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</si>
  <si>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</si>
  <si>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</si>
  <si>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</si>
  <si>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</si>
  <si>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</si>
  <si>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</si>
  <si>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</si>
  <si>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</si>
  <si>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</si>
  <si>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</si>
  <si>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</si>
  <si>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</si>
  <si>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</si>
  <si>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</si>
  <si>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</si>
  <si>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</si>
  <si>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</si>
  <si>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</si>
  <si>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</si>
  <si>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</si>
  <si>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</si>
  <si>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</si>
  <si>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</si>
  <si>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</si>
  <si>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</si>
  <si>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</si>
  <si>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</si>
  <si>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</si>
  <si>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</si>
  <si>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</si>
  <si>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</si>
  <si>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</si>
  <si>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</si>
  <si>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</si>
  <si>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</si>
  <si>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</si>
  <si>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</si>
  <si>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</si>
  <si>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</si>
  <si>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</si>
  <si>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</si>
  <si>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</si>
  <si>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</si>
  <si>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</si>
  <si>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</si>
  <si>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</si>
  <si>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</si>
  <si>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</si>
  <si>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</si>
  <si>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</si>
  <si>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</si>
  <si>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</si>
  <si>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</si>
  <si>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</si>
  <si>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</si>
  <si>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</si>
  <si>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</si>
  <si>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</si>
  <si>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</si>
  <si>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</si>
  <si>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</si>
  <si>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</si>
  <si>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</si>
  <si>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</si>
  <si>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</si>
  <si>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</si>
  <si>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</si>
  <si>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</si>
  <si>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</si>
  <si>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</si>
  <si>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</si>
  <si>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</si>
  <si>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</si>
  <si>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</si>
  <si>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</si>
  <si>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</si>
  <si>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</si>
  <si>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</si>
  <si>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</si>
  <si>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</si>
  <si>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</si>
  <si>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</si>
  <si>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</si>
  <si>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</si>
  <si>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</si>
  <si>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</si>
  <si>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</si>
  <si>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</si>
  <si>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</si>
  <si>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</si>
  <si>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</si>
  <si>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</si>
  <si>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</si>
  <si>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</si>
  <si>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</si>
  <si>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</si>
  <si>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</si>
  <si>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</si>
  <si>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</si>
  <si>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</si>
  <si>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</si>
  <si>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</si>
  <si>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</si>
  <si>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</si>
  <si>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</si>
  <si>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</si>
  <si>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</si>
  <si>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</si>
  <si>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</si>
  <si>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</si>
  <si>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</si>
  <si>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</si>
  <si>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</si>
  <si>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</si>
  <si>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</si>
  <si>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</si>
  <si>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</si>
  <si>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</si>
  <si>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</si>
  <si>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</si>
  <si>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</si>
  <si>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</si>
  <si>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</si>
  <si>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</si>
  <si>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</si>
  <si>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</si>
  <si>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</si>
  <si>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</si>
  <si>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</si>
  <si>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</si>
  <si>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</si>
  <si>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</si>
  <si>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</si>
  <si>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</si>
  <si>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</si>
  <si>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</si>
  <si>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</si>
  <si>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</si>
  <si>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</si>
  <si>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</si>
  <si>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</si>
  <si>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</si>
  <si>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</si>
  <si>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</si>
  <si>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</si>
  <si>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</si>
  <si>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</si>
  <si>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</si>
  <si>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</si>
  <si>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</si>
  <si>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</si>
  <si>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</si>
  <si>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</si>
  <si>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</si>
  <si>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</si>
  <si>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</si>
  <si>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</si>
  <si>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</si>
  <si>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</si>
  <si>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</si>
  <si>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</si>
  <si>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</si>
  <si>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</si>
  <si>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</si>
  <si>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</si>
  <si>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</si>
  <si>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</si>
  <si>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</si>
  <si>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</si>
  <si>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</si>
  <si>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</si>
  <si>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</si>
  <si>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</si>
  <si>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</si>
  <si>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</si>
  <si>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</si>
  <si>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</si>
  <si>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</si>
  <si>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</si>
  <si>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</si>
  <si>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</si>
  <si>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</si>
  <si>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</si>
  <si>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</si>
  <si>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</si>
  <si>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</si>
  <si>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</si>
  <si>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</si>
  <si>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</si>
  <si>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</si>
  <si>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</si>
  <si>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</si>
  <si>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</si>
  <si>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</si>
  <si>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</si>
  <si>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</si>
  <si>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</si>
  <si>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</si>
  <si>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</si>
  <si>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</si>
  <si>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</si>
  <si>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</si>
  <si>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</si>
  <si>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</si>
  <si>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</si>
  <si>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</si>
  <si>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</si>
  <si>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</si>
  <si>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</si>
  <si>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</si>
  <si>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</si>
  <si>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</si>
  <si>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</si>
  <si>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</si>
  <si>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</si>
  <si>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</si>
  <si>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</si>
  <si>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</si>
  <si>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</si>
  <si>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</si>
  <si>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</si>
  <si>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</si>
  <si>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</si>
  <si>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</si>
  <si>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</si>
  <si>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</si>
  <si>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</si>
  <si>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</si>
  <si>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</si>
  <si>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</si>
  <si>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</si>
  <si>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</si>
  <si>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</si>
  <si>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</si>
  <si>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</si>
  <si>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</si>
  <si>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</si>
  <si>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</si>
  <si>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</si>
  <si>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</si>
  <si>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</si>
  <si>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</si>
  <si>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</si>
  <si>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</si>
  <si>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</si>
  <si>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</si>
  <si>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</si>
  <si>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</si>
  <si>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</si>
  <si>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</si>
  <si>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</si>
  <si>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</si>
  <si>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</si>
  <si>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</si>
  <si>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</si>
  <si>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</si>
  <si>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</si>
  <si>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</si>
  <si>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</si>
  <si>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</si>
  <si>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</si>
  <si>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</si>
  <si>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</si>
  <si>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</si>
  <si>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</si>
  <si>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</si>
  <si>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</si>
  <si>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</si>
  <si>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</si>
  <si>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</si>
  <si>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</si>
  <si>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</si>
  <si>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</si>
  <si>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</si>
  <si>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</si>
  <si>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</si>
  <si>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</si>
  <si>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</si>
  <si>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</si>
  <si>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</si>
  <si>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</si>
  <si>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</si>
  <si>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</si>
  <si>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</si>
  <si>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</si>
  <si>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</si>
  <si>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</si>
  <si>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</si>
  <si>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</si>
  <si>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</si>
  <si>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</si>
  <si>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</si>
  <si>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</si>
  <si>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</si>
  <si>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</si>
  <si>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</si>
  <si>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</si>
  <si>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</si>
  <si>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</si>
  <si>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</si>
  <si>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</si>
  <si>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</si>
  <si>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</si>
  <si>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</si>
  <si>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</si>
  <si>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</si>
  <si>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</si>
  <si>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</si>
  <si>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</si>
  <si>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</si>
  <si>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</si>
  <si>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</si>
  <si>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</si>
  <si>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</si>
  <si>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</si>
  <si>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</si>
  <si>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</si>
  <si>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</si>
  <si>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</si>
  <si>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</si>
  <si>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</si>
  <si>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</si>
  <si>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</si>
  <si>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</si>
  <si>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</si>
  <si>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</si>
  <si>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</si>
  <si>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</si>
  <si>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</si>
  <si>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</si>
  <si>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</si>
  <si>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</si>
  <si>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</si>
  <si>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</si>
  <si>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</si>
  <si>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</si>
  <si>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</si>
  <si>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</si>
  <si>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</si>
  <si>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</si>
  <si>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</si>
  <si>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</si>
  <si>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</si>
  <si>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</si>
  <si>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</si>
  <si>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</si>
  <si>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</si>
  <si>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</si>
  <si>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</si>
  <si>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</si>
  <si>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</si>
  <si>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</si>
  <si>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</si>
  <si>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</si>
  <si>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</si>
  <si>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</si>
  <si>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</si>
  <si>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</si>
  <si>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</si>
  <si>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</si>
  <si>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</si>
  <si>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</si>
  <si>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</si>
  <si>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</si>
  <si>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</si>
  <si>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</si>
  <si>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</si>
  <si>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</si>
  <si>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</si>
  <si>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</si>
  <si>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</si>
  <si>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</si>
  <si>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</si>
  <si>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</si>
  <si>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</si>
  <si>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</si>
  <si>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</si>
  <si>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</si>
  <si>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</si>
  <si>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</si>
  <si>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</si>
  <si>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</si>
  <si>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</si>
  <si>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</si>
  <si>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</si>
  <si>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</si>
  <si>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</si>
  <si>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</si>
  <si>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</si>
  <si>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</si>
  <si>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</si>
  <si>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</si>
  <si>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</si>
  <si>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</si>
  <si>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</si>
  <si>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</si>
  <si>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</si>
  <si>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</si>
  <si>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</si>
  <si>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</si>
  <si>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</si>
  <si>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</si>
  <si>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</si>
  <si>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</si>
  <si>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</si>
  <si>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</si>
  <si>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</si>
  <si>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</si>
  <si>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</si>
  <si>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</si>
  <si>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</si>
  <si>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</si>
  <si>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</si>
  <si>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</si>
  <si>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</si>
  <si>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</si>
  <si>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</si>
  <si>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</si>
  <si>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</si>
  <si>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</si>
  <si>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</si>
  <si>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</si>
  <si>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</si>
  <si>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</si>
  <si>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</si>
  <si>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</si>
  <si>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</si>
  <si>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</si>
  <si>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</si>
  <si>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</si>
  <si>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</si>
  <si>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</si>
  <si>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</si>
  <si>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</si>
  <si>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</si>
  <si>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</si>
  <si>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</si>
  <si>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</si>
  <si>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</si>
  <si>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</si>
  <si>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</si>
  <si>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</si>
  <si>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</si>
  <si>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</si>
  <si>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</si>
  <si>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</si>
  <si>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</si>
  <si>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</si>
  <si>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</si>
  <si>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</si>
  <si>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</si>
  <si>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</si>
  <si>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</si>
  <si>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</si>
  <si>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</si>
  <si>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</si>
  <si>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</si>
  <si>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</si>
  <si>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</si>
  <si>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</si>
  <si>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</si>
  <si>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</si>
  <si>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</si>
  <si>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</si>
  <si>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</si>
  <si>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</si>
  <si>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</si>
  <si>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</si>
  <si>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</si>
  <si>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</si>
  <si>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</si>
  <si>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</si>
  <si>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</si>
  <si>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</si>
  <si>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</si>
  <si>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</si>
  <si>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</si>
  <si>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</si>
  <si>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</si>
  <si>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</si>
  <si>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</si>
  <si>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</si>
  <si>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</si>
  <si>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</si>
  <si>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</si>
  <si>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</si>
  <si>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</si>
  <si>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</si>
  <si>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</si>
  <si>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</si>
  <si>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</si>
  <si>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</si>
  <si>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</si>
  <si>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</si>
  <si>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</si>
  <si>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</si>
  <si>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</si>
  <si>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</si>
  <si>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</si>
  <si>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</si>
  <si>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</si>
  <si>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</si>
  <si>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</si>
  <si>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</si>
  <si>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</si>
  <si>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</si>
  <si>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</si>
  <si>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</si>
  <si>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</si>
  <si>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</si>
  <si>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</si>
  <si>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</si>
  <si>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</si>
  <si>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</si>
  <si>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</si>
  <si>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</si>
  <si>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</si>
  <si>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</si>
  <si>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</si>
  <si>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</si>
  <si>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</si>
  <si>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</si>
  <si>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</si>
  <si>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</si>
  <si>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</si>
  <si>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</si>
  <si>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</si>
  <si>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</si>
  <si>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</si>
  <si>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</si>
  <si>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</si>
  <si>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</si>
  <si>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</si>
  <si>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</si>
  <si>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</si>
  <si>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</si>
  <si>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</si>
  <si>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</si>
  <si>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</si>
  <si>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</si>
  <si>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</si>
  <si>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</si>
  <si>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</si>
  <si>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</si>
  <si>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</si>
  <si>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</si>
  <si>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</si>
  <si>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</si>
  <si>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</si>
  <si>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</si>
  <si>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</si>
  <si>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</si>
  <si>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</si>
  <si>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</si>
  <si>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</si>
  <si>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</si>
  <si>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</si>
  <si>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</si>
  <si>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</si>
  <si>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</si>
  <si>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</si>
  <si>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</si>
  <si>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</si>
  <si>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</si>
  <si>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</si>
  <si>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</si>
  <si>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</si>
  <si>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</si>
  <si>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</si>
  <si>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</si>
  <si>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</si>
  <si>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</si>
  <si>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</si>
  <si>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</si>
  <si>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</si>
  <si>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</si>
  <si>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</si>
  <si>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</si>
  <si>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</si>
  <si>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</si>
  <si>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</si>
  <si>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</si>
  <si>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</si>
  <si>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</si>
  <si>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</si>
  <si>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</si>
  <si>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</si>
  <si>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</si>
  <si>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</si>
  <si>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</si>
  <si>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</si>
  <si>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</si>
  <si>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</si>
  <si>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</si>
  <si>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</si>
  <si>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</si>
  <si>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</si>
  <si>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</si>
  <si>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</si>
  <si>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</si>
  <si>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</si>
  <si>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</si>
  <si>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</si>
  <si>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</si>
  <si>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</si>
  <si>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</si>
  <si>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</si>
  <si>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</si>
  <si>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</si>
  <si>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</si>
  <si>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</si>
  <si>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</si>
  <si>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</si>
  <si>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</si>
  <si>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</si>
  <si>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</si>
  <si>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</si>
  <si>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</si>
  <si>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</si>
  <si>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</si>
  <si>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</si>
  <si>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</si>
  <si>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</si>
  <si>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</si>
  <si>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</si>
  <si>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</si>
  <si>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</si>
  <si>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</si>
  <si>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</si>
  <si>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</si>
  <si>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</si>
  <si>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</si>
  <si>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</si>
  <si>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</si>
  <si>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</si>
  <si>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</si>
  <si>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</si>
  <si>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</si>
  <si>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</si>
  <si>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</si>
  <si>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</si>
  <si>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</si>
  <si>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</si>
  <si>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</si>
  <si>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</si>
  <si>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</si>
  <si>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</si>
  <si>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</si>
  <si>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</si>
  <si>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</si>
  <si>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</si>
  <si>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</si>
  <si>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</si>
  <si>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</si>
  <si>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</si>
  <si>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</si>
  <si>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</si>
  <si>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</si>
  <si>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</si>
  <si>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</si>
  <si>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</si>
  <si>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</si>
  <si>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</si>
  <si>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</si>
  <si>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</si>
  <si>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</si>
  <si>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</si>
  <si>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</si>
  <si>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</si>
  <si>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</si>
  <si>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</si>
  <si>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</si>
  <si>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</si>
  <si>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</si>
  <si>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</si>
  <si>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</si>
  <si>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</si>
  <si>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</si>
  <si>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</si>
  <si>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</si>
  <si>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</si>
  <si>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</si>
  <si>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</si>
  <si>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</si>
  <si>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</si>
  <si>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</si>
  <si>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</si>
  <si>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</si>
  <si>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</si>
  <si>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</si>
  <si>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</si>
  <si>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</si>
  <si>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</si>
  <si>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</si>
  <si>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</si>
  <si>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</si>
  <si>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</si>
  <si>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</si>
  <si>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</si>
  <si>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</si>
  <si>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</si>
  <si>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</si>
  <si>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</si>
  <si>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</si>
  <si>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</si>
  <si>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</si>
  <si>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</si>
  <si>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</si>
  <si>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</si>
  <si>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</si>
  <si>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</si>
  <si>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</si>
  <si>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</si>
  <si>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</si>
  <si>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</si>
  <si>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</si>
  <si>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</si>
  <si>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</si>
  <si>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</si>
  <si>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</si>
  <si>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</si>
  <si>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</si>
  <si>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</si>
  <si>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</si>
  <si>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</si>
  <si>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</si>
  <si>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</si>
  <si>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</si>
  <si>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</si>
  <si>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</si>
  <si>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</si>
  <si>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</si>
  <si>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</si>
  <si>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</si>
  <si>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</si>
  <si>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</si>
  <si>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</si>
  <si>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</si>
  <si>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</si>
  <si>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</si>
  <si>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</si>
  <si>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</si>
  <si>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</si>
  <si>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</si>
  <si>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</si>
  <si>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</si>
  <si>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</si>
  <si>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</si>
  <si>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</si>
  <si>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</si>
  <si>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</si>
  <si>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</si>
  <si>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</si>
  <si>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</si>
  <si>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</si>
  <si>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</si>
  <si>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</si>
  <si>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</si>
  <si>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</si>
  <si>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</si>
  <si>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</si>
  <si>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</si>
  <si>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</si>
  <si>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</si>
  <si>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地上</t>
  </si>
  <si>
    <t>是</t>
  </si>
  <si>
    <t>成新度</t>
  </si>
  <si>
    <t>主楼</t>
    <phoneticPr fontId="143" type="noConversion"/>
  </si>
  <si>
    <t>用途</t>
    <phoneticPr fontId="143" type="noConversion"/>
  </si>
  <si>
    <t>时间</t>
    <phoneticPr fontId="143" type="noConversion"/>
  </si>
  <si>
    <t>小计</t>
    <phoneticPr fontId="143" type="noConversion"/>
  </si>
  <si>
    <t>住宿餐饮</t>
  </si>
  <si>
    <t>住宿餐饮</t>
    <phoneticPr fontId="143" type="noConversion"/>
  </si>
  <si>
    <t>别墅</t>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</si>
  <si>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</si>
  <si>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</si>
  <si>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混合</t>
    <phoneticPr fontId="143" type="noConversion"/>
  </si>
  <si>
    <t>钢混</t>
    <phoneticPr fontId="143" type="noConversion"/>
  </si>
  <si>
    <t>混合</t>
    <phoneticPr fontId="143" type="noConversion"/>
  </si>
  <si>
    <t>1</t>
    <phoneticPr fontId="143" type="noConversion"/>
  </si>
  <si>
    <r>
      <t>1</t>
    </r>
    <r>
      <rPr>
        <sz val="11"/>
        <color theme="1"/>
        <rFont val="宋体"/>
        <family val="3"/>
        <charset val="134"/>
        <scheme val="minor"/>
      </rPr>
      <t>-4</t>
    </r>
    <phoneticPr fontId="143" type="noConversion"/>
  </si>
  <si>
    <t>水上别墅</t>
    <phoneticPr fontId="143" type="noConversion"/>
  </si>
  <si>
    <t>三期</t>
    <phoneticPr fontId="143" type="noConversion"/>
  </si>
  <si>
    <t>总计</t>
    <phoneticPr fontId="143" type="noConversion"/>
  </si>
  <si>
    <t>≤2.5</t>
  </si>
  <si>
    <t>40年</t>
  </si>
  <si>
    <t>武清区新城福源道东侧</t>
  </si>
  <si>
    <t>中南</t>
  </si>
  <si>
    <t>住宿餐饮</t>
    <phoneticPr fontId="31" type="noConversion"/>
  </si>
  <si>
    <t>商业</t>
    <phoneticPr fontId="31" type="noConversion"/>
  </si>
  <si>
    <t>楼面地价</t>
  </si>
  <si>
    <t>现房</t>
  </si>
  <si>
    <t>成本法</t>
  </si>
  <si>
    <t>钢混</t>
  </si>
  <si>
    <t>非生产用房</t>
  </si>
  <si>
    <t>收益法（汇总）</t>
  </si>
  <si>
    <t>自定义</t>
  </si>
  <si>
    <t>正常操作</t>
  </si>
  <si>
    <t>砖混</t>
  </si>
  <si>
    <t>康乐中心</t>
    <phoneticPr fontId="143" type="noConversion"/>
  </si>
  <si>
    <t>万景园四合院</t>
    <phoneticPr fontId="143" type="noConversion"/>
  </si>
  <si>
    <t>天津市房地产权证号</t>
    <phoneticPr fontId="143" type="noConversion"/>
  </si>
  <si>
    <t>房地证津字第122031029858号</t>
    <phoneticPr fontId="143" type="noConversion"/>
  </si>
  <si>
    <t>房地证津字第122031029836号</t>
    <phoneticPr fontId="143" type="noConversion"/>
  </si>
  <si>
    <t>房地证津字第122031029857号</t>
    <phoneticPr fontId="143" type="noConversion"/>
  </si>
  <si>
    <t>房地证津字第122031029835号</t>
    <phoneticPr fontId="143" type="noConversion"/>
  </si>
  <si>
    <t>房地证津字第122010807239号</t>
    <phoneticPr fontId="143" type="noConversion"/>
  </si>
  <si>
    <t>项目类型</t>
    <phoneticPr fontId="143" type="noConversion"/>
  </si>
  <si>
    <t>土地面积（平方米）</t>
    <phoneticPr fontId="143" type="noConversion"/>
  </si>
  <si>
    <t>建筑面积（平方米）</t>
    <phoneticPr fontId="143" type="noConversion"/>
  </si>
  <si>
    <t>楼层</t>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</si>
  <si>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</si>
  <si>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-3</t>
    </r>
    <phoneticPr fontId="143" type="noConversion"/>
  </si>
  <si>
    <t>估价对象周边有737路、武清3路，公交便捷度一般，路网密集程度一般，停车较便捷，综合评价交通便捷度一般。</t>
    <phoneticPr fontId="41" type="noConversion"/>
  </si>
  <si>
    <t>一般</t>
  </si>
  <si>
    <t>较好</t>
  </si>
  <si>
    <t>估价对象周边有麒麟商业中心、荔隆广场，周边商业氛围一般，人流量一般，商业繁华度一般</t>
    <phoneticPr fontId="25" type="noConversion"/>
  </si>
  <si>
    <t>估价对象所在区域公共配套设施较齐备，有购物（麒麟商业中心）、有医院（武清区徐官屯医院）、有银行（天津农村商业银行）</t>
    <phoneticPr fontId="41" type="noConversion"/>
  </si>
  <si>
    <t>估价对象所在区域基础设施水平：七通</t>
    <phoneticPr fontId="25" type="noConversion"/>
  </si>
  <si>
    <t>区域自然环境：水系：京杭运河；人文环境；综合评价环境状况一般</t>
  </si>
  <si>
    <t>区域自然环境：水系：京杭运河；人文环境；综合评价环境状况一般</t>
    <phoneticPr fontId="41" type="noConversion"/>
  </si>
  <si>
    <t>城市支路－福源道</t>
    <phoneticPr fontId="25" type="noConversion"/>
  </si>
  <si>
    <t>较一致</t>
    <phoneticPr fontId="25" type="noConversion"/>
  </si>
  <si>
    <t>多面临街</t>
  </si>
  <si>
    <r>
      <rPr>
        <sz val="11"/>
        <rFont val="宋体"/>
        <family val="3"/>
        <charset val="134"/>
      </rPr>
      <t>乐汇超市、</t>
    </r>
    <r>
      <rPr>
        <sz val="11"/>
        <rFont val="Arial"/>
        <family val="2"/>
      </rPr>
      <t>123</t>
    </r>
    <r>
      <rPr>
        <sz val="11"/>
        <rFont val="宋体"/>
        <family val="3"/>
        <charset val="134"/>
      </rPr>
      <t>五金百货，周边商业氛围一般，人流量一般，商业繁华度一般</t>
    </r>
    <phoneticPr fontId="31" type="noConversion"/>
  </si>
  <si>
    <t>七通</t>
  </si>
  <si>
    <t>快速路</t>
    <phoneticPr fontId="31" type="noConversion"/>
  </si>
  <si>
    <t>较规则</t>
  </si>
  <si>
    <t>较规则</t>
    <phoneticPr fontId="31" type="noConversion"/>
  </si>
  <si>
    <t>较适宜</t>
  </si>
  <si>
    <t>较适宜</t>
    <phoneticPr fontId="31" type="noConversion"/>
  </si>
  <si>
    <t>七通</t>
    <phoneticPr fontId="31" type="noConversion"/>
  </si>
  <si>
    <t>较好</t>
    <phoneticPr fontId="31" type="noConversion"/>
  </si>
  <si>
    <t>三期</t>
  </si>
  <si>
    <t>刘梅</t>
  </si>
  <si>
    <t>吴薇</t>
  </si>
  <si>
    <r>
      <rPr>
        <sz val="10"/>
        <color indexed="8"/>
        <rFont val="宋体"/>
        <family val="3"/>
        <charset val="134"/>
      </rPr>
      <t>主楼</t>
    </r>
    <r>
      <rPr>
        <sz val="10"/>
        <color indexed="8"/>
        <rFont val="Arial"/>
        <family val="2"/>
      </rPr>
      <t>+</t>
    </r>
    <r>
      <rPr>
        <sz val="10"/>
        <color indexed="8"/>
        <rFont val="宋体"/>
        <family val="3"/>
        <charset val="134"/>
      </rPr>
      <t>康乐</t>
    </r>
    <phoneticPr fontId="7" type="noConversion"/>
  </si>
  <si>
    <t>别墅、水上别墅、万景园</t>
  </si>
  <si>
    <t>别墅、水上别墅、万景园</t>
    <phoneticPr fontId="7" type="noConversion"/>
  </si>
  <si>
    <t>三期</t>
    <phoneticPr fontId="7" type="noConversion"/>
  </si>
  <si>
    <t>主楼+康乐</t>
  </si>
  <si>
    <t>收益法-主楼</t>
  </si>
  <si>
    <t>收益法-主楼</t>
    <phoneticPr fontId="16" type="noConversion"/>
  </si>
  <si>
    <t>收益法三期</t>
  </si>
  <si>
    <t>收益法三期</t>
    <phoneticPr fontId="16" type="noConversion"/>
  </si>
  <si>
    <t>收益法-别墅</t>
    <phoneticPr fontId="16" type="noConversion"/>
  </si>
  <si>
    <t>天津市</t>
  </si>
  <si>
    <t>商业/办公用地</t>
  </si>
  <si>
    <t>2017-06-02</t>
  </si>
  <si>
    <t>地块名称</t>
  </si>
  <si>
    <t>城市</t>
  </si>
  <si>
    <t>用地性质</t>
  </si>
  <si>
    <t>建设用地面积(㎡)</t>
  </si>
  <si>
    <t>规划建筑面积(㎡)</t>
  </si>
  <si>
    <t>容积率</t>
  </si>
  <si>
    <t>成交日期</t>
  </si>
  <si>
    <t>受让单位</t>
  </si>
  <si>
    <t>成交每亩价(万元/亩)</t>
  </si>
  <si>
    <t>成交楼面价(元/㎡)</t>
  </si>
  <si>
    <t>溢价率</t>
  </si>
  <si>
    <t>出让年限</t>
  </si>
  <si>
    <t>估价对象周边有麒麟商业中心、荔隆广场，周边商业氛围一般，人流量一般，商业繁华度一般</t>
  </si>
  <si>
    <t>所在区域公共配套设施较齐备，有购物（佛罗伦萨小镇）、有医院（天津武清仁和医院）、有银行（天津农村商业银行）</t>
    <phoneticPr fontId="31" type="noConversion"/>
  </si>
  <si>
    <t>六通</t>
  </si>
  <si>
    <t>六通</t>
    <phoneticPr fontId="31" type="noConversion"/>
  </si>
  <si>
    <t>五通</t>
    <phoneticPr fontId="31" type="noConversion"/>
  </si>
  <si>
    <t>收益法-别墅</t>
  </si>
  <si>
    <r>
      <t>2</t>
    </r>
    <r>
      <rPr>
        <sz val="11"/>
        <color theme="1"/>
        <rFont val="宋体"/>
        <family val="3"/>
        <charset val="134"/>
        <scheme val="minor"/>
      </rPr>
      <t>023-3-1</t>
    </r>
    <phoneticPr fontId="143" type="noConversion"/>
  </si>
  <si>
    <t>未包含在土地购买价格中</t>
  </si>
  <si>
    <t>全部缴纳</t>
  </si>
  <si>
    <t>已包含在土地取得成本中</t>
  </si>
  <si>
    <t>《天津市实施〈中华人民共和国城镇土地使用税暂行条例〉办法》</t>
  </si>
  <si>
    <t>周边有佛罗伦萨小镇，周边商业氛围一般，人流量一般，商业繁华度一般</t>
    <phoneticPr fontId="3" type="noConversion"/>
  </si>
  <si>
    <r>
      <rPr>
        <sz val="11"/>
        <rFont val="宋体"/>
        <family val="3"/>
        <charset val="134"/>
      </rPr>
      <t>周边有</t>
    </r>
    <r>
      <rPr>
        <sz val="11"/>
        <rFont val="Arial"/>
        <family val="2"/>
      </rPr>
      <t>778</t>
    </r>
    <r>
      <rPr>
        <sz val="11"/>
        <rFont val="宋体"/>
        <family val="3"/>
        <charset val="134"/>
      </rPr>
      <t>路、武清</t>
    </r>
    <r>
      <rPr>
        <sz val="11"/>
        <rFont val="Arial"/>
        <family val="2"/>
      </rPr>
      <t>13</t>
    </r>
    <r>
      <rPr>
        <sz val="11"/>
        <rFont val="宋体"/>
        <family val="3"/>
        <charset val="134"/>
      </rPr>
      <t>路，公交便捷度一般，路网密集程度一般，停车较便捷，综合评价交通便捷度一般。</t>
    </r>
    <phoneticPr fontId="3" type="noConversion"/>
  </si>
  <si>
    <t>三期装修成本</t>
    <phoneticPr fontId="8" type="noConversion"/>
  </si>
  <si>
    <t>建筑面积</t>
  </si>
  <si>
    <t>土地面积</t>
  </si>
  <si>
    <t>成本比率</t>
  </si>
  <si>
    <r>
      <t>房地证津字第</t>
    </r>
    <r>
      <rPr>
        <sz val="14"/>
        <color theme="1"/>
        <rFont val="Arial"/>
        <family val="2"/>
      </rPr>
      <t>122031029837</t>
    </r>
    <r>
      <rPr>
        <sz val="14"/>
        <color theme="1"/>
        <rFont val="楷体_GB2312"/>
        <family val="3"/>
        <charset val="134"/>
      </rPr>
      <t>号</t>
    </r>
    <phoneticPr fontId="143" type="noConversion"/>
  </si>
  <si>
    <t>武清区新城泉州路东侧</t>
  </si>
  <si>
    <t>自然人杨文合</t>
  </si>
  <si>
    <t>武清区徐官屯街京津公路东侧</t>
  </si>
  <si>
    <t>≤1.0</t>
  </si>
  <si>
    <t>2017-02-24</t>
  </si>
  <si>
    <t>天津远恒置业有限公司</t>
  </si>
  <si>
    <r>
      <rPr>
        <sz val="11"/>
        <rFont val="宋体"/>
        <family val="3"/>
        <charset val="134"/>
      </rPr>
      <t>周边有</t>
    </r>
    <r>
      <rPr>
        <sz val="11"/>
        <rFont val="Arial"/>
        <family val="2"/>
      </rPr>
      <t>569</t>
    </r>
    <r>
      <rPr>
        <sz val="11"/>
        <rFont val="宋体"/>
        <family val="3"/>
        <charset val="134"/>
      </rPr>
      <t>路、</t>
    </r>
    <r>
      <rPr>
        <sz val="11"/>
        <rFont val="Arial"/>
        <family val="2"/>
      </rPr>
      <t>562</t>
    </r>
    <r>
      <rPr>
        <sz val="11"/>
        <rFont val="宋体"/>
        <family val="3"/>
        <charset val="134"/>
      </rPr>
      <t>路，公交便捷度一般，路网密集程度一般，停车较便捷，综合评价交通便捷度一般。</t>
    </r>
    <phoneticPr fontId="3" type="noConversion"/>
  </si>
  <si>
    <t>所在区域公共配套设施较齐备，有购物（乐汇超市）、有医院（东蒲洼医院）、有银行（工商银行）</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</si>
</sst>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color rgb="FF333333"/>
      <name val="Verdana"/>
      <family val="2"/>
    </font>
    <font>
      <sz val="14"/>
      <color theme="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80" fillId="0" borderId="1" xfId="0" applyFont="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49" fontId="0" fillId="0" borderId="0" xfId="0" applyNumberFormat="1">
      <alignment vertical="center"/>
    </xf>
    <xf numFmtId="0" fontId="255" fillId="0" borderId="0" xfId="0" applyFont="1">
      <alignment vertical="center"/>
    </xf>
    <xf numFmtId="10" fontId="0" fillId="0" borderId="0" xfId="0" applyNumberFormat="1">
      <alignment vertical="center"/>
    </xf>
    <xf numFmtId="0" fontId="98" fillId="0" borderId="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31" fillId="0" borderId="23" xfId="0" applyFont="1" applyBorder="1" applyAlignment="1" applyProtection="1">
      <alignment horizontal="center" vertical="center"/>
      <protection locked="0"/>
    </xf>
    <xf numFmtId="0" fontId="0" fillId="0" borderId="1" xfId="0" applyBorder="1">
      <alignment vertical="center"/>
    </xf>
    <xf numFmtId="49" fontId="0" fillId="0" borderId="1" xfId="0" applyNumberFormat="1" applyBorder="1">
      <alignment vertical="center"/>
    </xf>
    <xf numFmtId="0" fontId="99" fillId="0" borderId="1" xfId="0" applyFont="1" applyBorder="1">
      <alignment vertical="center"/>
    </xf>
    <xf numFmtId="49" fontId="99" fillId="0" borderId="1" xfId="0" applyNumberFormat="1" applyFont="1" applyBorder="1">
      <alignment vertical="center"/>
    </xf>
    <xf numFmtId="0" fontId="100" fillId="0" borderId="1" xfId="0" applyFont="1" applyBorder="1">
      <alignment vertical="center"/>
    </xf>
    <xf numFmtId="0" fontId="100" fillId="5" borderId="1" xfId="0" applyFont="1" applyFill="1" applyBorder="1">
      <alignment vertical="center"/>
    </xf>
    <xf numFmtId="0" fontId="99" fillId="5" borderId="1" xfId="0" applyFont="1" applyFill="1" applyBorder="1">
      <alignment vertical="center"/>
    </xf>
    <xf numFmtId="49" fontId="99" fillId="5" borderId="1" xfId="0" applyNumberFormat="1" applyFont="1" applyFill="1" applyBorder="1">
      <alignment vertical="center"/>
    </xf>
    <xf numFmtId="0" fontId="0" fillId="5" borderId="1" xfId="0" applyFill="1" applyBorder="1">
      <alignment vertical="center"/>
    </xf>
    <xf numFmtId="0" fontId="99" fillId="0" borderId="1" xfId="0" applyFont="1" applyBorder="1" applyAlignment="1">
      <alignment horizontal="center" vertical="center" wrapText="1"/>
    </xf>
    <xf numFmtId="0" fontId="99" fillId="5" borderId="1" xfId="0" applyFont="1" applyFill="1" applyBorder="1" applyAlignment="1">
      <alignment vertical="center" wrapText="1"/>
    </xf>
    <xf numFmtId="1" fontId="73" fillId="3" borderId="20"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50" fillId="6" borderId="0" xfId="0" applyNumberFormat="1"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1" fontId="106" fillId="0" borderId="5" xfId="0" applyNumberFormat="1" applyFont="1" applyFill="1" applyBorder="1" applyAlignment="1" applyProtection="1">
      <alignment vertical="center"/>
      <protection locked="0"/>
    </xf>
    <xf numFmtId="0" fontId="0" fillId="0" borderId="0" xfId="0" applyFill="1" applyAlignment="1"/>
    <xf numFmtId="0" fontId="98"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9" fillId="0" borderId="0" xfId="0" applyNumberFormat="1" applyFont="1">
      <alignment vertical="center"/>
    </xf>
    <xf numFmtId="177" fontId="148" fillId="3" borderId="3" xfId="0" applyNumberFormat="1" applyFont="1" applyFill="1" applyBorder="1" applyAlignment="1" applyProtection="1">
      <alignment vertical="center"/>
      <protection locked="0"/>
    </xf>
    <xf numFmtId="179" fontId="50" fillId="0" borderId="1" xfId="0" applyNumberFormat="1" applyFont="1" applyFill="1" applyBorder="1" applyAlignment="1" applyProtection="1">
      <alignment horizontal="center" vertical="center" wrapText="1"/>
      <protection locked="0"/>
    </xf>
    <xf numFmtId="181" fontId="47" fillId="0" borderId="5" xfId="0"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100" fillId="5" borderId="5" xfId="0" applyFont="1" applyFill="1" applyBorder="1" applyAlignment="1">
      <alignment horizontal="center" vertical="center"/>
    </xf>
    <xf numFmtId="0" fontId="100" fillId="5" borderId="54"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99" fillId="0" borderId="13" xfId="0" applyFont="1" applyBorder="1" applyAlignment="1">
      <alignment horizontal="center" vertical="center" wrapText="1"/>
    </xf>
    <xf numFmtId="0" fontId="99" fillId="0" borderId="15" xfId="0" applyFont="1" applyBorder="1" applyAlignment="1">
      <alignment horizontal="center" vertical="center" wrapText="1"/>
    </xf>
    <xf numFmtId="0" fontId="99" fillId="0" borderId="2" xfId="0" applyFont="1" applyBorder="1" applyAlignment="1">
      <alignment horizontal="center" vertical="center" wrapText="1"/>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109</xdr:row>
      <xdr:rowOff>0</xdr:rowOff>
    </xdr:from>
    <xdr:to>
      <xdr:col>7</xdr:col>
      <xdr:colOff>370318</xdr:colOff>
      <xdr:row>144</xdr:row>
      <xdr:rowOff>8774</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0" y="18859500"/>
          <a:ext cx="9257143" cy="6009524"/>
        </a:xfrm>
        <a:prstGeom prst="rect">
          <a:avLst/>
        </a:prstGeom>
      </xdr:spPr>
    </xdr:pic>
    <xdr:clientData/>
  </xdr:twoCellAnchor>
  <xdr:twoCellAnchor editAs="oneCell">
    <xdr:from>
      <xdr:col>0</xdr:col>
      <xdr:colOff>0</xdr:colOff>
      <xdr:row>145</xdr:row>
      <xdr:rowOff>0</xdr:rowOff>
    </xdr:from>
    <xdr:to>
      <xdr:col>7</xdr:col>
      <xdr:colOff>170318</xdr:colOff>
      <xdr:row>183</xdr:row>
      <xdr:rowOff>46805</xdr:rowOff>
    </xdr:to>
    <xdr:pic>
      <xdr:nvPicPr>
        <xdr:cNvPr id="7" name="图片 6"/>
        <xdr:cNvPicPr>
          <a:picLocks noChangeAspect="1"/>
        </xdr:cNvPicPr>
      </xdr:nvPicPr>
      <xdr:blipFill>
        <a:blip xmlns:r="http://schemas.openxmlformats.org/officeDocument/2006/relationships" r:embed="rId2" cstate="print"/>
        <a:stretch>
          <a:fillRect/>
        </a:stretch>
      </xdr:blipFill>
      <xdr:spPr>
        <a:xfrm>
          <a:off x="0" y="25031700"/>
          <a:ext cx="9057143" cy="6561905"/>
        </a:xfrm>
        <a:prstGeom prst="rect">
          <a:avLst/>
        </a:prstGeom>
      </xdr:spPr>
    </xdr:pic>
    <xdr:clientData/>
  </xdr:twoCellAnchor>
  <xdr:twoCellAnchor editAs="oneCell">
    <xdr:from>
      <xdr:col>11</xdr:col>
      <xdr:colOff>0</xdr:colOff>
      <xdr:row>34</xdr:row>
      <xdr:rowOff>0</xdr:rowOff>
    </xdr:from>
    <xdr:to>
      <xdr:col>20</xdr:col>
      <xdr:colOff>227800</xdr:colOff>
      <xdr:row>64</xdr:row>
      <xdr:rowOff>18368</xdr:rowOff>
    </xdr:to>
    <xdr:pic>
      <xdr:nvPicPr>
        <xdr:cNvPr id="2" name="图片 1"/>
        <xdr:cNvPicPr>
          <a:picLocks noChangeAspect="1"/>
        </xdr:cNvPicPr>
      </xdr:nvPicPr>
      <xdr:blipFill>
        <a:blip xmlns:r="http://schemas.openxmlformats.org/officeDocument/2006/relationships" r:embed="rId3" cstate="print"/>
        <a:stretch>
          <a:fillRect/>
        </a:stretch>
      </xdr:blipFill>
      <xdr:spPr>
        <a:xfrm>
          <a:off x="10496550" y="5657850"/>
          <a:ext cx="6400000" cy="5457143"/>
        </a:xfrm>
        <a:prstGeom prst="rect">
          <a:avLst/>
        </a:prstGeom>
      </xdr:spPr>
    </xdr:pic>
    <xdr:clientData/>
  </xdr:twoCellAnchor>
  <xdr:twoCellAnchor editAs="oneCell">
    <xdr:from>
      <xdr:col>7</xdr:col>
      <xdr:colOff>0</xdr:colOff>
      <xdr:row>39</xdr:row>
      <xdr:rowOff>0</xdr:rowOff>
    </xdr:from>
    <xdr:to>
      <xdr:col>10</xdr:col>
      <xdr:colOff>199681</xdr:colOff>
      <xdr:row>50</xdr:row>
      <xdr:rowOff>66431</xdr:rowOff>
    </xdr:to>
    <xdr:pic>
      <xdr:nvPicPr>
        <xdr:cNvPr id="4" name="图片 3"/>
        <xdr:cNvPicPr>
          <a:picLocks noChangeAspect="1"/>
        </xdr:cNvPicPr>
      </xdr:nvPicPr>
      <xdr:blipFill>
        <a:blip xmlns:r="http://schemas.openxmlformats.org/officeDocument/2006/relationships" r:embed="rId4" cstate="print"/>
        <a:stretch>
          <a:fillRect/>
        </a:stretch>
      </xdr:blipFill>
      <xdr:spPr>
        <a:xfrm>
          <a:off x="8658225" y="9191625"/>
          <a:ext cx="2752381" cy="1952381"/>
        </a:xfrm>
        <a:prstGeom prst="rect">
          <a:avLst/>
        </a:prstGeom>
      </xdr:spPr>
    </xdr:pic>
    <xdr:clientData/>
  </xdr:twoCellAnchor>
  <xdr:twoCellAnchor editAs="oneCell">
    <xdr:from>
      <xdr:col>0</xdr:col>
      <xdr:colOff>0</xdr:colOff>
      <xdr:row>82</xdr:row>
      <xdr:rowOff>0</xdr:rowOff>
    </xdr:from>
    <xdr:to>
      <xdr:col>6</xdr:col>
      <xdr:colOff>56260</xdr:colOff>
      <xdr:row>85</xdr:row>
      <xdr:rowOff>9460</xdr:rowOff>
    </xdr:to>
    <xdr:pic>
      <xdr:nvPicPr>
        <xdr:cNvPr id="5" name="图片 4"/>
        <xdr:cNvPicPr>
          <a:picLocks noChangeAspect="1"/>
        </xdr:cNvPicPr>
      </xdr:nvPicPr>
      <xdr:blipFill>
        <a:blip xmlns:r="http://schemas.openxmlformats.org/officeDocument/2006/relationships" r:embed="rId5" cstate="print"/>
        <a:stretch>
          <a:fillRect/>
        </a:stretch>
      </xdr:blipFill>
      <xdr:spPr>
        <a:xfrm>
          <a:off x="0" y="16678275"/>
          <a:ext cx="7123810" cy="523810"/>
        </a:xfrm>
        <a:prstGeom prst="rect">
          <a:avLst/>
        </a:prstGeom>
      </xdr:spPr>
    </xdr:pic>
    <xdr:clientData/>
  </xdr:twoCellAnchor>
  <xdr:twoCellAnchor editAs="oneCell">
    <xdr:from>
      <xdr:col>0</xdr:col>
      <xdr:colOff>0</xdr:colOff>
      <xdr:row>40</xdr:row>
      <xdr:rowOff>0</xdr:rowOff>
    </xdr:from>
    <xdr:to>
      <xdr:col>7</xdr:col>
      <xdr:colOff>170318</xdr:colOff>
      <xdr:row>77</xdr:row>
      <xdr:rowOff>103955</xdr:rowOff>
    </xdr:to>
    <xdr:pic>
      <xdr:nvPicPr>
        <xdr:cNvPr id="8" name="图片 7"/>
        <xdr:cNvPicPr>
          <a:picLocks noChangeAspect="1"/>
        </xdr:cNvPicPr>
      </xdr:nvPicPr>
      <xdr:blipFill>
        <a:blip xmlns:r="http://schemas.openxmlformats.org/officeDocument/2006/relationships" r:embed="rId2"/>
        <a:stretch>
          <a:fillRect/>
        </a:stretch>
      </xdr:blipFill>
      <xdr:spPr>
        <a:xfrm>
          <a:off x="0" y="9363075"/>
          <a:ext cx="9057143" cy="6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预评估</v>
      </c>
    </row>
    <row r="3" spans="1:2" s="1592" customFormat="1">
      <c r="A3" s="1590" t="s">
        <v>1222</v>
      </c>
      <c r="B3" s="1591">
        <f>'预评函-封皮'!B40</f>
        <v>0</v>
      </c>
    </row>
    <row r="4" spans="1:2" s="1592" customFormat="1">
      <c r="A4" s="1590" t="s">
        <v>1223</v>
      </c>
      <c r="B4" s="1591" t="str">
        <f ca="1">'预评函-封皮'!B46</f>
        <v>刘梅（注册号：1120140022)、吴薇（注册号：1419970001)</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受贵公司委托，我公司对进行了预评估。</v>
      </c>
    </row>
    <row r="7" spans="1:2" s="1592" customFormat="1">
      <c r="A7" s="1590" t="s">
        <v>1265</v>
      </c>
      <c r="B7" s="1591" t="str">
        <f>'预评函-1'!A7</f>
        <v>估价对象为房地产，为所有。根据《国有土地使用证》[]，估价对象（分摊）出让国有建设用地使用权面积为138145.2平方米，建筑面积为116944.15平方米。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估价对象为房地产,属开发建设的，该项目尚在开发建设中。根据《国有土地使用证》[]，估价对象（分摊）出让国有建设用地使用权面积为138145.2平方米，规划建筑面积为116944.15平方米。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为估价委托人了解估价对象房地产市场价值提供参考依据。</v>
      </c>
    </row>
    <row r="12" spans="1:2" s="1592" customFormat="1">
      <c r="A12" s="1590" t="s">
        <v>1227</v>
      </c>
      <c r="B12" s="1591" t="str">
        <f>'预评函-1'!A15</f>
        <v>2017年12月1日（评估专业人员实地查勘之日）</v>
      </c>
    </row>
    <row r="13" spans="1:2" s="1592" customFormat="1">
      <c r="A13" s="1590" t="s">
        <v>1228</v>
      </c>
      <c r="B13" s="1591" t="str">
        <f>'预评函-1'!A18</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4" spans="1:2" s="1592" customFormat="1">
      <c r="A14" s="1590" t="s">
        <v>1229</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117820</v>
      </c>
    </row>
    <row r="21" spans="1:2" s="1592" customFormat="1">
      <c r="A21" s="1590" t="s">
        <v>1236</v>
      </c>
      <c r="B21" s="1591">
        <f ca="1">'预评函-2'!D7</f>
        <v>10075</v>
      </c>
    </row>
    <row r="22" spans="1:2" s="1592" customFormat="1">
      <c r="A22" s="1590" t="s">
        <v>1237</v>
      </c>
      <c r="B22" s="1591" t="str">
        <f ca="1">'预评函-2'!D6</f>
        <v>壹拾壹亿柒仟捌佰贰拾万元整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117820</v>
      </c>
    </row>
    <row r="31" spans="1:2" s="1592" customFormat="1">
      <c r="A31" s="1590" t="s">
        <v>1275</v>
      </c>
      <c r="B31" s="1591">
        <f ca="1">'预评函-2'!D15</f>
        <v>10075</v>
      </c>
    </row>
    <row r="32" spans="1:2" s="1592" customFormat="1">
      <c r="A32" s="1590" t="s">
        <v>1242</v>
      </c>
      <c r="B32" s="1591" t="str">
        <f ca="1">'预评函-2'!D14</f>
        <v>壹拾壹亿柒仟捌佰贰拾万元整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房地产</v>
      </c>
    </row>
    <row r="42" spans="1:2" s="1592" customFormat="1">
      <c r="A42" s="1590" t="s">
        <v>1289</v>
      </c>
      <c r="B42" s="1591" t="str">
        <f>'预评函-3'!B2</f>
        <v>建筑面积</v>
      </c>
    </row>
    <row r="43" spans="1:2" s="1592" customFormat="1">
      <c r="A43" s="1590" t="s">
        <v>1290</v>
      </c>
      <c r="B43" s="1591">
        <f>'预评函-3'!B4</f>
        <v>116944.15</v>
      </c>
    </row>
    <row r="44" spans="1:2" s="1592" customFormat="1">
      <c r="A44" s="1590" t="s">
        <v>1274</v>
      </c>
      <c r="B44" s="1591" t="str">
        <f>'预评函-3'!C2</f>
        <v>(分摊)土地面积</v>
      </c>
    </row>
    <row r="45" spans="1:2" s="1592" customFormat="1">
      <c r="A45" s="1590" t="s">
        <v>1246</v>
      </c>
      <c r="B45" s="1591">
        <f>'预评函-3'!C4</f>
        <v>138145.20000000001</v>
      </c>
    </row>
    <row r="46" spans="1:2" s="1592" customFormat="1">
      <c r="A46" s="1590" t="s">
        <v>1272</v>
      </c>
      <c r="B46" s="1591" t="str">
        <f>'预评函-3'!D2</f>
        <v>出让国有建设用地使用权价值</v>
      </c>
    </row>
    <row r="47" spans="1:2" s="1592" customFormat="1">
      <c r="A47" s="1590" t="s">
        <v>1247</v>
      </c>
      <c r="B47" s="1591">
        <f ca="1">'预评函-3'!D4</f>
        <v>56907</v>
      </c>
    </row>
    <row r="48" spans="1:2" s="1592" customFormat="1">
      <c r="A48" s="1590" t="s">
        <v>1248</v>
      </c>
      <c r="B48" s="1591">
        <f ca="1">'预评函-3'!E4</f>
        <v>4866</v>
      </c>
    </row>
    <row r="49" spans="1:2" s="1592" customFormat="1">
      <c r="A49" s="1590" t="s">
        <v>1249</v>
      </c>
      <c r="B49" s="1591" t="str">
        <f ca="1">'预评函-3'!D5</f>
        <v>伍亿陆仟玖佰零柒万元整</v>
      </c>
    </row>
    <row r="50" spans="1:2" s="1592" customFormat="1">
      <c r="A50" s="1590" t="s">
        <v>1273</v>
      </c>
      <c r="B50" s="1591" t="str">
        <f>'预评函-3'!F2</f>
        <v>在建建筑物价值</v>
      </c>
    </row>
    <row r="51" spans="1:2" s="1592" customFormat="1">
      <c r="A51" s="1590" t="s">
        <v>1250</v>
      </c>
      <c r="B51" s="1591">
        <f ca="1">'预评函-3'!F4</f>
        <v>60913</v>
      </c>
    </row>
    <row r="52" spans="1:2" s="1592" customFormat="1">
      <c r="A52" s="1590" t="s">
        <v>1251</v>
      </c>
      <c r="B52" s="1591">
        <f ca="1">'预评函-3'!G4</f>
        <v>5209</v>
      </c>
    </row>
    <row r="53" spans="1:2" s="1592" customFormat="1">
      <c r="A53" s="1590" t="s">
        <v>1279</v>
      </c>
      <c r="B53" s="1591" t="str">
        <f ca="1">'预评函-3'!F5</f>
        <v>陆亿零玖佰壹拾叁万元整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2.本次评估设定估价对象房地产权属无争议，未被查封或者以其他形式限制其房地产权利，未设定抵押权等他项权利，不涉及第三方权利义务。</v>
      </c>
    </row>
    <row r="59" spans="1:2" s="1592" customFormat="1">
      <c r="A59" s="1590" t="s">
        <v>1253</v>
      </c>
      <c r="B59" s="1591" t="str">
        <f>'预评函-4'!A13</f>
        <v>——</v>
      </c>
    </row>
    <row r="60" spans="1:2" s="1592" customFormat="1">
      <c r="A60" s="1590" t="s">
        <v>1254</v>
      </c>
      <c r="B60" s="1591" t="str">
        <f>'预评函-4'!A14</f>
        <v>——</v>
      </c>
    </row>
    <row r="61" spans="1:2" s="1592" customFormat="1">
      <c r="A61" s="1590" t="s">
        <v>1255</v>
      </c>
      <c r="B61" s="1591" t="str">
        <f>'预评函-4'!A15</f>
        <v>——</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v>
      </c>
    </row>
    <row r="65" spans="1:2" s="1592" customFormat="1">
      <c r="A65" s="1590" t="s">
        <v>1258</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刘梅</v>
      </c>
    </row>
    <row r="71" spans="1:2">
      <c r="A71" s="1590" t="s">
        <v>1262</v>
      </c>
      <c r="B71" s="1591">
        <f ca="1">'预评函-4'!B4</f>
        <v>1120140022</v>
      </c>
    </row>
    <row r="72" spans="1:2">
      <c r="A72" s="1590" t="s">
        <v>1263</v>
      </c>
      <c r="B72" s="1599" t="str">
        <f>'预评函-4'!A5</f>
        <v>吴薇</v>
      </c>
    </row>
    <row r="73" spans="1:2" s="1586" customFormat="1" ht="15" thickBot="1">
      <c r="A73" s="1593" t="s">
        <v>1264</v>
      </c>
      <c r="B73" s="1594">
        <f ca="1">'预评函-4'!B5</f>
        <v>1419970001</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8" sqref="X8"/>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3121</v>
      </c>
      <c r="C17" s="2014"/>
    </row>
    <row r="18" spans="1:3">
      <c r="A18" s="2013" t="s">
        <v>1769</v>
      </c>
      <c r="B18" s="2013" t="s">
        <v>3124</v>
      </c>
      <c r="C18" s="2014"/>
    </row>
    <row r="19" spans="1:3">
      <c r="A19" s="2013" t="s">
        <v>1770</v>
      </c>
      <c r="B19" s="2013" t="s">
        <v>3123</v>
      </c>
      <c r="C19" s="2014"/>
    </row>
    <row r="20" spans="1:3">
      <c r="A20" s="2013" t="s">
        <v>1771</v>
      </c>
      <c r="B20" s="2013" t="s">
        <v>757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28"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21" t="s">
        <v>864</v>
      </c>
      <c r="C54" s="2018" t="s">
        <v>1282</v>
      </c>
    </row>
    <row r="55" spans="1:4">
      <c r="A55" s="3028"/>
      <c r="B55" s="2021" t="s">
        <v>865</v>
      </c>
      <c r="C55" s="2018" t="s">
        <v>1283</v>
      </c>
    </row>
    <row r="56" spans="1:4">
      <c r="A56" s="3028"/>
      <c r="B56" s="2021" t="s">
        <v>866</v>
      </c>
      <c r="C56" s="2018" t="s">
        <v>1287</v>
      </c>
    </row>
    <row r="57" spans="1:4">
      <c r="A57" s="3028"/>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22" sqref="H22"/>
    </sheetView>
  </sheetViews>
  <sheetFormatPr defaultColWidth="10" defaultRowHeight="18" customHeight="1"/>
  <cols>
    <col min="1" max="1" width="14.875" style="2031" customWidth="1"/>
    <col min="2" max="2" width="13.375" style="2031" customWidth="1"/>
    <col min="3" max="3" width="11.5" style="2031" customWidth="1"/>
    <col min="4" max="4" width="16.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1778</v>
      </c>
      <c r="B1" s="3037" t="str">
        <f>IF(B10="北京市","北京市",C10)&amp;F10&amp;IF(结果表!G1="在建","出让国有建设用地使用权及在建建筑物",IF(结果表!G1="土地","出让国有建设用地使用权",))&amp;B9&amp;"预评估"</f>
        <v>预评估</v>
      </c>
      <c r="C1" s="3038"/>
      <c r="D1" s="3038"/>
      <c r="E1" s="3038"/>
      <c r="F1" s="3038"/>
      <c r="G1" s="3038"/>
      <c r="H1" s="3038"/>
      <c r="I1" s="303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1779</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1780</v>
      </c>
      <c r="B3" s="2035">
        <v>43070</v>
      </c>
      <c r="C3" s="2036" t="s">
        <v>1781</v>
      </c>
      <c r="D3" s="2035">
        <v>43070</v>
      </c>
      <c r="E3" s="2025"/>
      <c r="F3" s="2025"/>
      <c r="G3" s="2025"/>
      <c r="H3" s="2025"/>
      <c r="I3" s="2025"/>
      <c r="J3" s="2025"/>
      <c r="K3" s="2026"/>
      <c r="L3" s="2027"/>
      <c r="M3" s="2027"/>
      <c r="N3" s="2028"/>
      <c r="O3" s="2029"/>
      <c r="P3" s="2028"/>
      <c r="Q3" s="2028"/>
      <c r="R3" s="2028"/>
      <c r="S3" s="2030"/>
    </row>
    <row r="4" spans="1:19" ht="18" customHeight="1" thickBot="1">
      <c r="A4" s="2037" t="s">
        <v>1782</v>
      </c>
      <c r="B4" s="2038" t="s">
        <v>3113</v>
      </c>
      <c r="C4" s="1037">
        <f ca="1">SUMIF(注册房地产估价师,B4,估价师及机构信息!B3:B24)</f>
        <v>1120140022</v>
      </c>
      <c r="D4" s="2038" t="s">
        <v>3114</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1783</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1784</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1785</v>
      </c>
      <c r="B7" s="2052"/>
      <c r="C7" s="2049"/>
      <c r="D7" s="2050"/>
      <c r="E7" s="2033"/>
      <c r="F7" s="2041"/>
      <c r="G7" s="2041"/>
      <c r="H7" s="2041"/>
      <c r="I7" s="2041"/>
      <c r="J7" s="2041"/>
      <c r="K7" s="2053"/>
      <c r="L7" s="2027"/>
      <c r="M7" s="2027"/>
      <c r="N7" s="2028"/>
      <c r="O7" s="2029"/>
      <c r="P7" s="2028"/>
      <c r="Q7" s="2028"/>
      <c r="R7" s="2028"/>
    </row>
    <row r="8" spans="1:19" ht="18" customHeight="1">
      <c r="A8" s="2047" t="s">
        <v>1786</v>
      </c>
      <c r="B8" s="2054"/>
      <c r="C8" s="2055"/>
      <c r="D8" s="3040" t="s">
        <v>1787</v>
      </c>
      <c r="E8" s="2056"/>
      <c r="F8" s="2057"/>
      <c r="G8" s="2025"/>
      <c r="H8" s="2025"/>
      <c r="I8" s="2025"/>
      <c r="J8" s="2041"/>
      <c r="K8" s="2042"/>
      <c r="L8" s="2027"/>
      <c r="M8" s="2027"/>
      <c r="N8" s="2028"/>
      <c r="O8" s="2029"/>
      <c r="P8" s="2028"/>
      <c r="Q8" s="2028"/>
      <c r="R8" s="2028"/>
    </row>
    <row r="9" spans="1:19" ht="18" customHeight="1" thickBot="1">
      <c r="A9" s="2039" t="s">
        <v>1788</v>
      </c>
      <c r="B9" s="2058"/>
      <c r="C9" s="2059"/>
      <c r="D9" s="3041"/>
      <c r="E9" s="2058"/>
      <c r="F9" s="2060"/>
      <c r="G9" s="2061"/>
      <c r="H9" s="2061"/>
      <c r="I9" s="2061"/>
      <c r="J9" s="2041"/>
      <c r="K9" s="2053"/>
      <c r="L9" s="2027"/>
      <c r="M9" s="2027"/>
      <c r="N9" s="2028"/>
      <c r="O9" s="2029"/>
      <c r="P9" s="2028"/>
      <c r="Q9" s="2028"/>
      <c r="R9" s="2028"/>
    </row>
    <row r="10" spans="1:19" ht="18" customHeight="1" thickTop="1">
      <c r="A10" s="2062" t="s">
        <v>1789</v>
      </c>
      <c r="B10" s="2063"/>
      <c r="C10" s="2064"/>
      <c r="D10" s="2046"/>
      <c r="E10" s="2065" t="s">
        <v>1790</v>
      </c>
      <c r="F10" s="2066"/>
      <c r="G10" s="2067"/>
      <c r="H10" s="2068"/>
      <c r="I10" s="2046"/>
      <c r="J10" s="2041"/>
      <c r="K10" s="2053"/>
      <c r="L10" s="2027"/>
      <c r="M10" s="2027"/>
      <c r="N10" s="2028"/>
      <c r="O10" s="2029"/>
      <c r="P10" s="2028"/>
      <c r="Q10" s="2028"/>
      <c r="R10" s="2028"/>
    </row>
    <row r="11" spans="1:19" ht="18" customHeight="1">
      <c r="A11" s="2069" t="s">
        <v>1791</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1792</v>
      </c>
      <c r="B12" s="2070" t="s">
        <v>3042</v>
      </c>
      <c r="C12" s="2074" t="s">
        <v>1793</v>
      </c>
      <c r="D12" s="2075" t="s">
        <v>1794</v>
      </c>
      <c r="E12" s="2075" t="s">
        <v>1795</v>
      </c>
      <c r="F12" s="2075" t="s">
        <v>1796</v>
      </c>
      <c r="G12" s="2075" t="s">
        <v>1797</v>
      </c>
      <c r="H12" s="2075" t="s">
        <v>1798</v>
      </c>
      <c r="I12" s="2075" t="s">
        <v>1799</v>
      </c>
      <c r="J12" s="2041"/>
      <c r="K12" s="2053"/>
      <c r="L12" s="2027"/>
      <c r="M12" s="2027"/>
      <c r="N12" s="2028"/>
      <c r="O12" s="2029"/>
      <c r="P12" s="2028"/>
      <c r="Q12" s="2028"/>
      <c r="R12" s="2028"/>
    </row>
    <row r="13" spans="1:19" ht="18" customHeight="1">
      <c r="A13" s="2076"/>
      <c r="B13" s="2077"/>
      <c r="C13" s="2078" t="s">
        <v>1800</v>
      </c>
      <c r="D13" s="2079"/>
      <c r="E13" s="2079">
        <v>53309</v>
      </c>
      <c r="F13" s="2079">
        <v>55041</v>
      </c>
      <c r="G13" s="2079"/>
      <c r="H13" s="2079"/>
      <c r="I13" s="1047"/>
      <c r="J13" s="2041"/>
      <c r="K13" s="2053"/>
      <c r="L13" s="2027"/>
      <c r="M13" s="2027"/>
      <c r="N13" s="2028"/>
      <c r="O13" s="2029"/>
      <c r="P13" s="2028"/>
      <c r="Q13" s="2028"/>
      <c r="R13" s="2028"/>
    </row>
    <row r="14" spans="1:19" ht="18" customHeight="1">
      <c r="A14" s="2076"/>
      <c r="B14" s="2077"/>
      <c r="C14" s="2078" t="s">
        <v>1801</v>
      </c>
      <c r="D14" s="1050"/>
      <c r="E14" s="1050">
        <v>40</v>
      </c>
      <c r="F14" s="1050">
        <v>50</v>
      </c>
      <c r="G14" s="1050"/>
      <c r="H14" s="1050"/>
      <c r="I14" s="1050"/>
      <c r="J14" s="2041"/>
      <c r="K14" s="2080"/>
      <c r="L14" s="2027"/>
      <c r="M14" s="2027"/>
      <c r="N14" s="2028"/>
      <c r="O14" s="2029"/>
      <c r="P14" s="2028"/>
      <c r="Q14" s="2028"/>
      <c r="R14" s="2028"/>
    </row>
    <row r="15" spans="1:19" ht="18" customHeight="1">
      <c r="A15" s="2062"/>
      <c r="B15" s="2081"/>
      <c r="C15" s="2078" t="s">
        <v>1802</v>
      </c>
      <c r="D15" s="1049" t="str">
        <f>IF(B12="出让",IF(D13="","",ROUNDDOWN(MIN((D13-$D$3)/365,D14),2)),D14)</f>
        <v/>
      </c>
      <c r="E15" s="1049">
        <f>IF(B12="出让",IF(E13="","",ROUNDDOWN(MIN((E13-$D$3)/365,E14),2)),E14)</f>
        <v>28.05</v>
      </c>
      <c r="F15" s="1049">
        <f>IF(B12="出让",IF(F13="","",ROUNDDOWN(MIN((F13-$D$3)/365,F14),2)),F14)</f>
        <v>32.79</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1803</v>
      </c>
      <c r="B16" s="3047"/>
      <c r="C16" s="3048"/>
      <c r="D16" s="3049"/>
      <c r="E16" s="2085" t="s">
        <v>1804</v>
      </c>
      <c r="F16" s="3050"/>
      <c r="G16" s="3051"/>
      <c r="H16" s="3051"/>
      <c r="I16" s="3052"/>
      <c r="J16" s="2028"/>
      <c r="K16" s="2082"/>
      <c r="L16" s="2083"/>
      <c r="M16" s="2083"/>
      <c r="N16" s="2084"/>
      <c r="O16" s="2083"/>
      <c r="P16" s="2084"/>
      <c r="Q16" s="2028"/>
      <c r="R16" s="2028"/>
    </row>
    <row r="17" spans="1:22" ht="18" customHeight="1">
      <c r="A17" s="2086" t="s">
        <v>1805</v>
      </c>
      <c r="B17" s="2034" t="s">
        <v>1806</v>
      </c>
      <c r="C17" s="1054">
        <f>'数据-汇总表'!E3</f>
        <v>116944.15</v>
      </c>
      <c r="D17" s="2087" t="s">
        <v>1807</v>
      </c>
      <c r="E17" s="3053" t="s">
        <v>1808</v>
      </c>
      <c r="F17" s="3054"/>
      <c r="G17" s="3054"/>
      <c r="H17" s="3054"/>
      <c r="I17" s="3055"/>
      <c r="J17" s="2028"/>
      <c r="K17" s="2088"/>
      <c r="L17" s="2083"/>
      <c r="M17" s="2083"/>
      <c r="N17" s="2084"/>
      <c r="O17" s="2083"/>
      <c r="P17" s="2084"/>
      <c r="Q17" s="2028"/>
      <c r="R17" s="2028"/>
      <c r="S17" s="2028"/>
      <c r="T17" s="2028"/>
      <c r="U17" s="2028"/>
      <c r="V17" s="2028"/>
    </row>
    <row r="18" spans="1:22" ht="36" customHeight="1" thickBot="1">
      <c r="A18" s="2089" t="s">
        <v>1809</v>
      </c>
      <c r="B18" s="2037" t="s">
        <v>1810</v>
      </c>
      <c r="C18" s="1443">
        <f>'数据-汇总表'!D3</f>
        <v>138145.20000000001</v>
      </c>
      <c r="D18" s="2090" t="s">
        <v>1807</v>
      </c>
      <c r="E18" s="3056" t="s">
        <v>1811</v>
      </c>
      <c r="F18" s="3057"/>
      <c r="G18" s="3057"/>
      <c r="H18" s="3057"/>
      <c r="I18" s="3058"/>
      <c r="J18" s="2028"/>
      <c r="K18" s="2088"/>
      <c r="L18" s="2083"/>
      <c r="M18" s="2083"/>
      <c r="N18" s="2084"/>
      <c r="O18" s="2083"/>
      <c r="P18" s="2084"/>
      <c r="Q18" s="2028"/>
      <c r="R18" s="2028"/>
      <c r="S18" s="2028"/>
      <c r="T18" s="2028"/>
      <c r="U18" s="2028"/>
      <c r="V18" s="2028"/>
    </row>
    <row r="19" spans="1:22" ht="37.5" customHeight="1" thickTop="1" thickBot="1">
      <c r="A19" s="373" t="s">
        <v>1812</v>
      </c>
      <c r="B19" s="352" t="s">
        <v>1813</v>
      </c>
      <c r="C19" s="2091"/>
      <c r="D19" s="2092" t="s">
        <v>1814</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1815</v>
      </c>
      <c r="B20" s="3043" t="s">
        <v>1816</v>
      </c>
      <c r="C20" s="3044"/>
      <c r="D20" s="3045" t="s">
        <v>1817</v>
      </c>
      <c r="E20" s="3046"/>
      <c r="F20" s="2097" t="s">
        <v>1818</v>
      </c>
      <c r="G20" s="2041"/>
      <c r="H20" s="2041"/>
      <c r="I20" s="2041"/>
      <c r="J20" s="2041"/>
      <c r="K20" s="3042" t="s">
        <v>1819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1820</v>
      </c>
      <c r="C21" s="2099" t="s">
        <v>1821</v>
      </c>
      <c r="D21" s="2100" t="s">
        <v>1822</v>
      </c>
      <c r="E21" s="2101" t="s">
        <v>1821</v>
      </c>
      <c r="F21" s="2102"/>
      <c r="G21" s="2041"/>
      <c r="H21" s="2041"/>
      <c r="I21" s="2041"/>
      <c r="J21" s="2041"/>
      <c r="K21" s="304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1823</v>
      </c>
      <c r="C22" s="2099" t="s">
        <v>1824</v>
      </c>
      <c r="D22" s="2025"/>
      <c r="E22" s="2025"/>
      <c r="F22" s="2104"/>
      <c r="G22" s="2041"/>
      <c r="H22" s="2041"/>
      <c r="I22" s="2041"/>
      <c r="J22" s="2041"/>
      <c r="K22" s="304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1825</v>
      </c>
      <c r="B23" s="183" t="s">
        <v>1826</v>
      </c>
      <c r="C23" s="2106"/>
      <c r="D23" s="2107" t="s">
        <v>1826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1827</v>
      </c>
      <c r="C24" s="2111"/>
      <c r="D24" s="2105" t="s">
        <v>1827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1828</v>
      </c>
      <c r="C25" s="2111"/>
      <c r="D25" s="2105" t="s">
        <v>1828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1829</v>
      </c>
      <c r="C26" s="2115"/>
      <c r="D26" s="2116" t="s">
        <v>1830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30" t="s">
        <v>1831</v>
      </c>
      <c r="B27" s="2062" t="s">
        <v>1832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30"/>
      <c r="B28" s="2034" t="s">
        <v>1833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30"/>
      <c r="B29" s="2034" t="s">
        <v>1834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1"/>
      <c r="B30" s="2034" t="s">
        <v>1835</v>
      </c>
      <c r="C30" s="3032"/>
      <c r="D30" s="3033"/>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4" t="s">
        <v>1836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5"/>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5"/>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1837</v>
      </c>
      <c r="B34" s="2133"/>
      <c r="C34" s="2133"/>
      <c r="D34" s="2133"/>
      <c r="E34" s="2133"/>
      <c r="F34" s="2133"/>
      <c r="G34" s="2133"/>
      <c r="H34" s="2133"/>
      <c r="I34" s="2041"/>
      <c r="J34" s="2041"/>
      <c r="K34" s="1794">
        <f>COUNTIF(B34:H34,"——")</f>
        <v>0</v>
      </c>
      <c r="L34" s="2074" t="s">
        <v>1838</v>
      </c>
      <c r="M34" s="2074" t="s">
        <v>1839</v>
      </c>
      <c r="N34" s="2074" t="s">
        <v>1840</v>
      </c>
      <c r="O34" s="2074" t="s">
        <v>1841</v>
      </c>
      <c r="P34" s="2074" t="s">
        <v>1842</v>
      </c>
      <c r="Q34" s="2074" t="s">
        <v>1843</v>
      </c>
      <c r="R34" s="2074" t="s">
        <v>1844</v>
      </c>
      <c r="S34" s="3029" t="s">
        <v>1845</v>
      </c>
      <c r="T34" s="2134" t="str">
        <f>NUMBERSTRING(7-K34,1)&amp;"通"</f>
        <v>七通</v>
      </c>
      <c r="U34" s="2028"/>
      <c r="V34" s="2028"/>
    </row>
    <row r="35" spans="1:22" ht="18" customHeight="1">
      <c r="A35" s="2135"/>
      <c r="B35" s="3036" t="s">
        <v>1846</v>
      </c>
      <c r="C35" s="3036"/>
      <c r="D35" s="3036"/>
      <c r="E35" s="3036"/>
      <c r="F35" s="2136">
        <f>C10</f>
        <v>0</v>
      </c>
      <c r="G35" s="2041"/>
      <c r="H35" s="2041"/>
      <c r="I35" s="2041"/>
      <c r="J35" s="2041"/>
      <c r="K35" s="2074"/>
      <c r="L35" s="2074">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29"/>
      <c r="T35" s="47" t="str">
        <f>IF(T34="一通",L35,IF(T34="二通",M35,IF(T34="三通",N35,IF(T34="四通",O35,IF(T34="五通",P35,IF(T34="六通",Q35,R35))))))</f>
        <v>、、、、、、</v>
      </c>
      <c r="U35" s="2028"/>
      <c r="V35" s="2028"/>
    </row>
    <row r="36" spans="1:22" ht="18" customHeight="1">
      <c r="A36" s="2137"/>
      <c r="B36" s="2136" t="s">
        <v>1847</v>
      </c>
      <c r="C36" s="2136" t="s">
        <v>1848</v>
      </c>
      <c r="D36" s="2136" t="s">
        <v>1849</v>
      </c>
      <c r="E36" s="2136" t="s">
        <v>1850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1851</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1852</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1854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1855</v>
      </c>
      <c r="B42" s="1794" t="s">
        <v>1856</v>
      </c>
      <c r="C42" s="1794" t="s">
        <v>1857</v>
      </c>
      <c r="D42" s="1794" t="s">
        <v>1858</v>
      </c>
      <c r="E42" s="1794" t="s">
        <v>1859</v>
      </c>
      <c r="F42" s="1794" t="s">
        <v>1860</v>
      </c>
      <c r="G42" s="1794" t="s">
        <v>1861</v>
      </c>
      <c r="H42" s="1794" t="s">
        <v>1862</v>
      </c>
      <c r="I42" s="1794" t="s">
        <v>1863</v>
      </c>
      <c r="J42" s="2152" t="s">
        <v>1864</v>
      </c>
      <c r="K42" s="2075" t="s">
        <v>1865</v>
      </c>
      <c r="L42" s="2075" t="s">
        <v>1866</v>
      </c>
      <c r="M42" s="2075" t="s">
        <v>1867</v>
      </c>
      <c r="N42" s="1794" t="s">
        <v>1868</v>
      </c>
      <c r="O42" s="1794" t="s">
        <v>1869</v>
      </c>
      <c r="P42" s="1794" t="s">
        <v>1870</v>
      </c>
      <c r="Q42" s="2074" t="s">
        <v>1871</v>
      </c>
      <c r="R42" s="2074" t="s">
        <v>1872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4" sqref="C2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1875</v>
      </c>
      <c r="B2" s="11" t="s">
        <v>1876</v>
      </c>
      <c r="C2" s="11" t="s">
        <v>1877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1878</v>
      </c>
      <c r="AZ2" s="1270" t="s">
        <v>1879</v>
      </c>
      <c r="BA2" s="11" t="s">
        <v>1880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83">
        <f>案例!G31</f>
        <v>138145.20000000001</v>
      </c>
      <c r="B3" s="13">
        <f>IF(C3="否",G5-AT5,G5)</f>
        <v>116944.15</v>
      </c>
      <c r="C3" s="2168" t="s">
        <v>1881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1882</v>
      </c>
      <c r="B5" s="1802"/>
      <c r="C5" s="1802"/>
      <c r="D5" s="1805"/>
      <c r="E5" s="15" t="s">
        <v>1</v>
      </c>
      <c r="F5" s="15">
        <f>SUM(F13:F587)</f>
        <v>0</v>
      </c>
      <c r="G5" s="15">
        <f>SUM(G13:G587)</f>
        <v>116944.15</v>
      </c>
      <c r="H5" s="15">
        <f t="shared" ref="H5:AT5" si="0">SUM(H13:H656)</f>
        <v>116944.15</v>
      </c>
      <c r="I5" s="15">
        <f t="shared" si="0"/>
        <v>116944.15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1882</v>
      </c>
      <c r="AW5" s="1802"/>
      <c r="AX5" s="1802"/>
      <c r="AY5" s="16" t="s">
        <v>3</v>
      </c>
      <c r="AZ5" s="17">
        <f t="shared" ref="AZ5:BT5" si="1">SUM(AZ13:AZ656)</f>
        <v>116944.15</v>
      </c>
      <c r="BA5" s="17">
        <f t="shared" si="1"/>
        <v>116944.15</v>
      </c>
      <c r="BB5" s="17">
        <f t="shared" si="1"/>
        <v>116944.15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1883</v>
      </c>
      <c r="B6" s="2174"/>
      <c r="C6" s="2174"/>
      <c r="D6" s="2175"/>
      <c r="E6" s="15">
        <f>H6+AC6+AT6</f>
        <v>138145.20000000001</v>
      </c>
      <c r="F6" s="15" t="s">
        <v>1</v>
      </c>
      <c r="G6" s="15" t="s">
        <v>2</v>
      </c>
      <c r="H6" s="19">
        <f>SUMIF(I$12:AB$12,"总值",I6:AB6)</f>
        <v>138145.20000000001</v>
      </c>
      <c r="I6" s="15">
        <f t="shared" ref="I6:AB6" si="2">ROUND($A$3*I5/$B$3,2)</f>
        <v>138145.20000000001</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1883</v>
      </c>
      <c r="AW6" s="2174"/>
      <c r="AX6" s="2174"/>
      <c r="AY6" s="20">
        <f>IF(AY3&gt;0,AY3,ROUND($A$3*AZ5/$B$3,2))</f>
        <v>138145.20000000001</v>
      </c>
      <c r="AZ6" s="15" t="s">
        <v>3</v>
      </c>
      <c r="BA6" s="15">
        <f>ROUND($AY$6*BA5/$AZ$5,2)</f>
        <v>138145.20000000001</v>
      </c>
      <c r="BB6" s="15">
        <f>ROUND($AY$6*BB5/$AZ$5,2)</f>
        <v>138145.20000000001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1884</v>
      </c>
      <c r="B7" s="2109" t="s">
        <v>1885</v>
      </c>
      <c r="C7" s="2109" t="s">
        <v>1886</v>
      </c>
      <c r="D7" s="2109" t="s">
        <v>1887</v>
      </c>
      <c r="E7" s="2109" t="s">
        <v>1888</v>
      </c>
      <c r="F7" s="2109" t="s">
        <v>1889</v>
      </c>
      <c r="G7" s="2178" t="s">
        <v>1890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1891</v>
      </c>
      <c r="AV7" s="22" t="s">
        <v>1892</v>
      </c>
      <c r="AW7" s="2166" t="s">
        <v>1893</v>
      </c>
      <c r="AX7" s="22" t="s">
        <v>1886</v>
      </c>
      <c r="AY7" s="1802" t="s">
        <v>1894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1895</v>
      </c>
      <c r="H8" s="2184" t="s">
        <v>1896</v>
      </c>
      <c r="I8" s="2185"/>
      <c r="J8" s="1817"/>
      <c r="K8" s="1817"/>
      <c r="L8" s="1817"/>
      <c r="M8" s="1817"/>
      <c r="N8" s="1817"/>
      <c r="O8" s="1817"/>
      <c r="P8" s="1817"/>
      <c r="Q8" s="1817"/>
      <c r="R8" s="1817"/>
      <c r="S8" s="1817"/>
      <c r="T8" s="1817"/>
      <c r="U8" s="1817"/>
      <c r="V8" s="2186"/>
      <c r="W8" s="1817"/>
      <c r="X8" s="1817"/>
      <c r="Y8" s="1817"/>
      <c r="Z8" s="1817"/>
      <c r="AA8" s="2186"/>
      <c r="AB8" s="2187"/>
      <c r="AC8" s="981" t="s">
        <v>1897</v>
      </c>
      <c r="AD8" s="2188"/>
      <c r="AE8" s="2180"/>
      <c r="AF8" s="1817"/>
      <c r="AG8" s="1817"/>
      <c r="AH8" s="1817"/>
      <c r="AI8" s="1817"/>
      <c r="AJ8" s="1817"/>
      <c r="AK8" s="1817"/>
      <c r="AL8" s="1817"/>
      <c r="AM8" s="1817"/>
      <c r="AN8" s="1817"/>
      <c r="AO8" s="1817"/>
      <c r="AP8" s="1817"/>
      <c r="AQ8" s="1817"/>
      <c r="AR8" s="1817"/>
      <c r="AS8" s="1817"/>
      <c r="AT8" s="1292" t="s">
        <v>1898</v>
      </c>
      <c r="AU8" s="2182" t="s">
        <v>1899</v>
      </c>
      <c r="AV8" s="1292"/>
      <c r="AW8" s="2165"/>
      <c r="AX8" s="1292"/>
      <c r="AY8" s="2166" t="s">
        <v>1900</v>
      </c>
      <c r="AZ8" s="1816" t="s">
        <v>1901</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9" customFormat="1" ht="12.75">
      <c r="A9" s="2182"/>
      <c r="B9" s="2182"/>
      <c r="C9" s="2182"/>
      <c r="D9" s="2182"/>
      <c r="E9" s="2182"/>
      <c r="F9" s="2182"/>
      <c r="G9" s="1292"/>
      <c r="H9" s="2190" t="s">
        <v>1902</v>
      </c>
      <c r="I9" s="2191" t="s">
        <v>3043</v>
      </c>
      <c r="J9" s="981"/>
      <c r="K9" s="2191"/>
      <c r="L9" s="981"/>
      <c r="M9" s="2191"/>
      <c r="N9" s="981"/>
      <c r="O9" s="2191"/>
      <c r="P9" s="981"/>
      <c r="Q9" s="2191"/>
      <c r="R9" s="981"/>
      <c r="S9" s="2191"/>
      <c r="T9" s="981"/>
      <c r="U9" s="2191"/>
      <c r="V9" s="981"/>
      <c r="W9" s="2191"/>
      <c r="X9" s="2192"/>
      <c r="Y9" s="2191"/>
      <c r="Z9" s="981"/>
      <c r="AA9" s="2191"/>
      <c r="AB9" s="981"/>
      <c r="AC9" s="2183" t="s">
        <v>1902</v>
      </c>
      <c r="AD9" s="14" t="s">
        <v>1903</v>
      </c>
      <c r="AE9" s="1298"/>
      <c r="AF9" s="14" t="s">
        <v>1904</v>
      </c>
      <c r="AG9" s="1298"/>
      <c r="AH9" s="14" t="s">
        <v>1903</v>
      </c>
      <c r="AI9" s="1298"/>
      <c r="AJ9" s="14" t="s">
        <v>1904</v>
      </c>
      <c r="AK9" s="1298"/>
      <c r="AL9" s="14" t="s">
        <v>1903</v>
      </c>
      <c r="AM9" s="1298"/>
      <c r="AN9" s="14" t="s">
        <v>1904</v>
      </c>
      <c r="AO9" s="1298"/>
      <c r="AP9" s="14" t="s">
        <v>1903</v>
      </c>
      <c r="AQ9" s="1298"/>
      <c r="AR9" s="14" t="s">
        <v>1904</v>
      </c>
      <c r="AS9" s="2193"/>
      <c r="AT9" s="2182"/>
      <c r="AU9" s="2182" t="s">
        <v>1905</v>
      </c>
      <c r="AV9" s="1292"/>
      <c r="AW9" s="2165"/>
      <c r="AX9" s="1292"/>
      <c r="AY9" s="27"/>
      <c r="AZ9" s="27" t="s">
        <v>1895</v>
      </c>
      <c r="BA9" s="2194" t="s">
        <v>1906</v>
      </c>
      <c r="BB9" s="2195"/>
      <c r="BC9" s="1338"/>
      <c r="BD9" s="1338"/>
      <c r="BE9" s="1338"/>
      <c r="BF9" s="1338"/>
      <c r="BG9" s="1338"/>
      <c r="BH9" s="1338"/>
      <c r="BI9" s="1338"/>
      <c r="BJ9" s="1338"/>
      <c r="BK9" s="2196"/>
      <c r="BL9" s="14" t="s">
        <v>1907</v>
      </c>
      <c r="BM9" s="1817"/>
      <c r="BN9" s="2185"/>
      <c r="BO9" s="1817"/>
      <c r="BP9" s="1817"/>
      <c r="BQ9" s="1817"/>
      <c r="BR9" s="1817"/>
      <c r="BS9" s="1817"/>
      <c r="BT9" s="25"/>
    </row>
    <row r="10" spans="1:72" s="2189" customFormat="1" ht="12.75">
      <c r="A10" s="2182"/>
      <c r="B10" s="2182"/>
      <c r="C10" s="2182"/>
      <c r="D10" s="2182"/>
      <c r="E10" s="2182"/>
      <c r="F10" s="2182"/>
      <c r="G10" s="1292"/>
      <c r="H10" s="27"/>
      <c r="I10" s="2191" t="s">
        <v>1378</v>
      </c>
      <c r="J10" s="981"/>
      <c r="K10" s="2197"/>
      <c r="L10" s="981"/>
      <c r="M10" s="2197"/>
      <c r="N10" s="981"/>
      <c r="O10" s="2197"/>
      <c r="P10" s="981"/>
      <c r="Q10" s="2197"/>
      <c r="R10" s="981"/>
      <c r="S10" s="2197"/>
      <c r="T10" s="981"/>
      <c r="U10" s="2197"/>
      <c r="V10" s="981"/>
      <c r="W10" s="2197"/>
      <c r="X10" s="981"/>
      <c r="Y10" s="2197"/>
      <c r="Z10" s="981"/>
      <c r="AA10" s="2197"/>
      <c r="AB10" s="981"/>
      <c r="AC10" s="1292"/>
      <c r="AD10" s="14" t="s">
        <v>1908</v>
      </c>
      <c r="AE10" s="2198"/>
      <c r="AF10" s="14" t="s">
        <v>1908</v>
      </c>
      <c r="AG10" s="2198"/>
      <c r="AH10" s="14" t="s">
        <v>1909</v>
      </c>
      <c r="AI10" s="2198"/>
      <c r="AJ10" s="14" t="s">
        <v>1909</v>
      </c>
      <c r="AK10" s="2198"/>
      <c r="AL10" s="14" t="s">
        <v>1910</v>
      </c>
      <c r="AM10" s="1298"/>
      <c r="AN10" s="14" t="s">
        <v>1910</v>
      </c>
      <c r="AO10" s="1298"/>
      <c r="AP10" s="14" t="s">
        <v>1911</v>
      </c>
      <c r="AQ10" s="1298"/>
      <c r="AR10" s="14" t="s">
        <v>1911</v>
      </c>
      <c r="AS10" s="1298"/>
      <c r="AT10" s="2182"/>
      <c r="AU10" s="2182"/>
      <c r="AV10" s="1292"/>
      <c r="AW10" s="2165"/>
      <c r="AX10" s="1292"/>
      <c r="AY10" s="27"/>
      <c r="AZ10" s="27"/>
      <c r="BA10" s="2199" t="s">
        <v>1902</v>
      </c>
      <c r="BB10" s="2200" t="str">
        <f>I9</f>
        <v>地上</v>
      </c>
      <c r="BC10" s="28">
        <f>K9</f>
        <v>0</v>
      </c>
      <c r="BD10" s="28">
        <f>M9</f>
        <v>0</v>
      </c>
      <c r="BE10" s="28">
        <f>O9</f>
        <v>0</v>
      </c>
      <c r="BF10" s="28">
        <f>Q9</f>
        <v>0</v>
      </c>
      <c r="BG10" s="28">
        <f>S9</f>
        <v>0</v>
      </c>
      <c r="BH10" s="28">
        <f>U9</f>
        <v>0</v>
      </c>
      <c r="BI10" s="28">
        <f>W9</f>
        <v>0</v>
      </c>
      <c r="BJ10" s="28">
        <f>Y9</f>
        <v>0</v>
      </c>
      <c r="BK10" s="28">
        <f>AA9</f>
        <v>0</v>
      </c>
      <c r="BL10" s="24" t="s">
        <v>1902</v>
      </c>
      <c r="BM10" s="1816" t="str">
        <f>AD9</f>
        <v>地上</v>
      </c>
      <c r="BN10" s="28" t="str">
        <f>AF9</f>
        <v>地下</v>
      </c>
      <c r="BO10" s="1816" t="str">
        <f>AH9</f>
        <v>地上</v>
      </c>
      <c r="BP10" s="28" t="str">
        <f>AJ9</f>
        <v>地下</v>
      </c>
      <c r="BQ10" s="1816" t="str">
        <f>AL9</f>
        <v>地上</v>
      </c>
      <c r="BR10" s="28" t="str">
        <f>AN9</f>
        <v>地下</v>
      </c>
      <c r="BS10" s="1816"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1912</v>
      </c>
      <c r="AE11" s="1818"/>
      <c r="AF11" s="2204" t="s">
        <v>1912</v>
      </c>
      <c r="AG11" s="1818"/>
      <c r="AH11" s="2204" t="s">
        <v>1913</v>
      </c>
      <c r="AI11" s="2205"/>
      <c r="AJ11" s="2204" t="s">
        <v>1913</v>
      </c>
      <c r="AK11" s="1818"/>
      <c r="AL11" s="1816"/>
      <c r="AM11" s="1818"/>
      <c r="AN11" s="1816"/>
      <c r="AO11" s="1818"/>
      <c r="AP11" s="1816"/>
      <c r="AQ11" s="1818"/>
      <c r="AR11" s="1816"/>
      <c r="AS11" s="1818"/>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5"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1" t="s">
        <v>1915</v>
      </c>
      <c r="W12" s="11" t="s">
        <v>1914</v>
      </c>
      <c r="X12" s="11" t="s">
        <v>1915</v>
      </c>
      <c r="Y12" s="11" t="s">
        <v>1914</v>
      </c>
      <c r="Z12" s="11" t="s">
        <v>1915</v>
      </c>
      <c r="AA12" s="11" t="s">
        <v>1914</v>
      </c>
      <c r="AB12" s="11" t="s">
        <v>1915</v>
      </c>
      <c r="AC12" s="2209"/>
      <c r="AD12" s="1805"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29" t="s">
        <v>1914</v>
      </c>
      <c r="AS12" s="2207" t="s">
        <v>1915</v>
      </c>
      <c r="AT12" s="2210"/>
      <c r="AU12" s="2207"/>
      <c r="AV12" s="30"/>
      <c r="AW12" s="2166"/>
      <c r="AX12" s="30"/>
      <c r="AY12" s="2211"/>
      <c r="AZ12" s="27"/>
      <c r="BA12" s="2199"/>
      <c r="BB12" s="23">
        <f>I11</f>
        <v>0</v>
      </c>
      <c r="BC12" s="2212">
        <f>K11</f>
        <v>0</v>
      </c>
      <c r="BD12" s="2212">
        <f>M11</f>
        <v>0</v>
      </c>
      <c r="BE12" s="2187">
        <f>O11</f>
        <v>0</v>
      </c>
      <c r="BF12" s="2187">
        <f>Q11</f>
        <v>0</v>
      </c>
      <c r="BG12" s="2187">
        <f>S11</f>
        <v>0</v>
      </c>
      <c r="BH12" s="2187">
        <f>U11</f>
        <v>0</v>
      </c>
      <c r="BI12" s="2187">
        <f>W11</f>
        <v>0</v>
      </c>
      <c r="BJ12" s="2187">
        <f>Y11</f>
        <v>0</v>
      </c>
      <c r="BK12" s="2187">
        <f>AA11</f>
        <v>0</v>
      </c>
      <c r="BL12" s="1292"/>
      <c r="BM12" s="1816" t="str">
        <f>AD11</f>
        <v>（住宅）</v>
      </c>
      <c r="BN12" s="1816"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c r="B13" s="1272"/>
      <c r="C13" s="2928" t="str">
        <f>案例!D5</f>
        <v>主楼</v>
      </c>
      <c r="D13" s="2213" t="s">
        <v>3044</v>
      </c>
      <c r="E13" s="15">
        <f>IF($C$3="是",ROUND($A$3*G13/$B$3,2),ROUND($A$3*(G13-AT13)/$B$3,2))</f>
        <v>13040.25</v>
      </c>
      <c r="F13" s="31"/>
      <c r="G13" s="32">
        <f>H13+AC13+AT13</f>
        <v>11038.970000000001</v>
      </c>
      <c r="H13" s="19">
        <f>SUMIF(I$12:AB$12,"总值",I13:AB13)</f>
        <v>11038.970000000001</v>
      </c>
      <c r="I13" s="2214">
        <f>案例!H9</f>
        <v>11038.970000000001</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主楼</v>
      </c>
      <c r="AY13" s="1805">
        <f>ROUND($AY$6*AZ13/$AZ$5,2)</f>
        <v>13040.25</v>
      </c>
      <c r="AZ13" s="15">
        <f>BA13+BL13</f>
        <v>11038.970000000001</v>
      </c>
      <c r="BA13" s="15">
        <f>SUM(BB13:BK13)</f>
        <v>11038.970000000001</v>
      </c>
      <c r="BB13" s="15">
        <f>IF($D13="是",I13-J13,0)</f>
        <v>11038.970000000001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928" t="str">
        <f>案例!D10</f>
        <v>别墅</v>
      </c>
      <c r="D14" s="2213" t="s">
        <v>3044</v>
      </c>
      <c r="E14" s="15">
        <f>IF($C$3="是",ROUND($A$3*G14/$B$3,2),ROUND($A$3*(G14-AT14)/$B$3,2))</f>
        <v>7109.06</v>
      </c>
      <c r="F14" s="31"/>
      <c r="G14" s="32">
        <f>H14+AC14+AT14</f>
        <v>6018.04</v>
      </c>
      <c r="H14" s="19">
        <f>SUMIF(I$12:AB$12,"总值",I14:AB14)</f>
        <v>6018.04</v>
      </c>
      <c r="I14" s="2214">
        <f>案例!H14</f>
        <v>6018.04</v>
      </c>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别墅</v>
      </c>
      <c r="AY14" s="1805">
        <f>ROUND($AY$6*AZ14/$AZ$5,2)</f>
        <v>7109.06</v>
      </c>
      <c r="AZ14" s="15">
        <f>BA14+BL14</f>
        <v>6018.04</v>
      </c>
      <c r="BA14" s="15">
        <f>SUM(BB14:BK14)</f>
        <v>6018.04</v>
      </c>
      <c r="BB14" s="15">
        <f>IF($D14="是",I14-J14,0)</f>
        <v>6018.04</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928" t="str">
        <f>案例!D15</f>
        <v>康乐中心</v>
      </c>
      <c r="D15" s="2213" t="s">
        <v>3044</v>
      </c>
      <c r="E15" s="15">
        <f>IF($C$3="是",ROUND($A$3*G15/$B$3,2),ROUND($A$3*(G15-AT15)/$B$3,2))</f>
        <v>12621.5</v>
      </c>
      <c r="F15" s="31"/>
      <c r="G15" s="32">
        <f>H15+AC15+AT15</f>
        <v>10684.49</v>
      </c>
      <c r="H15" s="19">
        <f>SUMIF(I$12:AB$12,"总值",I15:AB15)</f>
        <v>10684.49</v>
      </c>
      <c r="I15" s="2214">
        <f>案例!H18</f>
        <v>10684.49</v>
      </c>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康乐中心</v>
      </c>
      <c r="AY15" s="1805">
        <f>ROUND($AY$6*AZ15/$AZ$5,2)</f>
        <v>12621.5</v>
      </c>
      <c r="AZ15" s="15">
        <f>BA15+BL15</f>
        <v>10684.49</v>
      </c>
      <c r="BA15" s="15">
        <f>SUM(BB15:BK15)</f>
        <v>10684.49</v>
      </c>
      <c r="BB15" s="15">
        <f>IF($D15="是",I15-J15,0)</f>
        <v>10684.49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25.5">
      <c r="A16" s="1272"/>
      <c r="B16" s="1272"/>
      <c r="C16" s="2928" t="str">
        <f>案例!D19</f>
        <v>万景园四合院</v>
      </c>
      <c r="D16" s="2213" t="s">
        <v>3044</v>
      </c>
      <c r="E16" s="15">
        <f>IF($C$3="是",ROUND($A$3*G16/$B$3,2),ROUND($A$3*(G16-AT16)/$B$3,2))</f>
        <v>37164.32</v>
      </c>
      <c r="F16" s="31"/>
      <c r="G16" s="32">
        <f>H16+AC16+AT16</f>
        <v>31460.739999999998</v>
      </c>
      <c r="H16" s="19">
        <f>SUMIF(I$12:AB$12,"总值",I16:AB16)</f>
        <v>31460.739999999998</v>
      </c>
      <c r="I16" s="2214">
        <f>案例!H27</f>
        <v>31460.739999999998</v>
      </c>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万景园四合院</v>
      </c>
      <c r="AY16" s="1805">
        <f>ROUND($AY$6*AZ16/$AZ$5,2)</f>
        <v>37164.32</v>
      </c>
      <c r="AZ16" s="15">
        <f>BA16+BL16</f>
        <v>31460.739999999998</v>
      </c>
      <c r="BA16" s="15">
        <f>SUM(BB16:BK16)</f>
        <v>31460.739999999998</v>
      </c>
      <c r="BB16" s="15">
        <f>IF($D16="是",I16-J16,0)</f>
        <v>31460.739999999998</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928" t="str">
        <f>案例!D28</f>
        <v>水上别墅</v>
      </c>
      <c r="D17" s="2213" t="s">
        <v>3044</v>
      </c>
      <c r="E17" s="15">
        <f>IF($C$3="是",ROUND($A$3*G17/$B$3,2),ROUND($A$3*(G17-AT17)/$B$3,2))</f>
        <v>896.25</v>
      </c>
      <c r="F17" s="31"/>
      <c r="G17" s="32">
        <f>H17+AC17+AT17</f>
        <v>758.7</v>
      </c>
      <c r="H17" s="19">
        <f>SUMIF(I$12:AB$12,"总值",I17:AB17)</f>
        <v>758.7</v>
      </c>
      <c r="I17" s="2214">
        <f>案例!H28</f>
        <v>758.7</v>
      </c>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水上别墅</v>
      </c>
      <c r="AY17" s="1805">
        <f>ROUND($AY$6*AZ17/$AZ$5,2)</f>
        <v>896.25</v>
      </c>
      <c r="AZ17" s="15">
        <f>BA17+BL17</f>
        <v>758.7</v>
      </c>
      <c r="BA17" s="15">
        <f>SUM(BB17:BK17)</f>
        <v>758.7</v>
      </c>
      <c r="BB17" s="15">
        <f>IF($D17="是",I17-J17,0)</f>
        <v>758.7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928" t="str">
        <f>案例!D29</f>
        <v>三期</v>
      </c>
      <c r="D18" s="2213" t="s">
        <v>3044</v>
      </c>
      <c r="E18" s="34">
        <f t="shared" ref="E18:E112" si="7">IF($C$3="是",ROUND($A$3*G18/$B$3,2),ROUND($A$3*(G18-AT18)/$B$3,2))</f>
        <v>67313.820000000007</v>
      </c>
      <c r="F18" s="35"/>
      <c r="G18" s="36">
        <f t="shared" ref="G18:G109" si="8">H18+AC18+AT18</f>
        <v>56983.21</v>
      </c>
      <c r="H18" s="37">
        <f t="shared" ref="H18:H109" si="9">SUMIF(I$12:AB$12,"总值",I18:AB18)</f>
        <v>56983.21</v>
      </c>
      <c r="I18" s="2214">
        <f>案例!H29</f>
        <v>56983.21</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4">
        <f t="shared" ref="AV18:AV112" si="11">A18</f>
        <v>0</v>
      </c>
      <c r="AW18" s="1794">
        <f t="shared" ref="AW18:AW112" si="12">B18</f>
        <v>0</v>
      </c>
      <c r="AX18" s="1794" t="str">
        <f t="shared" ref="AX18:AX112" si="13">C18</f>
        <v>三期</v>
      </c>
      <c r="AY18" s="41">
        <f t="shared" ref="AY18:AY109" si="14">ROUND($AY$6*AZ18/$AZ$5,2)</f>
        <v>67313.820000000007</v>
      </c>
      <c r="AZ18" s="34">
        <f t="shared" ref="AZ18:AZ109" si="15">BA18+BL18</f>
        <v>56983.21</v>
      </c>
      <c r="BA18" s="34">
        <f t="shared" ref="BA18:BA109" si="16">SUM(BB18:BK18)</f>
        <v>56983.21</v>
      </c>
      <c r="BB18" s="34">
        <f t="shared" ref="BB18:BB109" si="17">IF($D18="是",I18-J18,0)</f>
        <v>56983.21</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2928"/>
      <c r="D19" s="22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6" customWidth="1"/>
    <col min="2" max="2" width="10.25" style="2226" customWidth="1"/>
    <col min="3" max="3" width="23.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1941</v>
      </c>
      <c r="B1" s="1391"/>
      <c r="C1" s="1391"/>
      <c r="D1" s="1391"/>
      <c r="E1" s="1391"/>
      <c r="F1" s="1391"/>
      <c r="G1" s="1391"/>
      <c r="H1" s="1391"/>
      <c r="I1" s="1391"/>
      <c r="J1" s="1391"/>
      <c r="K1" s="1391"/>
      <c r="L1" s="1391"/>
      <c r="M1" s="1391"/>
      <c r="N1" s="1391"/>
      <c r="O1" s="1391"/>
      <c r="P1" s="1391"/>
    </row>
    <row r="2" spans="1:16" ht="15">
      <c r="A2" s="3070" t="s">
        <v>1942</v>
      </c>
      <c r="B2" s="3070"/>
      <c r="C2" s="3070"/>
      <c r="D2" s="967" t="s">
        <v>1918</v>
      </c>
      <c r="E2" s="2227" t="s">
        <v>1919</v>
      </c>
      <c r="F2" s="1391"/>
      <c r="G2" s="2228"/>
      <c r="H2" s="2229"/>
      <c r="I2" s="2230" t="s">
        <v>1943</v>
      </c>
      <c r="J2" s="1391"/>
      <c r="K2" s="1391"/>
      <c r="L2" s="1391"/>
      <c r="M2" s="1391"/>
      <c r="N2" s="1426"/>
      <c r="O2" s="1391"/>
      <c r="P2" s="1391"/>
    </row>
    <row r="3" spans="1:16" ht="15.75" thickBot="1">
      <c r="A3" s="3071" t="s">
        <v>1916</v>
      </c>
      <c r="B3" s="3071"/>
      <c r="C3" s="3071"/>
      <c r="D3" s="45">
        <f>'数据-基础表'!AY6</f>
        <v>138145.20000000001</v>
      </c>
      <c r="E3" s="45">
        <f>'数据-基础表'!AZ5</f>
        <v>116944.15</v>
      </c>
      <c r="F3" s="1391"/>
      <c r="G3" s="1398"/>
      <c r="H3" s="1247" t="s">
        <v>1917</v>
      </c>
      <c r="I3" s="54">
        <f>ROUND('数据-基础表'!B3/'数据-基础表'!A3,2)</f>
        <v>0.85</v>
      </c>
      <c r="J3" s="1391"/>
      <c r="K3" s="1391"/>
      <c r="L3" s="1391"/>
      <c r="M3" s="1391"/>
      <c r="N3" s="1426"/>
      <c r="O3" s="1391"/>
      <c r="P3" s="1391"/>
    </row>
    <row r="4" spans="1:16" ht="15">
      <c r="A4" s="3072"/>
      <c r="B4" s="3073"/>
      <c r="C4" s="3074"/>
      <c r="D4" s="2231" t="s">
        <v>1918</v>
      </c>
      <c r="E4" s="2232" t="s">
        <v>1919</v>
      </c>
      <c r="F4" s="1391"/>
      <c r="G4" s="2233" t="s">
        <v>1944</v>
      </c>
      <c r="H4" s="1247" t="s">
        <v>1924</v>
      </c>
      <c r="I4" s="54">
        <f>ROUND(SUMIF('数据-基础表'!I9:AS9,"地上",'数据-基础表'!I5:AS5)/'数据-基础表'!A3,2)</f>
        <v>0.85</v>
      </c>
      <c r="J4" s="1391"/>
      <c r="K4" s="1391"/>
      <c r="L4" s="1391"/>
      <c r="M4" s="1391"/>
      <c r="N4" s="1426"/>
      <c r="O4" s="1391"/>
      <c r="P4" s="1391"/>
    </row>
    <row r="5" spans="1:16">
      <c r="A5" s="46" t="s">
        <v>1920</v>
      </c>
      <c r="B5" s="3075" t="s">
        <v>1921</v>
      </c>
      <c r="C5" s="3075"/>
      <c r="D5" s="47">
        <f>ROUND($D$3*E5/$E$3,2)</f>
        <v>0</v>
      </c>
      <c r="E5" s="48">
        <f>SUMIF('数据-基础表'!$11:$11,"住宅",'数据-基础表'!$5:$5)</f>
        <v>0</v>
      </c>
      <c r="F5" s="1391"/>
      <c r="G5" s="1398"/>
      <c r="H5" s="1247" t="s">
        <v>1917</v>
      </c>
      <c r="I5" s="54">
        <f>ROUND(E31/D31,2)</f>
        <v>0.85</v>
      </c>
      <c r="J5" s="1391"/>
      <c r="K5" s="1391"/>
      <c r="L5" s="1391"/>
      <c r="M5" s="1391"/>
      <c r="N5" s="1391"/>
      <c r="O5" s="1391"/>
      <c r="P5" s="1391"/>
    </row>
    <row r="6" spans="1:16" ht="15" thickBot="1">
      <c r="A6" s="2234"/>
      <c r="B6" s="3075" t="s">
        <v>1922</v>
      </c>
      <c r="C6" s="3075"/>
      <c r="D6" s="47">
        <f>ROUND($D$3*E6/$E$3,2)</f>
        <v>138145.20000000001</v>
      </c>
      <c r="E6" s="48">
        <f>E3-E5</f>
        <v>116944.15</v>
      </c>
      <c r="F6" s="1391"/>
      <c r="G6" s="2235" t="s">
        <v>1923</v>
      </c>
      <c r="H6" s="1398" t="s">
        <v>1924</v>
      </c>
      <c r="I6" s="939">
        <f>ROUND(F31/D31,2)</f>
        <v>0.85</v>
      </c>
      <c r="J6" s="1391"/>
      <c r="K6" s="1391"/>
      <c r="L6" s="1391"/>
      <c r="M6" s="1391"/>
      <c r="N6" s="1391"/>
      <c r="O6" s="1391"/>
      <c r="P6" s="1391"/>
    </row>
    <row r="7" spans="1:16" ht="15">
      <c r="A7" s="3067"/>
      <c r="B7" s="3068"/>
      <c r="C7" s="3069"/>
      <c r="D7" s="2231" t="s">
        <v>1918</v>
      </c>
      <c r="E7" s="2236" t="s">
        <v>1925</v>
      </c>
      <c r="F7" s="1391"/>
      <c r="G7" s="2228" t="s">
        <v>1926</v>
      </c>
      <c r="H7" s="63"/>
      <c r="I7" s="420"/>
      <c r="J7" s="1391"/>
      <c r="K7" s="1391"/>
      <c r="L7" s="1391"/>
      <c r="M7" s="1391"/>
      <c r="N7" s="1391"/>
      <c r="O7" s="1391"/>
      <c r="P7" s="1391"/>
    </row>
    <row r="8" spans="1:16">
      <c r="A8" s="46" t="s">
        <v>1927</v>
      </c>
      <c r="B8" s="49" t="s">
        <v>1928</v>
      </c>
      <c r="C8" s="47" t="s">
        <v>1929</v>
      </c>
      <c r="D8" s="47">
        <f t="shared" ref="D8:D15" si="0">ROUND($D$3*E8/$E$3,2)</f>
        <v>138145.20000000001</v>
      </c>
      <c r="E8" s="50">
        <f>SUMIF('数据-基础表'!BB10:BK10,"地上",'数据-基础表'!BB5:BK5)</f>
        <v>116944.15</v>
      </c>
      <c r="F8" s="1391"/>
      <c r="G8" s="2237"/>
      <c r="H8" s="2237"/>
      <c r="I8" s="1391"/>
      <c r="J8" s="1391"/>
      <c r="K8" s="1391"/>
      <c r="L8" s="1391"/>
      <c r="M8" s="1391"/>
      <c r="N8" s="1391"/>
      <c r="O8" s="1391"/>
      <c r="P8" s="1391"/>
    </row>
    <row r="9" spans="1:16">
      <c r="A9" s="2238"/>
      <c r="B9" s="2239"/>
      <c r="C9" s="47" t="s">
        <v>1930</v>
      </c>
      <c r="D9" s="47">
        <f t="shared" si="0"/>
        <v>0</v>
      </c>
      <c r="E9" s="51">
        <v>0</v>
      </c>
      <c r="F9" s="1391"/>
      <c r="G9" s="2237"/>
      <c r="H9" s="2237"/>
      <c r="I9" s="1391"/>
      <c r="J9" s="1391"/>
      <c r="K9" s="1391"/>
      <c r="L9" s="1391"/>
      <c r="M9" s="1391"/>
      <c r="N9" s="1391"/>
      <c r="O9" s="1391"/>
      <c r="P9" s="1391"/>
    </row>
    <row r="10" spans="1:16">
      <c r="A10" s="2238"/>
      <c r="B10" s="2239"/>
      <c r="C10" s="47" t="s">
        <v>1939</v>
      </c>
      <c r="D10" s="47">
        <f t="shared" si="0"/>
        <v>0</v>
      </c>
      <c r="E10" s="50">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7" t="s">
        <v>1931</v>
      </c>
      <c r="D11" s="47">
        <f t="shared" si="0"/>
        <v>0</v>
      </c>
      <c r="E11" s="50">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7" t="s">
        <v>1932</v>
      </c>
      <c r="D12" s="47">
        <f t="shared" si="0"/>
        <v>0</v>
      </c>
      <c r="E12" s="50">
        <f>SUMPRODUCT(('数据-基础表'!BB10:BK10="地下")*('数据-基础表'!BB11:BK11="仓储")*('数据-基础表'!BB5:BK5))</f>
        <v>0</v>
      </c>
      <c r="F12" s="1391"/>
      <c r="G12" s="2237"/>
      <c r="H12" s="2237"/>
      <c r="I12" s="1391"/>
      <c r="J12" s="1391"/>
      <c r="K12" s="1391"/>
      <c r="L12" s="1391"/>
      <c r="M12" s="1391"/>
      <c r="N12" s="1391"/>
      <c r="O12" s="1391"/>
      <c r="P12" s="1391"/>
    </row>
    <row r="13" spans="1:16">
      <c r="A13" s="2238"/>
      <c r="B13" s="2239"/>
      <c r="C13" s="47" t="s">
        <v>1933</v>
      </c>
      <c r="D13" s="47">
        <f t="shared" si="0"/>
        <v>0</v>
      </c>
      <c r="E13" s="50">
        <f>SUMPRODUCT(('数据-基础表'!BB10:BK10="地下")*('数据-基础表'!BB11:BK11="车库")*('数据-基础表'!BB5:BK5))</f>
        <v>0</v>
      </c>
      <c r="F13" s="1391"/>
      <c r="G13" s="2237"/>
      <c r="H13" s="2237"/>
      <c r="I13" s="1391"/>
      <c r="J13" s="1391"/>
      <c r="K13" s="1391"/>
      <c r="L13" s="1391"/>
      <c r="M13" s="1391"/>
      <c r="N13" s="1391"/>
      <c r="O13" s="1391"/>
      <c r="P13" s="1391"/>
    </row>
    <row r="14" spans="1:16">
      <c r="A14" s="2238"/>
      <c r="B14" s="2239"/>
      <c r="C14" s="47" t="s">
        <v>1945</v>
      </c>
      <c r="D14" s="47">
        <f t="shared" si="0"/>
        <v>0</v>
      </c>
      <c r="E14" s="50">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7" t="s">
        <v>1940</v>
      </c>
      <c r="D15" s="47">
        <f t="shared" si="0"/>
        <v>0</v>
      </c>
      <c r="E15" s="50">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49" t="s">
        <v>1934</v>
      </c>
      <c r="D16" s="49">
        <f>SUM(D8:D15)</f>
        <v>138145.20000000001</v>
      </c>
      <c r="E16" s="52">
        <f>SUM(E8:E15)</f>
        <v>116944.15</v>
      </c>
      <c r="F16" s="1391"/>
      <c r="G16" s="2237"/>
      <c r="H16" s="2240" t="s">
        <v>1946</v>
      </c>
      <c r="I16" s="2241"/>
      <c r="J16" s="1391"/>
      <c r="K16" s="3064" t="s">
        <v>1946</v>
      </c>
      <c r="L16" s="3065"/>
      <c r="M16" s="3065"/>
      <c r="N16" s="3065"/>
      <c r="O16" s="3065"/>
      <c r="P16" s="3066"/>
    </row>
    <row r="17" spans="1:19" ht="15">
      <c r="A17" s="2242" t="s">
        <v>1947</v>
      </c>
      <c r="B17" s="2243" t="s">
        <v>1948</v>
      </c>
      <c r="C17" s="2244" t="s">
        <v>1949</v>
      </c>
      <c r="D17" s="2245" t="s">
        <v>1937</v>
      </c>
      <c r="E17" s="2246" t="s">
        <v>1938</v>
      </c>
      <c r="F17" s="2247"/>
      <c r="G17" s="2248"/>
      <c r="H17" s="2249" t="s">
        <v>1950</v>
      </c>
      <c r="I17" s="2250" t="s">
        <v>1935</v>
      </c>
      <c r="J17" s="1391"/>
      <c r="K17" s="3061" t="s">
        <v>1951</v>
      </c>
      <c r="L17" s="3062"/>
      <c r="M17" s="3063"/>
      <c r="N17" s="3061" t="s">
        <v>1952</v>
      </c>
      <c r="O17" s="3062"/>
      <c r="P17" s="3063"/>
      <c r="R17" s="2228" t="s">
        <v>1953</v>
      </c>
      <c r="S17" s="63"/>
    </row>
    <row r="18" spans="1:19" ht="15">
      <c r="A18" s="2238"/>
      <c r="B18" s="2251"/>
      <c r="C18" s="2252"/>
      <c r="D18" s="2253"/>
      <c r="E18" s="2254" t="s">
        <v>1954</v>
      </c>
      <c r="F18" s="2255" t="s">
        <v>1955</v>
      </c>
      <c r="G18" s="2256" t="s">
        <v>1956</v>
      </c>
      <c r="H18" s="1262" t="s">
        <v>1957</v>
      </c>
      <c r="I18" s="2257" t="s">
        <v>1958</v>
      </c>
      <c r="J18" s="1391"/>
      <c r="K18" s="1262" t="s">
        <v>1959</v>
      </c>
      <c r="L18" s="2258" t="s">
        <v>1960</v>
      </c>
      <c r="M18" s="1046" t="s">
        <v>1961</v>
      </c>
      <c r="N18" s="1262" t="s">
        <v>1959</v>
      </c>
      <c r="O18" s="2258" t="s">
        <v>1960</v>
      </c>
      <c r="P18" s="1046" t="s">
        <v>1961</v>
      </c>
      <c r="R18" s="1247" t="s">
        <v>1962</v>
      </c>
      <c r="S18" s="1247" t="s">
        <v>1963</v>
      </c>
    </row>
    <row r="19" spans="1:19">
      <c r="A19" s="2259"/>
      <c r="B19" s="49" t="s">
        <v>1936</v>
      </c>
      <c r="C19" s="2260" t="s">
        <v>3115</v>
      </c>
      <c r="D19" s="47">
        <f>ROUND($D$3*E19/$E$3,2)</f>
        <v>25661.75</v>
      </c>
      <c r="E19" s="55">
        <f t="shared" ref="E19:E26" si="1">SUM(F19:G19)</f>
        <v>21723.46</v>
      </c>
      <c r="F19" s="56">
        <f>'数据-基础表'!I13+'数据-基础表'!I15</f>
        <v>21723.46</v>
      </c>
      <c r="G19" s="57"/>
      <c r="H19" s="723">
        <f>ROUND($D$3*I19/$E$3,2)</f>
        <v>0</v>
      </c>
      <c r="I19" s="50">
        <f t="shared" ref="I19:I26" si="2">IF($I$17="自定义",P19,M19)</f>
        <v>0</v>
      </c>
      <c r="J19" s="1391"/>
      <c r="K19" s="1390">
        <f t="shared" ref="K19:K26" si="3">ROUND(E$28*E19/E$27,2)</f>
        <v>0</v>
      </c>
      <c r="L19" s="1247">
        <f t="shared" ref="L19:L26" si="4">ROUND(IF(COUNTIF(C19,"*住宅*")&gt;0,E$29*E19/E$32,0),2)</f>
        <v>0</v>
      </c>
      <c r="M19" s="1402">
        <f>K19+L19</f>
        <v>0</v>
      </c>
      <c r="N19" s="2261"/>
      <c r="O19" s="2262"/>
      <c r="P19" s="1402">
        <f>N19+O19</f>
        <v>0</v>
      </c>
      <c r="R19" s="1247">
        <f t="shared" ref="R19:S26" si="5">D19+H19</f>
        <v>25661.75</v>
      </c>
      <c r="S19" s="1248">
        <f t="shared" si="5"/>
        <v>21723.46</v>
      </c>
    </row>
    <row r="20" spans="1:19">
      <c r="A20" s="2263"/>
      <c r="B20" s="49" t="s">
        <v>1964</v>
      </c>
      <c r="C20" s="2944" t="s">
        <v>3117</v>
      </c>
      <c r="D20" s="47">
        <f t="shared" ref="D20:D26" si="6">ROUND($D$3*E20/$E$3,2)</f>
        <v>45169.63</v>
      </c>
      <c r="E20" s="55">
        <f t="shared" si="1"/>
        <v>38237.479999999996</v>
      </c>
      <c r="F20" s="56">
        <f>'数据-基础表'!I14+'数据-基础表'!I16+'数据-基础表'!I17</f>
        <v>38237.479999999996</v>
      </c>
      <c r="G20" s="57"/>
      <c r="H20" s="723">
        <f t="shared" ref="H20:H26" si="7">ROUND($D$3*I20/$E$3,2)</f>
        <v>0</v>
      </c>
      <c r="I20" s="50">
        <f t="shared" si="2"/>
        <v>0</v>
      </c>
      <c r="J20" s="1391"/>
      <c r="K20" s="1390">
        <f t="shared" si="3"/>
        <v>0</v>
      </c>
      <c r="L20" s="1247">
        <f t="shared" si="4"/>
        <v>0</v>
      </c>
      <c r="M20" s="1402">
        <f t="shared" ref="M20:M26" si="8">K20+L20</f>
        <v>0</v>
      </c>
      <c r="N20" s="2261"/>
      <c r="O20" s="2262"/>
      <c r="P20" s="1402">
        <f t="shared" ref="P20:P26" si="9">N20+O20</f>
        <v>0</v>
      </c>
      <c r="R20" s="1247">
        <f t="shared" si="5"/>
        <v>45169.63</v>
      </c>
      <c r="S20" s="1248">
        <f t="shared" si="5"/>
        <v>38237.479999999996</v>
      </c>
    </row>
    <row r="21" spans="1:19">
      <c r="A21" s="2263"/>
      <c r="B21" s="49" t="s">
        <v>1964</v>
      </c>
      <c r="C21" s="2944" t="s">
        <v>3118</v>
      </c>
      <c r="D21" s="47">
        <f t="shared" si="6"/>
        <v>67313.820000000007</v>
      </c>
      <c r="E21" s="55">
        <f t="shared" si="1"/>
        <v>56983.21</v>
      </c>
      <c r="F21" s="56">
        <f>'数据-基础表'!I18</f>
        <v>56983.21</v>
      </c>
      <c r="G21" s="57"/>
      <c r="H21" s="723">
        <f t="shared" si="7"/>
        <v>0</v>
      </c>
      <c r="I21" s="50">
        <f t="shared" si="2"/>
        <v>0</v>
      </c>
      <c r="J21" s="1391"/>
      <c r="K21" s="1390">
        <f t="shared" si="3"/>
        <v>0</v>
      </c>
      <c r="L21" s="1247">
        <f t="shared" si="4"/>
        <v>0</v>
      </c>
      <c r="M21" s="1402">
        <f t="shared" si="8"/>
        <v>0</v>
      </c>
      <c r="N21" s="2261"/>
      <c r="O21" s="2262"/>
      <c r="P21" s="1402">
        <f t="shared" si="9"/>
        <v>0</v>
      </c>
      <c r="R21" s="1247">
        <f t="shared" si="5"/>
        <v>67313.820000000007</v>
      </c>
      <c r="S21" s="1248">
        <f t="shared" si="5"/>
        <v>56983.21</v>
      </c>
    </row>
    <row r="22" spans="1:19">
      <c r="A22" s="2263"/>
      <c r="B22" s="49" t="s">
        <v>1964</v>
      </c>
      <c r="C22" s="59"/>
      <c r="D22" s="47">
        <f t="shared" si="6"/>
        <v>0</v>
      </c>
      <c r="E22" s="55">
        <f t="shared" si="1"/>
        <v>0</v>
      </c>
      <c r="F22" s="60"/>
      <c r="G22" s="61"/>
      <c r="H22" s="723">
        <f t="shared" si="7"/>
        <v>0</v>
      </c>
      <c r="I22" s="50">
        <f t="shared" si="2"/>
        <v>0</v>
      </c>
      <c r="J22" s="1391"/>
      <c r="K22" s="1390">
        <f t="shared" si="3"/>
        <v>0</v>
      </c>
      <c r="L22" s="1247">
        <f t="shared" si="4"/>
        <v>0</v>
      </c>
      <c r="M22" s="1402">
        <f t="shared" si="8"/>
        <v>0</v>
      </c>
      <c r="N22" s="2261"/>
      <c r="O22" s="2262"/>
      <c r="P22" s="1402">
        <f t="shared" si="9"/>
        <v>0</v>
      </c>
      <c r="R22" s="1247">
        <f t="shared" si="5"/>
        <v>0</v>
      </c>
      <c r="S22" s="1248">
        <f t="shared" si="5"/>
        <v>0</v>
      </c>
    </row>
    <row r="23" spans="1:19">
      <c r="A23" s="2263"/>
      <c r="B23" s="49" t="s">
        <v>1964</v>
      </c>
      <c r="C23" s="59"/>
      <c r="D23" s="47">
        <f>ROUND($D$3*E23/$E$3,2)</f>
        <v>0</v>
      </c>
      <c r="E23" s="55">
        <f>SUM(F23:G23)</f>
        <v>0</v>
      </c>
      <c r="F23" s="60"/>
      <c r="G23" s="61"/>
      <c r="H23" s="723">
        <f>ROUND($D$3*I23/$E$3,2)</f>
        <v>0</v>
      </c>
      <c r="I23" s="50">
        <f t="shared" si="2"/>
        <v>0</v>
      </c>
      <c r="J23" s="1391"/>
      <c r="K23" s="1390">
        <f t="shared" si="3"/>
        <v>0</v>
      </c>
      <c r="L23" s="1247">
        <f t="shared" si="4"/>
        <v>0</v>
      </c>
      <c r="M23" s="1402">
        <f t="shared" si="8"/>
        <v>0</v>
      </c>
      <c r="N23" s="2261"/>
      <c r="O23" s="2262"/>
      <c r="P23" s="1402">
        <f t="shared" si="9"/>
        <v>0</v>
      </c>
      <c r="R23" s="1247">
        <f t="shared" si="5"/>
        <v>0</v>
      </c>
      <c r="S23" s="1248">
        <f t="shared" si="5"/>
        <v>0</v>
      </c>
    </row>
    <row r="24" spans="1:19">
      <c r="A24" s="2263"/>
      <c r="B24" s="49" t="s">
        <v>1964</v>
      </c>
      <c r="C24" s="59"/>
      <c r="D24" s="47">
        <f>ROUND($D$3*E24/$E$3,2)</f>
        <v>0</v>
      </c>
      <c r="E24" s="55">
        <f>SUM(F24:G24)</f>
        <v>0</v>
      </c>
      <c r="F24" s="60"/>
      <c r="G24" s="61"/>
      <c r="H24" s="723">
        <f>ROUND($D$3*I24/$E$3,2)</f>
        <v>0</v>
      </c>
      <c r="I24" s="50">
        <f t="shared" si="2"/>
        <v>0</v>
      </c>
      <c r="J24" s="1391"/>
      <c r="K24" s="1390">
        <f t="shared" si="3"/>
        <v>0</v>
      </c>
      <c r="L24" s="1247">
        <f t="shared" si="4"/>
        <v>0</v>
      </c>
      <c r="M24" s="1402">
        <f t="shared" si="8"/>
        <v>0</v>
      </c>
      <c r="N24" s="2261"/>
      <c r="O24" s="2262"/>
      <c r="P24" s="1402">
        <f t="shared" si="9"/>
        <v>0</v>
      </c>
      <c r="R24" s="1247">
        <f t="shared" si="5"/>
        <v>0</v>
      </c>
      <c r="S24" s="1248">
        <f t="shared" si="5"/>
        <v>0</v>
      </c>
    </row>
    <row r="25" spans="1:19">
      <c r="A25" s="2263"/>
      <c r="B25" s="49" t="s">
        <v>1964</v>
      </c>
      <c r="C25" s="59"/>
      <c r="D25" s="47">
        <f t="shared" si="6"/>
        <v>0</v>
      </c>
      <c r="E25" s="55">
        <f t="shared" si="1"/>
        <v>0</v>
      </c>
      <c r="F25" s="60"/>
      <c r="G25" s="61"/>
      <c r="H25" s="46">
        <f t="shared" si="7"/>
        <v>0</v>
      </c>
      <c r="I25" s="50">
        <f t="shared" si="2"/>
        <v>0</v>
      </c>
      <c r="J25" s="1391"/>
      <c r="K25" s="1390">
        <f t="shared" si="3"/>
        <v>0</v>
      </c>
      <c r="L25" s="1247">
        <f t="shared" si="4"/>
        <v>0</v>
      </c>
      <c r="M25" s="1402">
        <f t="shared" si="8"/>
        <v>0</v>
      </c>
      <c r="N25" s="2261"/>
      <c r="O25" s="2262"/>
      <c r="P25" s="1402">
        <f t="shared" si="9"/>
        <v>0</v>
      </c>
      <c r="R25" s="1247">
        <f t="shared" si="5"/>
        <v>0</v>
      </c>
      <c r="S25" s="1248">
        <f t="shared" si="5"/>
        <v>0</v>
      </c>
    </row>
    <row r="26" spans="1:19">
      <c r="A26" s="2263"/>
      <c r="B26" s="49" t="s">
        <v>1964</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4"/>
      <c r="O26" s="2265"/>
      <c r="P26" s="66">
        <f t="shared" si="9"/>
        <v>0</v>
      </c>
      <c r="R26" s="1247">
        <f t="shared" si="5"/>
        <v>0</v>
      </c>
      <c r="S26" s="1248">
        <f t="shared" si="5"/>
        <v>0</v>
      </c>
    </row>
    <row r="27" spans="1:19" ht="15.75" thickBot="1">
      <c r="A27" s="2263"/>
      <c r="B27" s="47"/>
      <c r="C27" s="2266" t="s">
        <v>1965</v>
      </c>
      <c r="D27" s="1392">
        <f>SUM(D19:D26)</f>
        <v>138145.20000000001</v>
      </c>
      <c r="E27" s="1393">
        <f>IF(SUM(E19:E26)='数据-基础表'!BA5,SUM(E19:E26),IF(F27="地上面积有误","面积有误","地下面积有误"))</f>
        <v>116944.15</v>
      </c>
      <c r="F27" s="1392">
        <f>IF(SUM(F19:F26)=E8,SUM(F19:F26),"地上面积有误")</f>
        <v>116944.15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138145.20000000001</v>
      </c>
      <c r="S27" s="1247">
        <f>IF(SUM(S19:S26)=$E$3,SUM(S19:S26),SUM(S19:S26)&amp;"误差"&amp;ROUND(SUM(S19:S26)-E3,2))</f>
        <v>116944.15</v>
      </c>
    </row>
    <row r="28" spans="1:19">
      <c r="A28" s="2263"/>
      <c r="B28" s="49" t="s">
        <v>1966</v>
      </c>
      <c r="C28" s="1259" t="s">
        <v>1967</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63"/>
      <c r="B29" s="49" t="s">
        <v>1966</v>
      </c>
      <c r="C29" s="2267" t="s">
        <v>1968</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3"/>
      <c r="B30" s="49"/>
      <c r="C30" s="2268" t="s">
        <v>1965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9"/>
      <c r="B31" s="2270"/>
      <c r="C31" s="1007" t="s">
        <v>1969</v>
      </c>
      <c r="D31" s="729">
        <f>D27+D30</f>
        <v>138145.20000000001</v>
      </c>
      <c r="E31" s="729">
        <f>E27+E30</f>
        <v>116944.15</v>
      </c>
      <c r="F31" s="730">
        <f>F27+F30</f>
        <v>116944.15</v>
      </c>
      <c r="G31" s="731">
        <f>G27+G30</f>
        <v>0</v>
      </c>
      <c r="H31" s="1391"/>
      <c r="I31" s="1391"/>
      <c r="J31" s="1391"/>
      <c r="K31" s="1391"/>
      <c r="L31" s="1391"/>
      <c r="M31" s="1391"/>
      <c r="N31" s="1391"/>
      <c r="O31" s="1391"/>
      <c r="P31" s="1391"/>
    </row>
    <row r="32" spans="1:19">
      <c r="A32" s="2233"/>
      <c r="B32" s="2233" t="s">
        <v>1970</v>
      </c>
      <c r="C32" s="2233"/>
      <c r="D32" s="2233"/>
      <c r="E32" s="1274">
        <f>SUMIF(C19:C26,"*住宅*",E19:E26)</f>
        <v>0</v>
      </c>
      <c r="F32" s="2233"/>
      <c r="G32" s="2233"/>
      <c r="H32" s="1391"/>
      <c r="I32" s="1391"/>
      <c r="J32" s="1391"/>
      <c r="K32" s="1391"/>
      <c r="L32" s="1391"/>
      <c r="M32" s="1391"/>
      <c r="N32" s="1391"/>
      <c r="O32" s="1391"/>
      <c r="P32" s="1391"/>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G6" activePane="bottomRight" state="frozen"/>
      <selection activeCell="C50" sqref="C50"/>
      <selection pane="topRight" activeCell="C50" sqref="C50"/>
      <selection pane="bottomLeft" activeCell="C50" sqref="C50"/>
      <selection pane="bottomRight" activeCell="AK24" sqref="AK24"/>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1971</v>
      </c>
      <c r="B1" s="732"/>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1972</v>
      </c>
      <c r="B2" s="1266">
        <f>项目基本情况!D3</f>
        <v>43070</v>
      </c>
      <c r="C2" s="2277"/>
      <c r="D2" s="2278"/>
      <c r="E2" s="2277"/>
      <c r="F2" s="2277"/>
      <c r="G2" s="2277"/>
      <c r="H2" s="2277"/>
      <c r="I2" s="2277"/>
      <c r="J2" s="2277"/>
      <c r="K2" s="1426"/>
      <c r="L2" s="1426"/>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6"/>
      <c r="L3" s="1426"/>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7" t="s">
        <v>1973</v>
      </c>
      <c r="B4" s="2281"/>
      <c r="C4" s="2282"/>
      <c r="D4" s="2283"/>
      <c r="E4" s="2282" t="s">
        <v>1974</v>
      </c>
      <c r="F4" s="2282"/>
      <c r="G4" s="2282"/>
      <c r="H4" s="2282"/>
      <c r="I4" s="2282"/>
      <c r="J4" s="2284"/>
      <c r="K4" s="2285"/>
      <c r="L4" s="2286"/>
      <c r="M4" s="2282"/>
      <c r="N4" s="2282" t="s">
        <v>1975</v>
      </c>
      <c r="O4" s="2282"/>
      <c r="P4" s="2282"/>
      <c r="Q4" s="2282"/>
      <c r="R4" s="2282"/>
      <c r="S4" s="2284"/>
      <c r="T4" s="2287" t="str">
        <f>'数据-汇总表'!I17</f>
        <v>按面积比例</v>
      </c>
      <c r="U4" s="2281" t="s">
        <v>1976</v>
      </c>
      <c r="V4" s="2282"/>
      <c r="W4" s="2282"/>
      <c r="X4" s="2282"/>
      <c r="Y4" s="2284"/>
      <c r="Z4" s="2244" t="s">
        <v>1977</v>
      </c>
      <c r="AA4" s="2244"/>
      <c r="AB4" s="2244"/>
      <c r="AC4" s="2244"/>
      <c r="AD4" s="2244"/>
      <c r="AE4" s="2242" t="s">
        <v>1978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1979</v>
      </c>
      <c r="B5" s="2290" t="s">
        <v>1980</v>
      </c>
      <c r="C5" s="2291" t="s">
        <v>1981</v>
      </c>
      <c r="D5" s="2292" t="s">
        <v>1982</v>
      </c>
      <c r="E5" s="1268" t="s">
        <v>1983</v>
      </c>
      <c r="F5" s="2293" t="s">
        <v>1984</v>
      </c>
      <c r="G5" s="1268" t="s">
        <v>1985</v>
      </c>
      <c r="H5" s="1268" t="s">
        <v>1986</v>
      </c>
      <c r="I5" s="1268" t="s">
        <v>1987</v>
      </c>
      <c r="J5" s="2294" t="s">
        <v>1988</v>
      </c>
      <c r="K5" s="2295" t="s">
        <v>1989</v>
      </c>
      <c r="L5" s="2296" t="s">
        <v>1990</v>
      </c>
      <c r="M5" s="2297" t="s">
        <v>1991</v>
      </c>
      <c r="N5" s="2298" t="s">
        <v>3045</v>
      </c>
      <c r="O5" s="2296" t="s">
        <v>1992</v>
      </c>
      <c r="P5" s="2299" t="s">
        <v>1993</v>
      </c>
      <c r="Q5" s="68" t="s">
        <v>1994</v>
      </c>
      <c r="R5" s="2300" t="s">
        <v>1995</v>
      </c>
      <c r="S5" s="2301" t="s">
        <v>1996</v>
      </c>
      <c r="T5" s="2302" t="s">
        <v>1997</v>
      </c>
      <c r="U5" s="1267" t="s">
        <v>1998</v>
      </c>
      <c r="V5" s="1268" t="s">
        <v>1999</v>
      </c>
      <c r="W5" s="1268" t="s">
        <v>2000</v>
      </c>
      <c r="X5" s="70"/>
      <c r="Y5" s="69" t="s">
        <v>2001</v>
      </c>
      <c r="Z5" s="2303" t="s">
        <v>1998</v>
      </c>
      <c r="AA5" s="1268" t="s">
        <v>1999</v>
      </c>
      <c r="AB5" s="1268" t="s">
        <v>2000</v>
      </c>
      <c r="AC5" s="70"/>
      <c r="AD5" s="70" t="s">
        <v>2001</v>
      </c>
      <c r="AE5" s="1267" t="s">
        <v>2002</v>
      </c>
      <c r="AF5" s="1268" t="s">
        <v>2003</v>
      </c>
      <c r="AG5" s="69" t="s">
        <v>2004</v>
      </c>
      <c r="AH5" s="1267" t="s">
        <v>2005</v>
      </c>
      <c r="AI5" s="2303" t="s">
        <v>2006</v>
      </c>
      <c r="AJ5" s="2303" t="s">
        <v>2007</v>
      </c>
      <c r="AK5" s="1268" t="s">
        <v>2008</v>
      </c>
      <c r="AL5" s="1268" t="s">
        <v>2009</v>
      </c>
      <c r="AM5" s="69" t="s">
        <v>2010</v>
      </c>
      <c r="AN5" s="2304" t="s">
        <v>2011</v>
      </c>
      <c r="AO5" s="2074" t="s">
        <v>2012</v>
      </c>
      <c r="AP5" s="1249" t="s">
        <v>2013</v>
      </c>
      <c r="AQ5" s="2305" t="s">
        <v>2014</v>
      </c>
      <c r="AR5" s="2305"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主楼+康乐</v>
      </c>
      <c r="B6" s="2307" t="str">
        <f>IF(A6=0,"","经营性")</f>
        <v>经营性</v>
      </c>
      <c r="C6" s="2308" t="s">
        <v>27</v>
      </c>
      <c r="D6" s="1051">
        <f>SUMIF(项目基本情况!D$12:I$12,C6,项目基本情况!D$14:I$14)</f>
        <v>50</v>
      </c>
      <c r="E6" s="1048">
        <f>IF(B6="","",SUMIF(项目基本情况!D$12:I$12,C6,项目基本情况!D$13:I$13))</f>
        <v>55041</v>
      </c>
      <c r="F6" s="71">
        <f>SUMIF(项目基本情况!D$12:I$12,C6,项目基本情况!D$15:I$15)</f>
        <v>32.79</v>
      </c>
      <c r="G6" s="72">
        <f>IF(ISERROR(ROUND(POWER(1+H6,D6-F6)*(POWER(1+H6,F6)-1)/(POWER(1+H6,D6)-1),3)),0,ROUND(POWER(1+H6,D6-F6)*(POWER(1+H6,F6)-1)/(POWER(1+H6,D6)-1),3))</f>
        <v>0.88800000000000001</v>
      </c>
      <c r="H6" s="802">
        <f>I6-0.5%</f>
        <v>5.5E-2</v>
      </c>
      <c r="I6" s="802">
        <v>0.06</v>
      </c>
      <c r="J6" s="73">
        <v>0.08</v>
      </c>
      <c r="K6" s="1251">
        <f>SUMIF('数据-汇总表'!C$19:C$33,A6,'数据-汇总表'!E$19:E$33)</f>
        <v>21723.46</v>
      </c>
      <c r="L6" s="803">
        <v>4500</v>
      </c>
      <c r="M6" s="74">
        <f t="shared" ref="M6:M14" si="0">ROUND(K6*L6/10000,0)</f>
        <v>9776</v>
      </c>
      <c r="N6" s="801">
        <f>O20</f>
        <v>0.82499999999999996</v>
      </c>
      <c r="O6" s="74" t="str">
        <f>IF($N$5="成新度","——",ROUND(M6*N6,0))</f>
        <v>——</v>
      </c>
      <c r="P6" s="75" t="str">
        <f>IF($N$5="成新度","——",M6-O6)</f>
        <v>——</v>
      </c>
      <c r="Q6" s="804">
        <v>0.2</v>
      </c>
      <c r="R6" s="76">
        <f ca="1">SUMIF('数据-汇总表'!C$19:C$33,A6,'数据-汇总表'!R$19:R$27)</f>
        <v>25661.75</v>
      </c>
      <c r="S6" s="53">
        <f>IF('数据-汇总表'!$I$17="按面积比例",SUMIF('数据-汇总表'!C$19:C$33,A6,'数据-汇总表'!K$19:K$33),SUMIF('数据-汇总表'!C$19:C$33,A6,'数据-汇总表'!N$19:N$33))</f>
        <v>0</v>
      </c>
      <c r="T6" s="1442">
        <f>ROUND($L$14*S6/10000,0)</f>
        <v>0</v>
      </c>
      <c r="U6" s="77">
        <f>酒店收入计算!F25</f>
        <v>3.63</v>
      </c>
      <c r="V6" s="78">
        <v>0.02</v>
      </c>
      <c r="W6" s="78">
        <v>0</v>
      </c>
      <c r="X6" s="1261"/>
      <c r="Y6" s="79">
        <f>N6</f>
        <v>0.82499999999999996</v>
      </c>
      <c r="Z6" s="80"/>
      <c r="AA6" s="73"/>
      <c r="AB6" s="73"/>
      <c r="AC6" s="1261"/>
      <c r="AD6" s="81"/>
      <c r="AE6" s="1262">
        <f ca="1">IF(AN6="",0,SUMIF(INDIRECT("'"&amp;AN6&amp;"'"&amp;"!E:E"),$AE$5,INDIRECT("'"&amp;AN6&amp;"'"&amp;"!F:F")))</f>
        <v>32.79</v>
      </c>
      <c r="AF6" s="1803"/>
      <c r="AG6" s="146">
        <f>IF(AF6="",0,AE6-AF6)</f>
        <v>0</v>
      </c>
      <c r="AH6" s="82"/>
      <c r="AI6" s="84">
        <v>365</v>
      </c>
      <c r="AJ6" s="85"/>
      <c r="AK6" s="93">
        <v>0.03</v>
      </c>
      <c r="AL6" s="94">
        <v>2E-3</v>
      </c>
      <c r="AM6" s="95">
        <v>0.05</v>
      </c>
      <c r="AN6" s="2309" t="s">
        <v>3120</v>
      </c>
      <c r="AO6" s="54">
        <f ca="1">SUMIF(INDIRECT("'"&amp;AN6&amp;"'"&amp;"!A:A"),"总价",INDIRECT("'"&amp;AN6&amp;"'"&amp;"!B:B"))</f>
        <v>34886</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别墅、水上别墅、万景园</v>
      </c>
      <c r="B7" s="2307" t="str">
        <f t="shared" ref="B7:B13" si="1">IF(A7=0,"","经营性")</f>
        <v>经营性</v>
      </c>
      <c r="C7" s="2308" t="s">
        <v>1378</v>
      </c>
      <c r="D7" s="1051">
        <f>SUMIF(项目基本情况!D$12:I$12,C7,项目基本情况!D$14:I$14)</f>
        <v>40</v>
      </c>
      <c r="E7" s="1048">
        <f>IF(B7="","",SUMIF(项目基本情况!D$12:I$12,C7,项目基本情况!D$13:I$13))</f>
        <v>53309</v>
      </c>
      <c r="F7" s="71">
        <f>SUMIF(项目基本情况!D$12:I$12,C7,项目基本情况!D$15:I$15)</f>
        <v>28.05</v>
      </c>
      <c r="G7" s="72">
        <f t="shared" ref="G7:G11" si="2">IF(ISERROR(ROUND(POWER(1+H7,D7-F7)*(POWER(1+H7,F7)-1)/(POWER(1+H7,D7)-1),3)),0,ROUND(POWER(1+H7,D7-F7)*(POWER(1+H7,F7)-1)/(POWER(1+H7,D7)-1),3))</f>
        <v>0.88100000000000001</v>
      </c>
      <c r="H7" s="802">
        <f t="shared" ref="H7:H8" si="3">I7-0.5%</f>
        <v>5.5E-2</v>
      </c>
      <c r="I7" s="802">
        <f t="shared" ref="I7:J8" si="4">I6</f>
        <v>0.06</v>
      </c>
      <c r="J7" s="73">
        <f t="shared" si="4"/>
        <v>0.08</v>
      </c>
      <c r="K7" s="1251">
        <f>SUMIF('数据-汇总表'!C$19:C$33,A7,'数据-汇总表'!E$19:E$33)</f>
        <v>38237.479999999996</v>
      </c>
      <c r="L7" s="803">
        <f>L6</f>
        <v>4500</v>
      </c>
      <c r="M7" s="74">
        <f t="shared" si="0"/>
        <v>17207</v>
      </c>
      <c r="N7" s="801">
        <f>N6</f>
        <v>0.82499999999999996</v>
      </c>
      <c r="O7" s="74" t="str">
        <f t="shared" ref="O7:O14" si="5">IF($N$5="成新度","——",ROUND(M7*N7,0))</f>
        <v>——</v>
      </c>
      <c r="P7" s="75" t="str">
        <f t="shared" ref="P7:P14" si="6">IF($N$5="成新度","——",M7-O7)</f>
        <v>——</v>
      </c>
      <c r="Q7" s="804">
        <f>Q6</f>
        <v>0.2</v>
      </c>
      <c r="R7" s="76">
        <f ca="1">SUMIF('数据-汇总表'!C$19:C$33,A7,'数据-汇总表'!R$19:R$27)</f>
        <v>45169.63</v>
      </c>
      <c r="S7" s="53">
        <f>IF('数据-汇总表'!$I$17="按面积比例",SUMIF('数据-汇总表'!C$19:C$33,A7,'数据-汇总表'!K$19:K$33),SUMIF('数据-汇总表'!C$19:C$33,A7,'数据-汇总表'!N$19:N$33))</f>
        <v>0</v>
      </c>
      <c r="T7" s="1442">
        <f t="shared" ref="T7:T13" si="7">ROUND($L$14*S7/10000,0)</f>
        <v>0</v>
      </c>
      <c r="U7" s="77">
        <f>U6</f>
        <v>3.63</v>
      </c>
      <c r="V7" s="78">
        <f>V6</f>
        <v>0.02</v>
      </c>
      <c r="W7" s="78">
        <v>0</v>
      </c>
      <c r="X7" s="1261"/>
      <c r="Y7" s="79">
        <f>Y6</f>
        <v>0.82499999999999996</v>
      </c>
      <c r="Z7" s="80"/>
      <c r="AA7" s="73"/>
      <c r="AB7" s="73"/>
      <c r="AC7" s="1261"/>
      <c r="AD7" s="2977"/>
      <c r="AE7" s="1262">
        <f t="shared" ref="AE7:AE13" ca="1" si="8">IF(AN7="",0,SUMIF(INDIRECT("'"&amp;AN7&amp;"'"&amp;"!E:E"),$AE$5,INDIRECT("'"&amp;AN7&amp;"'"&amp;"!F:F")))</f>
        <v>28.05</v>
      </c>
      <c r="AF7" s="1803"/>
      <c r="AG7" s="146">
        <f t="shared" ref="AG7:AG13" si="9">IF(AF7="",0,AE7-AF7)</f>
        <v>0</v>
      </c>
      <c r="AH7" s="82"/>
      <c r="AI7" s="84">
        <v>365</v>
      </c>
      <c r="AJ7" s="85"/>
      <c r="AK7" s="93">
        <f>AK6</f>
        <v>0.03</v>
      </c>
      <c r="AL7" s="93">
        <f t="shared" ref="AL7:AM7" si="10">AL6</f>
        <v>2E-3</v>
      </c>
      <c r="AM7" s="93">
        <f t="shared" si="10"/>
        <v>0.05</v>
      </c>
      <c r="AN7" s="2309" t="s">
        <v>3145</v>
      </c>
      <c r="AO7" s="54">
        <f t="shared" ref="AO7:AO13" ca="1" si="11">SUMIF(INDIRECT("'"&amp;AN7&amp;"'"&amp;"!A:A"),"总价",INDIRECT("'"&amp;AN7&amp;"'"&amp;"!B:B"))</f>
        <v>56567</v>
      </c>
      <c r="AP7" s="2310">
        <f t="shared" ref="AP7:AP13" si="12">IF(C7="住宅",K7*L7,0)</f>
        <v>0</v>
      </c>
      <c r="AQ7" s="54">
        <f t="shared" ref="AQ7:AQ13" si="13">ROUND($L$14*$N$14*S7/10000,0)</f>
        <v>0</v>
      </c>
      <c r="AR7" s="54">
        <f t="shared" ref="AR7:AR13" si="14">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t="str">
        <f>'数据-汇总表'!C21</f>
        <v>三期</v>
      </c>
      <c r="B8" s="2307" t="str">
        <f t="shared" si="1"/>
        <v>经营性</v>
      </c>
      <c r="C8" s="2308" t="s">
        <v>1378</v>
      </c>
      <c r="D8" s="1051">
        <f>SUMIF(项目基本情况!D$12:I$12,C8,项目基本情况!D$14:I$14)</f>
        <v>40</v>
      </c>
      <c r="E8" s="1048">
        <f>IF(B8="","",SUMIF(项目基本情况!D$12:I$12,C8,项目基本情况!D$13:I$13))</f>
        <v>53309</v>
      </c>
      <c r="F8" s="71">
        <f>SUMIF(项目基本情况!D$12:I$12,C8,项目基本情况!D$15:I$15)</f>
        <v>28.05</v>
      </c>
      <c r="G8" s="72">
        <f t="shared" si="2"/>
        <v>0.88100000000000001</v>
      </c>
      <c r="H8" s="802">
        <f t="shared" si="3"/>
        <v>5.5E-2</v>
      </c>
      <c r="I8" s="802">
        <f t="shared" si="4"/>
        <v>0.06</v>
      </c>
      <c r="J8" s="73">
        <f t="shared" si="4"/>
        <v>0.08</v>
      </c>
      <c r="K8" s="1251">
        <f>SUMIF('数据-汇总表'!C$19:C$33,A8,'数据-汇总表'!E$19:E$33)</f>
        <v>56983.21</v>
      </c>
      <c r="L8" s="803">
        <v>4500</v>
      </c>
      <c r="M8" s="74">
        <f>ROUND(K8*L8/10000,0)</f>
        <v>25642</v>
      </c>
      <c r="N8" s="801">
        <f>N7</f>
        <v>0.82499999999999996</v>
      </c>
      <c r="O8" s="74" t="str">
        <f t="shared" si="5"/>
        <v>——</v>
      </c>
      <c r="P8" s="75" t="str">
        <f t="shared" si="6"/>
        <v>——</v>
      </c>
      <c r="Q8" s="804">
        <f>Q7</f>
        <v>0.2</v>
      </c>
      <c r="R8" s="76">
        <f ca="1">SUMIF('数据-汇总表'!C$19:C$33,A8,'数据-汇总表'!R$19:R$27)</f>
        <v>67313.820000000007</v>
      </c>
      <c r="S8" s="53">
        <f>IF('数据-汇总表'!$I$17="按面积比例",SUMIF('数据-汇总表'!C$19:C$33,A8,'数据-汇总表'!K$19:K$33),SUMIF('数据-汇总表'!C$19:C$33,A8,'数据-汇总表'!N$19:N$33))</f>
        <v>0</v>
      </c>
      <c r="T8" s="1442">
        <f t="shared" si="7"/>
        <v>0</v>
      </c>
      <c r="U8" s="805">
        <v>0</v>
      </c>
      <c r="V8" s="806">
        <f>V6</f>
        <v>0.02</v>
      </c>
      <c r="W8" s="806">
        <v>0.15</v>
      </c>
      <c r="X8" s="1261"/>
      <c r="Y8" s="807">
        <f>N8</f>
        <v>0.82499999999999996</v>
      </c>
      <c r="Z8" s="805">
        <v>2.5</v>
      </c>
      <c r="AA8" s="73">
        <f>V6</f>
        <v>0.02</v>
      </c>
      <c r="AB8" s="73">
        <v>0</v>
      </c>
      <c r="AC8" s="1261"/>
      <c r="AD8" s="2984">
        <f>AD20</f>
        <v>0.8165</v>
      </c>
      <c r="AE8" s="1262">
        <f t="shared" ca="1" si="8"/>
        <v>28.05</v>
      </c>
      <c r="AF8" s="1803">
        <v>1</v>
      </c>
      <c r="AG8" s="146">
        <f t="shared" ca="1" si="9"/>
        <v>27.05</v>
      </c>
      <c r="AH8" s="808"/>
      <c r="AI8" s="84">
        <v>365</v>
      </c>
      <c r="AJ8" s="85"/>
      <c r="AK8" s="93">
        <f>AK7</f>
        <v>0.03</v>
      </c>
      <c r="AL8" s="93">
        <f t="shared" ref="AL8" si="15">AL7</f>
        <v>2E-3</v>
      </c>
      <c r="AM8" s="93">
        <f t="shared" ref="AM8" si="16">AM7</f>
        <v>0.05</v>
      </c>
      <c r="AN8" s="2309" t="s">
        <v>3122</v>
      </c>
      <c r="AO8" s="54">
        <f t="shared" ca="1" si="11"/>
        <v>45942</v>
      </c>
      <c r="AP8" s="2310">
        <f t="shared" si="12"/>
        <v>0</v>
      </c>
      <c r="AQ8" s="54">
        <f t="shared" si="13"/>
        <v>0</v>
      </c>
      <c r="AR8" s="54">
        <f t="shared" si="14"/>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3"/>
      <c r="M9" s="74">
        <f t="shared" si="0"/>
        <v>0</v>
      </c>
      <c r="N9" s="801"/>
      <c r="O9" s="74" t="str">
        <f t="shared" si="5"/>
        <v>——</v>
      </c>
      <c r="P9" s="75" t="str">
        <f t="shared" si="6"/>
        <v>——</v>
      </c>
      <c r="Q9" s="89"/>
      <c r="R9" s="76">
        <f ca="1">SUMIF('数据-汇总表'!C$19:C$33,A9,'数据-汇总表'!R$19:R$27)</f>
        <v>0</v>
      </c>
      <c r="S9" s="53">
        <f>IF('数据-汇总表'!$I$17="按面积比例",SUMIF('数据-汇总表'!C$19:C$33,A9,'数据-汇总表'!K$19:K$33),SUMIF('数据-汇总表'!C$19:C$33,A9,'数据-汇总表'!N$19:N$33))</f>
        <v>0</v>
      </c>
      <c r="T9" s="1442">
        <f t="shared" si="7"/>
        <v>0</v>
      </c>
      <c r="U9" s="77"/>
      <c r="V9" s="78"/>
      <c r="W9" s="78"/>
      <c r="X9" s="1261"/>
      <c r="Y9" s="79"/>
      <c r="Z9" s="80"/>
      <c r="AA9" s="73"/>
      <c r="AB9" s="73"/>
      <c r="AC9" s="1261"/>
      <c r="AD9" s="81"/>
      <c r="AE9" s="1262">
        <f t="shared" ca="1" si="8"/>
        <v>0</v>
      </c>
      <c r="AF9" s="1803"/>
      <c r="AG9" s="146">
        <f t="shared" si="9"/>
        <v>0</v>
      </c>
      <c r="AH9" s="82"/>
      <c r="AI9" s="84"/>
      <c r="AJ9" s="85"/>
      <c r="AK9" s="93"/>
      <c r="AL9" s="94"/>
      <c r="AM9" s="95"/>
      <c r="AN9" s="2309"/>
      <c r="AO9" s="54" t="e">
        <f t="shared" ca="1" si="11"/>
        <v>#REF!</v>
      </c>
      <c r="AP9" s="2310">
        <f t="shared" si="12"/>
        <v>0</v>
      </c>
      <c r="AQ9" s="54">
        <f t="shared" si="13"/>
        <v>0</v>
      </c>
      <c r="AR9" s="54">
        <f t="shared" si="14"/>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3"/>
      <c r="M10" s="74">
        <f t="shared" si="0"/>
        <v>0</v>
      </c>
      <c r="N10" s="801"/>
      <c r="O10" s="74" t="str">
        <f t="shared" si="5"/>
        <v>——</v>
      </c>
      <c r="P10" s="75" t="str">
        <f t="shared" si="6"/>
        <v>——</v>
      </c>
      <c r="Q10" s="89"/>
      <c r="R10" s="76">
        <f ca="1">SUMIF('数据-汇总表'!C$19:C$33,A10,'数据-汇总表'!R$19:R$27)</f>
        <v>0</v>
      </c>
      <c r="S10" s="53">
        <f>IF('数据-汇总表'!$I$17="按面积比例",SUMIF('数据-汇总表'!C$19:C$33,A10,'数据-汇总表'!K$19:K$33),SUMIF('数据-汇总表'!C$19:C$33,A10,'数据-汇总表'!N$19:N$33))</f>
        <v>0</v>
      </c>
      <c r="T10" s="1442">
        <f t="shared" si="7"/>
        <v>0</v>
      </c>
      <c r="U10" s="77"/>
      <c r="V10" s="78"/>
      <c r="W10" s="78"/>
      <c r="X10" s="1261"/>
      <c r="Y10" s="79"/>
      <c r="Z10" s="80"/>
      <c r="AA10" s="73"/>
      <c r="AB10" s="73"/>
      <c r="AC10" s="1261"/>
      <c r="AD10" s="81"/>
      <c r="AE10" s="1262">
        <f t="shared" ca="1" si="8"/>
        <v>0</v>
      </c>
      <c r="AF10" s="1803"/>
      <c r="AG10" s="146">
        <f t="shared" si="9"/>
        <v>0</v>
      </c>
      <c r="AH10" s="82"/>
      <c r="AI10" s="84"/>
      <c r="AJ10" s="85"/>
      <c r="AK10" s="93"/>
      <c r="AL10" s="94"/>
      <c r="AM10" s="95"/>
      <c r="AN10" s="2309"/>
      <c r="AO10" s="54" t="e">
        <f t="shared" ca="1" si="11"/>
        <v>#REF!</v>
      </c>
      <c r="AP10" s="2310">
        <f t="shared" si="12"/>
        <v>0</v>
      </c>
      <c r="AQ10" s="54">
        <f t="shared" si="13"/>
        <v>0</v>
      </c>
      <c r="AR10" s="54">
        <f t="shared" si="14"/>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5"/>
        <v>——</v>
      </c>
      <c r="P11" s="75" t="str">
        <f t="shared" si="6"/>
        <v>——</v>
      </c>
      <c r="Q11" s="89"/>
      <c r="R11" s="76">
        <f ca="1">SUMIF('数据-汇总表'!C$19:C$33,A11,'数据-汇总表'!R$19:R$27)</f>
        <v>0</v>
      </c>
      <c r="S11" s="53">
        <f>IF('数据-汇总表'!$I$17="按面积比例",SUMIF('数据-汇总表'!C$19:C$33,A11,'数据-汇总表'!K$19:K$33),SUMIF('数据-汇总表'!C$19:C$33,A11,'数据-汇总表'!N$19:N$33))</f>
        <v>0</v>
      </c>
      <c r="T11" s="1442">
        <f t="shared" si="7"/>
        <v>0</v>
      </c>
      <c r="U11" s="82"/>
      <c r="V11" s="73"/>
      <c r="W11" s="73"/>
      <c r="X11" s="1261"/>
      <c r="Y11" s="79"/>
      <c r="Z11" s="92"/>
      <c r="AA11" s="73"/>
      <c r="AB11" s="73"/>
      <c r="AC11" s="1261"/>
      <c r="AD11" s="81"/>
      <c r="AE11" s="1262">
        <f t="shared" ca="1" si="8"/>
        <v>0</v>
      </c>
      <c r="AF11" s="1803"/>
      <c r="AG11" s="146">
        <f t="shared" si="9"/>
        <v>0</v>
      </c>
      <c r="AH11" s="82"/>
      <c r="AI11" s="84"/>
      <c r="AJ11" s="85"/>
      <c r="AK11" s="93"/>
      <c r="AL11" s="94"/>
      <c r="AM11" s="95"/>
      <c r="AN11" s="2309"/>
      <c r="AO11" s="54" t="e">
        <f t="shared" ca="1" si="11"/>
        <v>#REF!</v>
      </c>
      <c r="AP11" s="2310">
        <f t="shared" si="12"/>
        <v>0</v>
      </c>
      <c r="AQ11" s="54">
        <f t="shared" si="13"/>
        <v>0</v>
      </c>
      <c r="AR11" s="54">
        <f t="shared" si="14"/>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5"/>
        <v>——</v>
      </c>
      <c r="P12" s="75" t="str">
        <f t="shared" si="6"/>
        <v>——</v>
      </c>
      <c r="Q12" s="89"/>
      <c r="R12" s="76">
        <f ca="1">SUMIF('数据-汇总表'!C$19:C$33,A12,'数据-汇总表'!R$19:R$27)</f>
        <v>0</v>
      </c>
      <c r="S12" s="53">
        <f>IF('数据-汇总表'!$I$17="按面积比例",SUMIF('数据-汇总表'!C$19:C$33,A12,'数据-汇总表'!K$19:K$33),SUMIF('数据-汇总表'!C$19:C$33,A12,'数据-汇总表'!N$19:N$33))</f>
        <v>0</v>
      </c>
      <c r="T12" s="1442">
        <f t="shared" si="7"/>
        <v>0</v>
      </c>
      <c r="U12" s="82"/>
      <c r="V12" s="73"/>
      <c r="W12" s="73"/>
      <c r="X12" s="1261"/>
      <c r="Y12" s="79"/>
      <c r="Z12" s="92"/>
      <c r="AA12" s="73"/>
      <c r="AB12" s="73"/>
      <c r="AC12" s="1261"/>
      <c r="AD12" s="81"/>
      <c r="AE12" s="1262">
        <f t="shared" ca="1" si="8"/>
        <v>0</v>
      </c>
      <c r="AF12" s="1803"/>
      <c r="AG12" s="146">
        <f t="shared" si="9"/>
        <v>0</v>
      </c>
      <c r="AH12" s="82"/>
      <c r="AI12" s="84"/>
      <c r="AJ12" s="85"/>
      <c r="AK12" s="93"/>
      <c r="AL12" s="94"/>
      <c r="AM12" s="95"/>
      <c r="AN12" s="2309"/>
      <c r="AO12" s="54" t="e">
        <f t="shared" ca="1" si="11"/>
        <v>#REF!</v>
      </c>
      <c r="AP12" s="2310">
        <f t="shared" si="12"/>
        <v>0</v>
      </c>
      <c r="AQ12" s="54">
        <f t="shared" si="13"/>
        <v>0</v>
      </c>
      <c r="AR12" s="54">
        <f t="shared" si="14"/>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5"/>
        <v>——</v>
      </c>
      <c r="P13" s="75" t="str">
        <f t="shared" si="6"/>
        <v>——</v>
      </c>
      <c r="Q13" s="89"/>
      <c r="R13" s="76">
        <f ca="1">SUMIF('数据-汇总表'!C$19:C$33,A13,'数据-汇总表'!R$19:R$27)</f>
        <v>0</v>
      </c>
      <c r="S13" s="53">
        <f>IF('数据-汇总表'!$I$17="按面积比例",SUMIF('数据-汇总表'!C$19:C$33,A13,'数据-汇总表'!K$19:K$33),SUMIF('数据-汇总表'!C$19:C$33,A13,'数据-汇总表'!N$19:N$33))</f>
        <v>0</v>
      </c>
      <c r="T13" s="1442">
        <f t="shared" si="7"/>
        <v>0</v>
      </c>
      <c r="U13" s="77"/>
      <c r="V13" s="78"/>
      <c r="W13" s="78"/>
      <c r="X13" s="1261"/>
      <c r="Y13" s="79"/>
      <c r="Z13" s="80"/>
      <c r="AA13" s="73"/>
      <c r="AB13" s="73"/>
      <c r="AC13" s="1261"/>
      <c r="AD13" s="81"/>
      <c r="AE13" s="1262">
        <f t="shared" ca="1" si="8"/>
        <v>0</v>
      </c>
      <c r="AF13" s="1803"/>
      <c r="AG13" s="146">
        <f t="shared" si="9"/>
        <v>0</v>
      </c>
      <c r="AH13" s="82"/>
      <c r="AI13" s="84"/>
      <c r="AJ13" s="85"/>
      <c r="AK13" s="86"/>
      <c r="AL13" s="87"/>
      <c r="AM13" s="88"/>
      <c r="AN13" s="2309"/>
      <c r="AO13" s="54" t="e">
        <f t="shared" ca="1" si="11"/>
        <v>#REF!</v>
      </c>
      <c r="AP13" s="2310">
        <f t="shared" si="12"/>
        <v>0</v>
      </c>
      <c r="AQ13" s="54">
        <f t="shared" si="13"/>
        <v>0</v>
      </c>
      <c r="AR13" s="54">
        <f t="shared" si="14"/>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2016</v>
      </c>
      <c r="B14" s="2307" t="s">
        <v>2017</v>
      </c>
      <c r="C14" s="2312" t="s">
        <v>2016</v>
      </c>
      <c r="D14" s="1051"/>
      <c r="E14" s="1048"/>
      <c r="F14" s="71"/>
      <c r="G14" s="72"/>
      <c r="H14" s="1250"/>
      <c r="I14" s="1250"/>
      <c r="J14" s="1250"/>
      <c r="K14" s="1251">
        <f>SUMIF('数据-汇总表'!C$19:C$33,A14,'数据-汇总表'!E$19:E$33)</f>
        <v>0</v>
      </c>
      <c r="L14" s="90"/>
      <c r="M14" s="74">
        <f t="shared" si="0"/>
        <v>0</v>
      </c>
      <c r="N14" s="91"/>
      <c r="O14" s="74" t="str">
        <f t="shared" si="5"/>
        <v>——</v>
      </c>
      <c r="P14" s="75" t="str">
        <f t="shared" si="6"/>
        <v>——</v>
      </c>
      <c r="Q14" s="1254"/>
      <c r="R14" s="76"/>
      <c r="S14" s="53"/>
      <c r="T14" s="1442"/>
      <c r="U14" s="723"/>
      <c r="V14" s="1256"/>
      <c r="W14" s="1256"/>
      <c r="X14" s="1257"/>
      <c r="Y14" s="1258"/>
      <c r="Z14" s="1259"/>
      <c r="AA14" s="1260"/>
      <c r="AB14" s="1260"/>
      <c r="AC14" s="1261"/>
      <c r="AD14" s="1257"/>
      <c r="AE14" s="1262"/>
      <c r="AF14" s="54"/>
      <c r="AG14" s="146"/>
      <c r="AH14" s="1262"/>
      <c r="AI14" s="1814"/>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2018</v>
      </c>
      <c r="B15" s="2307" t="s">
        <v>2017</v>
      </c>
      <c r="C15" s="2312" t="s">
        <v>2019</v>
      </c>
      <c r="D15" s="1051"/>
      <c r="E15" s="1048"/>
      <c r="F15" s="71"/>
      <c r="G15" s="72"/>
      <c r="H15" s="1250"/>
      <c r="I15" s="1250"/>
      <c r="J15" s="1250"/>
      <c r="K15" s="1251">
        <f>SUMIF('数据-汇总表'!C$19:C$33,A15,'数据-汇总表'!E$19:E$33)</f>
        <v>0</v>
      </c>
      <c r="L15" s="1252"/>
      <c r="M15" s="74"/>
      <c r="N15" s="1253"/>
      <c r="O15" s="74"/>
      <c r="P15" s="75"/>
      <c r="Q15" s="1254"/>
      <c r="R15" s="76"/>
      <c r="S15" s="53"/>
      <c r="T15" s="1442"/>
      <c r="U15" s="723"/>
      <c r="V15" s="1256"/>
      <c r="W15" s="1256"/>
      <c r="X15" s="1257"/>
      <c r="Y15" s="1258"/>
      <c r="Z15" s="1259"/>
      <c r="AA15" s="1260"/>
      <c r="AB15" s="1260"/>
      <c r="AC15" s="1261"/>
      <c r="AD15" s="1257"/>
      <c r="AE15" s="1262"/>
      <c r="AF15" s="54"/>
      <c r="AG15" s="146"/>
      <c r="AH15" s="1262"/>
      <c r="AI15" s="1814"/>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2020</v>
      </c>
      <c r="B16" s="96"/>
      <c r="C16" s="1005"/>
      <c r="D16" s="2314"/>
      <c r="E16" s="96"/>
      <c r="F16" s="96"/>
      <c r="G16" s="97">
        <f>ROUND(SUMPRODUCT(G6:G13,K6:K13)/SUMPRODUCT((G6:G13&gt;0)*(K6:K13)),3)</f>
        <v>0.88200000000000001</v>
      </c>
      <c r="H16" s="98">
        <f>ROUND(SUMPRODUCT(H6:H13,K6:K13)/SUMPRODUCT((H6:H13&gt;0)*(K6:K13)),3)</f>
        <v>5.5E-2</v>
      </c>
      <c r="I16" s="99"/>
      <c r="J16" s="99"/>
      <c r="K16" s="100">
        <f>SUM(K6:K15)</f>
        <v>116944.15</v>
      </c>
      <c r="L16" s="101">
        <f>ROUND(M16*10000/SUM(K6:K14),0)</f>
        <v>4500</v>
      </c>
      <c r="M16" s="101">
        <f>SUM(M6:M14)</f>
        <v>52625</v>
      </c>
      <c r="N16" s="102">
        <f>ROUND(SUMPRODUCT(M6:M14,N6:N14)/M16,3)</f>
        <v>0.82499999999999996</v>
      </c>
      <c r="O16" s="101">
        <f>SUM(O6:O14)</f>
        <v>0</v>
      </c>
      <c r="P16" s="101">
        <f>SUM(P6:P14)</f>
        <v>0</v>
      </c>
      <c r="Q16" s="103">
        <f>ROUND(SUMPRODUCT(Q6:Q13,K6:K13)/SUMPRODUCT((Q6:Q13&gt;0)*(K6:K13)),2)</f>
        <v>0.2</v>
      </c>
      <c r="R16" s="1255">
        <f ca="1">SUM(R6:R13)</f>
        <v>138145.20000000001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2021</v>
      </c>
      <c r="B18" s="2280"/>
      <c r="C18" s="2277"/>
      <c r="D18" s="2278"/>
      <c r="E18" s="2277"/>
      <c r="F18" s="2277"/>
      <c r="G18" s="2277"/>
      <c r="H18" s="2277"/>
      <c r="I18" s="2277"/>
      <c r="J18" s="2277"/>
      <c r="K18" s="168"/>
      <c r="L18" s="168"/>
      <c r="M18" s="1580"/>
      <c r="N18" s="1580">
        <v>1999</v>
      </c>
      <c r="O18" s="2966">
        <f>(1999-2017)/60+1</f>
        <v>0.7</v>
      </c>
      <c r="P18" s="1580"/>
      <c r="Q18" s="1580"/>
      <c r="R18" s="1580"/>
      <c r="S18" s="1580"/>
      <c r="T18" s="1580"/>
      <c r="U18" s="1580"/>
      <c r="V18" s="1580"/>
      <c r="W18" s="1580"/>
      <c r="X18" s="1580"/>
      <c r="Y18" s="1580"/>
      <c r="Z18" s="1580"/>
      <c r="AA18" s="1580"/>
      <c r="AB18" s="1580"/>
      <c r="AC18" s="1580"/>
      <c r="AD18" s="2966">
        <v>0.68300000000000005</v>
      </c>
      <c r="AE18" s="1580"/>
      <c r="AF18" s="1580"/>
      <c r="AG18" s="1580"/>
      <c r="AH18" s="1580"/>
      <c r="AI18" s="1580"/>
      <c r="AJ18" s="1580"/>
      <c r="AK18" s="1580"/>
      <c r="AL18" s="1580"/>
      <c r="AM18" s="1580"/>
    </row>
    <row r="19" spans="1:67" ht="14.25">
      <c r="A19" s="2316" t="s">
        <v>2022</v>
      </c>
      <c r="B19" s="111">
        <v>0</v>
      </c>
      <c r="C19" s="2277" t="s">
        <v>2023</v>
      </c>
      <c r="D19" s="2278"/>
      <c r="E19" s="2277"/>
      <c r="F19" s="2277"/>
      <c r="G19" s="2277"/>
      <c r="H19" s="2277"/>
      <c r="I19" s="2277"/>
      <c r="J19" s="2277"/>
      <c r="K19" s="168"/>
      <c r="L19" s="168"/>
      <c r="M19" s="1580"/>
      <c r="N19" s="1580"/>
      <c r="O19" s="2967">
        <v>0.95</v>
      </c>
      <c r="P19" s="1580"/>
      <c r="Q19" s="1580"/>
      <c r="R19" s="1580"/>
      <c r="S19" s="1580"/>
      <c r="T19" s="1580"/>
      <c r="U19" s="1580"/>
      <c r="V19" s="1580"/>
      <c r="W19" s="1580"/>
      <c r="X19" s="1580"/>
      <c r="Y19" s="1580"/>
      <c r="Z19" s="1580"/>
      <c r="AA19" s="1580"/>
      <c r="AB19" s="1580"/>
      <c r="AC19" s="1580"/>
      <c r="AD19" s="2967">
        <v>0.95</v>
      </c>
      <c r="AE19" s="1580"/>
      <c r="AF19" s="1580"/>
      <c r="AG19" s="1580"/>
      <c r="AH19" s="1580"/>
      <c r="AI19" s="1580"/>
      <c r="AJ19" s="1580"/>
      <c r="AK19" s="1580"/>
      <c r="AL19" s="1580"/>
      <c r="AM19" s="1580"/>
    </row>
    <row r="20" spans="1:67" ht="14.25">
      <c r="A20" s="2317" t="s">
        <v>2024</v>
      </c>
      <c r="B20" s="112">
        <v>3</v>
      </c>
      <c r="C20" s="2277" t="s">
        <v>2025</v>
      </c>
      <c r="D20" s="2278"/>
      <c r="E20" s="2277"/>
      <c r="F20" s="2277"/>
      <c r="G20" s="2277"/>
      <c r="H20" s="2277"/>
      <c r="I20" s="2277"/>
      <c r="J20" s="2277"/>
      <c r="K20" s="168"/>
      <c r="L20" s="168"/>
      <c r="M20" s="1580"/>
      <c r="N20" s="1580"/>
      <c r="O20" s="2966">
        <f>(O19+O18)/2</f>
        <v>0.82499999999999996</v>
      </c>
      <c r="P20" s="1580"/>
      <c r="Q20" s="1580"/>
      <c r="R20" s="1580"/>
      <c r="S20" s="1580"/>
      <c r="T20" s="1580"/>
      <c r="U20" s="1580"/>
      <c r="V20" s="1580"/>
      <c r="W20" s="1580"/>
      <c r="X20" s="1580"/>
      <c r="Y20" s="1580"/>
      <c r="Z20" s="1580"/>
      <c r="AA20" s="1580"/>
      <c r="AB20" s="1580"/>
      <c r="AC20" s="1580"/>
      <c r="AD20" s="2966">
        <f>(AD19+AD18)/2</f>
        <v>0.8165</v>
      </c>
      <c r="AE20" s="1580"/>
      <c r="AF20" s="1580"/>
      <c r="AG20" s="1580"/>
      <c r="AH20" s="1580"/>
      <c r="AI20" s="1580"/>
      <c r="AJ20" s="1580"/>
      <c r="AK20" s="1580"/>
      <c r="AL20" s="1580"/>
      <c r="AM20" s="1580"/>
    </row>
    <row r="21" spans="1:67" ht="14.25">
      <c r="A21" s="2318" t="s">
        <v>2026</v>
      </c>
      <c r="B21" s="112">
        <f>B20</f>
        <v>3</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2027</v>
      </c>
      <c r="B22" s="113">
        <f>B19+B20</f>
        <v>3</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2028</v>
      </c>
      <c r="B23" s="113">
        <f>B19+B21</f>
        <v>3</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2029</v>
      </c>
      <c r="B24" s="114">
        <f>B20-B21</f>
        <v>0</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2030</v>
      </c>
      <c r="B26" s="2320" t="s">
        <v>2031</v>
      </c>
      <c r="C26" s="2321" t="s">
        <v>2032</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2033</v>
      </c>
      <c r="B27" s="115"/>
      <c r="C27" s="1763" t="s">
        <v>2034</v>
      </c>
      <c r="D27" s="2323"/>
      <c r="E27" s="1426"/>
      <c r="F27" s="1426"/>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2035</v>
      </c>
      <c r="B28" s="118">
        <v>220</v>
      </c>
      <c r="C28" s="2326"/>
      <c r="D28" s="2323"/>
      <c r="E28" s="1426"/>
      <c r="F28" s="1426"/>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2036</v>
      </c>
      <c r="B29" s="120">
        <f ca="1">成本法!C10</f>
        <v>2573</v>
      </c>
      <c r="C29" s="1763" t="s">
        <v>2037</v>
      </c>
      <c r="D29" s="2323"/>
      <c r="E29" s="1426"/>
      <c r="F29" s="1426"/>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2038</v>
      </c>
      <c r="B30" s="724">
        <v>200</v>
      </c>
      <c r="C30" s="2326"/>
      <c r="D30" s="2323"/>
      <c r="E30" s="1426"/>
      <c r="F30" s="1426"/>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2039</v>
      </c>
      <c r="B31" s="119">
        <f>B30-B32</f>
        <v>200</v>
      </c>
      <c r="C31" s="1763"/>
      <c r="D31" s="2323"/>
      <c r="E31" s="1426"/>
      <c r="F31" s="1426"/>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2040</v>
      </c>
      <c r="B32" s="725"/>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2041</v>
      </c>
      <c r="B33" s="726">
        <v>0.03</v>
      </c>
      <c r="C33" s="1762" t="s">
        <v>2042</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2043</v>
      </c>
      <c r="B34" s="121">
        <v>0.05</v>
      </c>
      <c r="C34" s="1762" t="s">
        <v>2044</v>
      </c>
      <c r="D34" s="2278" t="s">
        <v>2045</v>
      </c>
      <c r="E34" s="732"/>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2046</v>
      </c>
      <c r="B35" s="118">
        <v>200</v>
      </c>
      <c r="C35" s="1762" t="s">
        <v>2047</v>
      </c>
      <c r="D35" s="2323"/>
      <c r="E35" s="1426"/>
      <c r="F35" s="1426"/>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2048</v>
      </c>
      <c r="B36" s="122">
        <v>1.4999999999999999E-2</v>
      </c>
      <c r="C36" s="1762" t="s">
        <v>2049</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2050</v>
      </c>
      <c r="B37" s="123">
        <v>0.03</v>
      </c>
      <c r="C37" s="1762" t="s">
        <v>2051</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2052</v>
      </c>
      <c r="B38" s="121">
        <v>0.03</v>
      </c>
      <c r="C38" s="1762" t="s">
        <v>2051</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2053</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2054</v>
      </c>
      <c r="B40" s="1300">
        <f ca="1">存贷款利率!G1</f>
        <v>4.7500000000000001E-2</v>
      </c>
      <c r="C40" s="1762" t="s">
        <v>2055</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2056</v>
      </c>
      <c r="B41" s="124">
        <f>B42+B43</f>
        <v>6.0499999999999998E-2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2057</v>
      </c>
      <c r="B42" s="125">
        <v>5.5E-2</v>
      </c>
      <c r="C42" s="2331">
        <f>IF(B2&lt;DATE(2016,5,1),0,B42)</f>
        <v>5.5E-2</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2058</v>
      </c>
      <c r="B43" s="126">
        <f>B42*(B44+B45+B46)+B47</f>
        <v>5.5000000000000005E-3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2059</v>
      </c>
      <c r="B44" s="127">
        <v>0.05</v>
      </c>
      <c r="C44" s="1762" t="s">
        <v>2060</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2061</v>
      </c>
      <c r="B45" s="125">
        <v>0.03</v>
      </c>
      <c r="C45" s="1763" t="s">
        <v>2062</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2063</v>
      </c>
      <c r="B46" s="125">
        <v>0.02</v>
      </c>
      <c r="C46" s="1763" t="s">
        <v>2064</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2065</v>
      </c>
      <c r="B47" s="128"/>
      <c r="C47" s="1763" t="s">
        <v>2066</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2067</v>
      </c>
      <c r="B48" s="129">
        <v>0.03</v>
      </c>
      <c r="C48" s="1770" t="s">
        <v>2068</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2069</v>
      </c>
      <c r="B49" s="125">
        <v>5.0000000000000001E-4</v>
      </c>
      <c r="C49" s="1770" t="s">
        <v>2070</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2071</v>
      </c>
      <c r="B50" s="130">
        <v>1.2E-2</v>
      </c>
      <c r="C50" s="1426"/>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2072</v>
      </c>
      <c r="B51" s="131">
        <v>0.12</v>
      </c>
      <c r="C51" s="1426"/>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2073</v>
      </c>
      <c r="B52" s="132">
        <f>SUMIF(A54:A63,B53,B54:B63)</f>
        <v>1.5</v>
      </c>
      <c r="C52" s="1426"/>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2074</v>
      </c>
      <c r="B53" s="2336" t="s">
        <v>56</v>
      </c>
      <c r="C53" s="1426" t="s">
        <v>2075</v>
      </c>
      <c r="D53" s="2337" t="s">
        <v>2076</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2077</v>
      </c>
      <c r="B54" s="83"/>
      <c r="C54" s="1426">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2078</v>
      </c>
      <c r="B55" s="83"/>
      <c r="C55" s="1426">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2079</v>
      </c>
      <c r="B56" s="83"/>
      <c r="C56" s="1426">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2080</v>
      </c>
      <c r="B57" s="83"/>
      <c r="C57" s="1426">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2081</v>
      </c>
      <c r="B58" s="83"/>
      <c r="C58" s="1426">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2082</v>
      </c>
      <c r="B59" s="83">
        <v>1.5</v>
      </c>
      <c r="C59" s="1426">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2083</v>
      </c>
      <c r="B60" s="83"/>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2084</v>
      </c>
      <c r="B61" s="83"/>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2085</v>
      </c>
      <c r="B62" s="83"/>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2086</v>
      </c>
      <c r="B63" s="133"/>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D29" sqref="D29"/>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76" t="s">
        <v>2087</v>
      </c>
      <c r="B1" s="3077"/>
      <c r="C1" s="3077"/>
      <c r="D1" s="3077"/>
      <c r="E1" s="3077"/>
      <c r="F1" s="3077"/>
      <c r="G1" s="307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42.75">
      <c r="A3" s="415" t="s">
        <v>2090</v>
      </c>
      <c r="B3" s="1268" t="s">
        <v>2091</v>
      </c>
      <c r="C3" s="2370"/>
      <c r="D3" s="2371"/>
      <c r="E3" s="431" t="s">
        <v>2090</v>
      </c>
      <c r="F3" s="2372" t="s">
        <v>2092</v>
      </c>
      <c r="G3" s="2373" t="s">
        <v>2093</v>
      </c>
      <c r="H3" s="2368"/>
      <c r="I3" s="2368"/>
      <c r="J3" s="2368"/>
      <c r="K3" s="2368"/>
      <c r="L3" s="2368"/>
      <c r="M3" s="2368"/>
      <c r="N3" s="2368"/>
      <c r="O3" s="2368"/>
      <c r="P3" s="2368"/>
      <c r="Q3" s="2368"/>
      <c r="R3" s="2368"/>
    </row>
    <row r="4" spans="1:29" ht="54">
      <c r="A4" s="431"/>
      <c r="B4" s="1794" t="s">
        <v>2094</v>
      </c>
      <c r="C4" s="2960" t="s">
        <v>3095</v>
      </c>
      <c r="D4" s="2371"/>
      <c r="E4" s="2375"/>
      <c r="F4" s="41" t="s">
        <v>2095</v>
      </c>
      <c r="G4" s="2376" t="s">
        <v>2096</v>
      </c>
      <c r="H4" s="2368"/>
      <c r="I4" s="2368"/>
      <c r="J4" s="2368"/>
      <c r="K4" s="2368"/>
      <c r="L4" s="2368"/>
      <c r="M4" s="2368"/>
      <c r="N4" s="2368"/>
      <c r="O4" s="2368"/>
      <c r="P4" s="2368"/>
      <c r="Q4" s="2368"/>
      <c r="R4" s="2368"/>
    </row>
    <row r="5" spans="1:29" ht="27">
      <c r="A5" s="431"/>
      <c r="B5" s="1794" t="s">
        <v>2097</v>
      </c>
      <c r="C5" s="2374"/>
      <c r="D5" s="2371"/>
      <c r="E5" s="2375"/>
      <c r="F5" s="1794" t="s">
        <v>2098</v>
      </c>
      <c r="G5" s="2376" t="s">
        <v>2099</v>
      </c>
      <c r="H5" s="2368"/>
      <c r="I5" s="2368"/>
      <c r="J5" s="2368"/>
      <c r="K5" s="2368"/>
      <c r="L5" s="2368"/>
      <c r="M5" s="2368"/>
      <c r="N5" s="2368"/>
      <c r="O5" s="2368"/>
      <c r="P5" s="2368"/>
      <c r="Q5" s="2368"/>
      <c r="R5" s="2368"/>
    </row>
    <row r="6" spans="1:29" ht="67.5">
      <c r="A6" s="431"/>
      <c r="B6" s="1794" t="s">
        <v>2100</v>
      </c>
      <c r="C6" s="2959" t="s">
        <v>3092</v>
      </c>
      <c r="D6" s="2371"/>
      <c r="E6" s="2375"/>
      <c r="F6" s="1794" t="s">
        <v>2101</v>
      </c>
      <c r="G6" s="2376" t="s">
        <v>2102</v>
      </c>
      <c r="H6" s="2368"/>
      <c r="I6" s="2368"/>
      <c r="J6" s="2368"/>
      <c r="K6" s="2368"/>
      <c r="L6" s="2368"/>
      <c r="M6" s="2368"/>
      <c r="N6" s="2368"/>
      <c r="O6" s="2368"/>
      <c r="P6" s="2368"/>
      <c r="Q6" s="2368"/>
      <c r="R6" s="2368"/>
    </row>
    <row r="7" spans="1:29" ht="68.25" thickBot="1">
      <c r="A7" s="431"/>
      <c r="B7" s="1794" t="s">
        <v>2098</v>
      </c>
      <c r="C7" s="2959" t="s">
        <v>3096</v>
      </c>
      <c r="D7" s="2377"/>
      <c r="E7" s="2378"/>
      <c r="F7" s="2379" t="s">
        <v>2103</v>
      </c>
      <c r="G7" s="2380" t="s">
        <v>2104</v>
      </c>
      <c r="H7" s="2368"/>
      <c r="I7" s="2368"/>
      <c r="J7" s="2368"/>
      <c r="K7" s="2368"/>
      <c r="L7" s="2368"/>
      <c r="M7" s="2368"/>
      <c r="N7" s="2368"/>
      <c r="O7" s="2368"/>
      <c r="P7" s="2368"/>
      <c r="Q7" s="2368"/>
      <c r="R7" s="2368"/>
    </row>
    <row r="8" spans="1:29" ht="27">
      <c r="A8" s="431"/>
      <c r="B8" s="1794" t="s">
        <v>2101</v>
      </c>
      <c r="C8" s="2959" t="s">
        <v>3097</v>
      </c>
      <c r="D8" s="2377"/>
      <c r="E8" s="2377"/>
      <c r="F8" s="1133"/>
      <c r="G8" s="1133"/>
      <c r="H8" s="2368"/>
      <c r="I8" s="2368"/>
      <c r="J8" s="2368"/>
      <c r="K8" s="2368"/>
      <c r="L8" s="2368"/>
      <c r="M8" s="2368"/>
      <c r="N8" s="2368"/>
      <c r="O8" s="2368"/>
      <c r="P8" s="2368"/>
      <c r="Q8" s="2368"/>
      <c r="R8" s="2368"/>
    </row>
    <row r="9" spans="1:29" ht="40.5">
      <c r="A9" s="431"/>
      <c r="B9" s="1794" t="s">
        <v>2105</v>
      </c>
      <c r="C9" s="2960" t="s">
        <v>3099</v>
      </c>
      <c r="D9" s="2371"/>
      <c r="E9" s="2377"/>
      <c r="F9" s="1133"/>
      <c r="G9" s="1133"/>
      <c r="H9" s="2368"/>
      <c r="I9" s="2368"/>
      <c r="J9" s="2368"/>
      <c r="K9" s="2368"/>
      <c r="L9" s="2368"/>
      <c r="M9" s="2368"/>
      <c r="N9" s="2368"/>
      <c r="O9" s="2368"/>
      <c r="P9" s="2368"/>
      <c r="Q9" s="2368"/>
      <c r="R9" s="2368"/>
    </row>
    <row r="10" spans="1:29" s="116" customFormat="1" ht="15.75" thickBot="1">
      <c r="A10" s="2381"/>
      <c r="B10" s="2382" t="s">
        <v>2106</v>
      </c>
      <c r="C10" s="2961" t="s">
        <v>3100</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6" customFormat="1" ht="15">
      <c r="A11" s="2386"/>
      <c r="B11" s="2377"/>
      <c r="C11" s="2371"/>
      <c r="D11" s="2371"/>
      <c r="E11" s="2371"/>
      <c r="F11" s="2377"/>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2107</v>
      </c>
      <c r="B13" s="2387"/>
      <c r="C13" s="2387"/>
      <c r="D13" s="2394"/>
      <c r="E13" s="2387"/>
      <c r="F13" s="2387"/>
      <c r="G13" s="2387"/>
    </row>
    <row r="14" spans="1:29" ht="15.75" thickBot="1">
      <c r="A14" s="2398"/>
      <c r="B14" s="2399"/>
      <c r="C14" s="2400" t="s">
        <v>2108</v>
      </c>
      <c r="D14" s="2371"/>
      <c r="E14" s="2401"/>
      <c r="F14" s="2401"/>
      <c r="G14" s="2365" t="s">
        <v>2109</v>
      </c>
    </row>
    <row r="15" spans="1:29" ht="42.75">
      <c r="A15" s="67" t="s">
        <v>2110</v>
      </c>
      <c r="B15" s="1267" t="s">
        <v>2091</v>
      </c>
      <c r="C15" s="2402">
        <f>C3</f>
        <v>0</v>
      </c>
      <c r="D15" s="2371"/>
      <c r="E15" s="2403" t="s">
        <v>2111</v>
      </c>
      <c r="F15" s="1267" t="s">
        <v>2112</v>
      </c>
      <c r="G15" s="134" t="str">
        <f>G3</f>
        <v>估价对象位于XX开发区，园区建设成熟度XX，产业集聚程度XX</v>
      </c>
    </row>
    <row r="16" spans="1:29" ht="57">
      <c r="A16" s="645"/>
      <c r="B16" s="2404" t="s">
        <v>2094</v>
      </c>
      <c r="C16" s="2405" t="str">
        <f>C4</f>
        <v>估价对象周边有麒麟商业中心、荔隆广场，周边商业氛围一般，人流量一般，商业繁华度一般</v>
      </c>
      <c r="D16" s="2371"/>
      <c r="E16" s="2406"/>
      <c r="F16" s="2407" t="s">
        <v>2095</v>
      </c>
      <c r="G16" s="135" t="str">
        <f>G4</f>
        <v>估价对象周边道路状况、公共交通通达情况、停车便捷程度，综合评价交通便捷度较好</v>
      </c>
    </row>
    <row r="17" spans="1:18" ht="15">
      <c r="A17" s="645"/>
      <c r="B17" s="2404" t="s">
        <v>2097</v>
      </c>
      <c r="C17" s="2405">
        <f>C5</f>
        <v>0</v>
      </c>
      <c r="D17" s="2377"/>
      <c r="E17" s="2406"/>
      <c r="F17" s="2407" t="s">
        <v>2113</v>
      </c>
      <c r="G17" s="1568"/>
    </row>
    <row r="18" spans="1:18" ht="71.25">
      <c r="A18" s="645"/>
      <c r="B18" s="2407" t="s">
        <v>2100</v>
      </c>
      <c r="C18" s="135" t="str">
        <f>C6</f>
        <v>估价对象周边有737路、武清3路，公交便捷度一般，路网密集程度一般，停车较便捷，综合评价交通便捷度一般。</v>
      </c>
      <c r="D18" s="2377"/>
      <c r="E18" s="2406"/>
      <c r="F18" s="2407" t="s">
        <v>2103</v>
      </c>
      <c r="G18" s="135" t="str">
        <f>G7</f>
        <v>该园区内是否有污染型企业，绿化情况，卫生条件，整体环境状况判断</v>
      </c>
    </row>
    <row r="19" spans="1:18" ht="28.5">
      <c r="A19" s="645"/>
      <c r="B19" s="2407" t="s">
        <v>2114</v>
      </c>
      <c r="C19" s="2962" t="s">
        <v>3101</v>
      </c>
      <c r="D19" s="2371"/>
      <c r="E19" s="2406"/>
      <c r="F19" s="1794" t="s">
        <v>2098</v>
      </c>
      <c r="G19" s="135" t="str">
        <f>G5</f>
        <v>估价对象所在区域公共配套设施齐备情况</v>
      </c>
    </row>
    <row r="20" spans="1:18" ht="42.75">
      <c r="A20" s="645"/>
      <c r="B20" s="2407" t="s">
        <v>2115</v>
      </c>
      <c r="C20" s="2405" t="str">
        <f>C9</f>
        <v>区域自然环境：水系：京杭运河；人文环境；综合评价环境状况一般</v>
      </c>
      <c r="D20" s="2377"/>
      <c r="E20" s="2406"/>
      <c r="F20" s="1794" t="s">
        <v>2116</v>
      </c>
      <c r="G20" s="135" t="str">
        <f>G6</f>
        <v>估价对象所在区域基础设施水平</v>
      </c>
    </row>
    <row r="21" spans="1:18" ht="71.25">
      <c r="A21" s="645"/>
      <c r="B21" s="1794" t="s">
        <v>2098</v>
      </c>
      <c r="C21" s="135" t="str">
        <f>C7</f>
        <v>估价对象所在区域公共配套设施较齐备，有购物（麒麟商业中心）、有医院（武清区徐官屯医院）、有银行（天津农村商业银行）</v>
      </c>
      <c r="D21" s="2371"/>
      <c r="E21" s="2406"/>
      <c r="F21" s="2407" t="s">
        <v>2117</v>
      </c>
      <c r="G21" s="2408"/>
    </row>
    <row r="22" spans="1:18" ht="13.5" customHeight="1">
      <c r="A22" s="645"/>
      <c r="B22" s="1794" t="s">
        <v>2101</v>
      </c>
      <c r="C22" s="135" t="str">
        <f>C8</f>
        <v>估价对象所在区域基础设施水平：七通</v>
      </c>
      <c r="D22" s="2371"/>
      <c r="E22" s="2406"/>
      <c r="F22" s="2407" t="s">
        <v>2106</v>
      </c>
      <c r="G22" s="1568"/>
    </row>
    <row r="23" spans="1:18" s="2368" customFormat="1" ht="15.75" thickBot="1">
      <c r="A23" s="645"/>
      <c r="B23" s="2407" t="s">
        <v>2117</v>
      </c>
      <c r="C23" s="2408" t="s">
        <v>3102</v>
      </c>
      <c r="D23" s="2395"/>
      <c r="E23" s="2409"/>
      <c r="F23" s="2410" t="s">
        <v>2118</v>
      </c>
      <c r="G23" s="2411"/>
      <c r="H23" s="2395"/>
      <c r="I23" s="2396"/>
      <c r="J23" s="2395"/>
      <c r="K23" s="2395"/>
      <c r="L23" s="2396"/>
      <c r="M23" s="2395"/>
      <c r="N23" s="2395"/>
      <c r="O23" s="2396"/>
      <c r="P23" s="2395"/>
      <c r="Q23" s="2395"/>
      <c r="R23" s="2397"/>
    </row>
    <row r="24" spans="1:18" s="2368" customFormat="1" ht="15.75" thickBot="1">
      <c r="A24" s="2412"/>
      <c r="B24" s="2410" t="s">
        <v>2119</v>
      </c>
      <c r="C24" s="136" t="str">
        <f>C10</f>
        <v>城市支路－福源道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37" customWidth="1"/>
    <col min="2" max="9" width="15.75" style="1737" customWidth="1"/>
    <col min="10" max="16384" width="9" style="1737"/>
  </cols>
  <sheetData>
    <row r="1" spans="1:10" ht="16.5">
      <c r="A1" s="1742" t="s">
        <v>1366</v>
      </c>
      <c r="B1" s="1742">
        <f>SUM(B14:B23)</f>
        <v>116944.15</v>
      </c>
      <c r="C1" s="1741"/>
      <c r="D1" s="1741"/>
      <c r="E1" s="1741"/>
      <c r="F1" s="1741"/>
      <c r="G1" s="1739"/>
    </row>
    <row r="2" spans="1:10" ht="16.5">
      <c r="A2" s="1742" t="s">
        <v>1354</v>
      </c>
      <c r="B2" s="1742">
        <f>SUM(C14:C23)</f>
        <v>138145.20000000001</v>
      </c>
      <c r="C2" s="1741"/>
      <c r="D2" s="1741"/>
      <c r="E2" s="1741"/>
      <c r="F2" s="1741"/>
      <c r="G2" s="1739"/>
    </row>
    <row r="3" spans="1:10" ht="16.5">
      <c r="A3" s="1742" t="s">
        <v>1363</v>
      </c>
      <c r="B3" s="1743">
        <f>项目基本情况!D3</f>
        <v>43070</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117820</v>
      </c>
      <c r="C5" s="1742">
        <f ca="1">ROUND(B5*10000/$B$1,0)</f>
        <v>10075</v>
      </c>
      <c r="D5" s="1742">
        <f ca="1">ROUND(B5*10000/$B$2,0)</f>
        <v>8529</v>
      </c>
      <c r="E5" s="1741"/>
      <c r="F5" s="1739"/>
      <c r="G5" s="1739"/>
    </row>
    <row r="6" spans="1:10" ht="16.5">
      <c r="A6" s="1742" t="s">
        <v>1357</v>
      </c>
      <c r="B6" s="1742">
        <f ca="1">SUM(G14:G23)</f>
        <v>117820</v>
      </c>
      <c r="C6" s="1742">
        <f ca="1">ROUND(B6*10000/$B$1,0)</f>
        <v>10075</v>
      </c>
      <c r="D6" s="1742">
        <f ca="1">ROUND(B6*10000/$B$2,0)</f>
        <v>8529</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'数据-汇总表'!E3</f>
        <v>116944.15</v>
      </c>
      <c r="C14" s="1740">
        <f>'数据-汇总表'!D3</f>
        <v>138145.20000000001</v>
      </c>
      <c r="D14" s="1740">
        <f ca="1">结果表!H118</f>
        <v>117820</v>
      </c>
      <c r="E14" s="1740">
        <f ca="1">ROUND(D14*10000/B14,0)</f>
        <v>10075</v>
      </c>
      <c r="F14" s="1740">
        <f ca="1">ROUND(D14*10000/C14,0)</f>
        <v>8529</v>
      </c>
      <c r="G14" s="1740">
        <f ca="1">结果表!D122</f>
        <v>117820</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7" zoomScaleNormal="100" zoomScaleSheetLayoutView="100" zoomScalePageLayoutView="80" workbookViewId="0">
      <selection activeCell="E113" sqref="E113:H11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2120</v>
      </c>
      <c r="B1" s="2418"/>
      <c r="C1" s="2419"/>
      <c r="D1" s="2418"/>
      <c r="E1" s="2418"/>
      <c r="F1" s="2420" t="s">
        <v>2121</v>
      </c>
      <c r="G1" s="2070" t="s">
        <v>3070</v>
      </c>
      <c r="H1" s="2421" t="str">
        <f>IF(G1="现房","——","估价对象范围")</f>
        <v>——</v>
      </c>
      <c r="I1" s="2422"/>
    </row>
    <row r="2" spans="1:12" ht="21.75" customHeight="1" thickBot="1">
      <c r="A2" s="3111" t="str">
        <f>项目基本情况!S2</f>
        <v>房地产</v>
      </c>
      <c r="B2" s="3112"/>
      <c r="C2" s="3112"/>
      <c r="D2" s="3112"/>
      <c r="E2" s="3112"/>
      <c r="F2" s="3112"/>
      <c r="G2" s="3112"/>
      <c r="H2" s="3112"/>
      <c r="I2" s="3113"/>
    </row>
    <row r="3" spans="1:12" ht="12.75">
      <c r="A3" s="3115" t="s">
        <v>2122</v>
      </c>
      <c r="B3" s="3116"/>
      <c r="C3" s="3116"/>
      <c r="D3" s="3116"/>
      <c r="E3" s="3116"/>
      <c r="F3" s="3116"/>
      <c r="G3" s="3116"/>
      <c r="H3" s="3116"/>
      <c r="I3" s="3116"/>
    </row>
    <row r="4" spans="1:12" ht="14.25">
      <c r="A4" s="2425" t="s">
        <v>2123</v>
      </c>
      <c r="B4" s="2426" t="s">
        <v>2124</v>
      </c>
      <c r="C4" s="2427" t="s">
        <v>3071</v>
      </c>
      <c r="D4" s="2427" t="s">
        <v>3074</v>
      </c>
      <c r="E4" s="3108" t="s">
        <v>2125</v>
      </c>
      <c r="F4" s="3109"/>
      <c r="G4" s="3109"/>
      <c r="H4" s="3109"/>
      <c r="I4" s="3117"/>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1" t="s">
        <v>2126</v>
      </c>
      <c r="B5" s="3029">
        <v>25</v>
      </c>
      <c r="C5" s="3094">
        <v>24</v>
      </c>
      <c r="D5" s="3114">
        <v>24</v>
      </c>
      <c r="E5" s="139" t="s">
        <v>2127</v>
      </c>
      <c r="F5" s="2429"/>
      <c r="G5" s="2429"/>
      <c r="H5" s="2429"/>
      <c r="I5" s="1830"/>
    </row>
    <row r="6" spans="1:12" ht="12.75">
      <c r="A6" s="3091"/>
      <c r="B6" s="3029"/>
      <c r="C6" s="3095"/>
      <c r="D6" s="3114"/>
      <c r="E6" s="139" t="s">
        <v>2128</v>
      </c>
      <c r="F6" s="2429"/>
      <c r="G6" s="2429"/>
      <c r="H6" s="2429"/>
      <c r="I6" s="1830"/>
    </row>
    <row r="7" spans="1:12" ht="12.75">
      <c r="A7" s="3091"/>
      <c r="B7" s="3029"/>
      <c r="C7" s="3096"/>
      <c r="D7" s="3114"/>
      <c r="E7" s="139" t="s">
        <v>2129</v>
      </c>
      <c r="F7" s="2429"/>
      <c r="G7" s="2429"/>
      <c r="H7" s="2429"/>
      <c r="I7" s="1830"/>
    </row>
    <row r="8" spans="1:12" ht="12.75">
      <c r="A8" s="3091" t="s">
        <v>2130</v>
      </c>
      <c r="B8" s="3029">
        <v>15</v>
      </c>
      <c r="C8" s="3094">
        <v>14</v>
      </c>
      <c r="D8" s="3114">
        <f>C8</f>
        <v>14</v>
      </c>
      <c r="E8" s="139" t="s">
        <v>2131</v>
      </c>
      <c r="F8" s="2429"/>
      <c r="G8" s="2429"/>
      <c r="H8" s="2429"/>
      <c r="I8" s="1830"/>
    </row>
    <row r="9" spans="1:12" ht="12.75">
      <c r="A9" s="3091"/>
      <c r="B9" s="3029"/>
      <c r="C9" s="3096"/>
      <c r="D9" s="3114"/>
      <c r="E9" s="139" t="s">
        <v>2132</v>
      </c>
      <c r="F9" s="2429"/>
      <c r="G9" s="2429"/>
      <c r="H9" s="2429"/>
      <c r="I9" s="1830"/>
    </row>
    <row r="10" spans="1:12" ht="12.75" customHeight="1">
      <c r="A10" s="3091" t="s">
        <v>2133</v>
      </c>
      <c r="B10" s="3029">
        <v>15</v>
      </c>
      <c r="C10" s="3094">
        <f>C8</f>
        <v>14</v>
      </c>
      <c r="D10" s="3114">
        <f t="shared" ref="D10" si="0">C10</f>
        <v>14</v>
      </c>
      <c r="E10" s="139" t="s">
        <v>2134</v>
      </c>
      <c r="F10" s="2429"/>
      <c r="G10" s="2429"/>
      <c r="H10" s="2429"/>
      <c r="I10" s="1830"/>
    </row>
    <row r="11" spans="1:12" ht="12.75" customHeight="1">
      <c r="A11" s="3091"/>
      <c r="B11" s="3029"/>
      <c r="C11" s="3096"/>
      <c r="D11" s="3114"/>
      <c r="E11" s="139" t="s">
        <v>2135</v>
      </c>
      <c r="F11" s="2429"/>
      <c r="G11" s="2429"/>
      <c r="H11" s="2429"/>
      <c r="I11" s="1830"/>
    </row>
    <row r="12" spans="1:12" ht="12.75" customHeight="1">
      <c r="A12" s="3091" t="s">
        <v>2136</v>
      </c>
      <c r="B12" s="3029">
        <v>15</v>
      </c>
      <c r="C12" s="3094">
        <f>C10</f>
        <v>14</v>
      </c>
      <c r="D12" s="3114">
        <f t="shared" ref="D12" si="1">C12</f>
        <v>14</v>
      </c>
      <c r="E12" s="139" t="s">
        <v>2137</v>
      </c>
      <c r="F12" s="2429"/>
      <c r="G12" s="2429"/>
      <c r="H12" s="2429"/>
      <c r="I12" s="1830"/>
    </row>
    <row r="13" spans="1:12" ht="12.75" customHeight="1">
      <c r="A13" s="3091"/>
      <c r="B13" s="3029"/>
      <c r="C13" s="3096"/>
      <c r="D13" s="3114"/>
      <c r="E13" s="139" t="s">
        <v>2138</v>
      </c>
      <c r="F13" s="2429"/>
      <c r="G13" s="2429"/>
      <c r="H13" s="2429"/>
      <c r="I13" s="1830"/>
    </row>
    <row r="14" spans="1:12" ht="12.75">
      <c r="A14" s="3091" t="s">
        <v>2139</v>
      </c>
      <c r="B14" s="3029">
        <v>30</v>
      </c>
      <c r="C14" s="3094">
        <v>28</v>
      </c>
      <c r="D14" s="3114">
        <v>28</v>
      </c>
      <c r="E14" s="139" t="s">
        <v>2140</v>
      </c>
      <c r="F14" s="2429"/>
      <c r="G14" s="2429"/>
      <c r="H14" s="2429"/>
      <c r="I14" s="1830"/>
    </row>
    <row r="15" spans="1:12" ht="12.75">
      <c r="A15" s="3091"/>
      <c r="B15" s="3029"/>
      <c r="C15" s="3095"/>
      <c r="D15" s="3114"/>
      <c r="E15" s="139" t="s">
        <v>2141</v>
      </c>
      <c r="F15" s="2429"/>
      <c r="G15" s="2429"/>
      <c r="H15" s="2429"/>
      <c r="I15" s="1830"/>
    </row>
    <row r="16" spans="1:12" ht="12.75">
      <c r="A16" s="3091"/>
      <c r="B16" s="3029"/>
      <c r="C16" s="3096"/>
      <c r="D16" s="3114"/>
      <c r="E16" s="139" t="s">
        <v>2142</v>
      </c>
      <c r="F16" s="2429"/>
      <c r="G16" s="2429"/>
      <c r="H16" s="2429"/>
      <c r="I16" s="1830"/>
    </row>
    <row r="17" spans="1:35" ht="15">
      <c r="A17" s="2430" t="s">
        <v>2143</v>
      </c>
      <c r="B17" s="63"/>
      <c r="C17" s="140">
        <f>SUM(C5:C16)</f>
        <v>94</v>
      </c>
      <c r="D17" s="140">
        <f>SUM(D5:D16)</f>
        <v>94</v>
      </c>
      <c r="E17" s="137"/>
      <c r="F17" s="137"/>
      <c r="G17" s="137"/>
      <c r="H17" s="137"/>
      <c r="I17" s="137"/>
      <c r="K17" s="2428"/>
      <c r="L17" s="2431" t="s">
        <v>2144</v>
      </c>
      <c r="M17" s="2431" t="s">
        <v>2145</v>
      </c>
    </row>
    <row r="18" spans="1:35" ht="15.75" thickBot="1">
      <c r="A18" s="2432" t="s">
        <v>2146</v>
      </c>
      <c r="B18" s="2433"/>
      <c r="C18" s="141">
        <f>ROUND(C17/SUM(C17:D17),2)</f>
        <v>0.5</v>
      </c>
      <c r="D18" s="141">
        <f>1-C18</f>
        <v>0.5</v>
      </c>
      <c r="E18" s="137"/>
      <c r="F18" s="137"/>
      <c r="G18" s="137"/>
      <c r="H18" s="137"/>
      <c r="I18" s="137"/>
      <c r="K18" s="2428" t="s">
        <v>2147</v>
      </c>
      <c r="L18" s="2428">
        <f>IF(C1="",'数据-汇总表'!E3,SUMIF(项目类型,C1,'数据-汇总表'!E17:E26)+SUMIF(项目类型,C1,'数据-汇总表'!I17:I26))</f>
        <v>116944.15</v>
      </c>
      <c r="M18" s="2428">
        <f>IF(C1="",'数据-汇总表'!E3,SUMIF(项目类型,C1,'数据-汇总表'!E17:E26))</f>
        <v>116944.15</v>
      </c>
    </row>
    <row r="19" spans="1:35" ht="15">
      <c r="A19" s="2434" t="s">
        <v>2148</v>
      </c>
      <c r="B19" s="2435" t="s">
        <v>2149</v>
      </c>
      <c r="C19" s="142">
        <f ca="1">SUMIF(INDIRECT("'"&amp;C4&amp;"'"&amp;"!A:A"),结果表!B19,INDIRECT("'"&amp;C4&amp;"'"&amp;"!B:B"))</f>
        <v>132434</v>
      </c>
      <c r="D19" s="143">
        <f ca="1">SUMIF(INDIRECT("'"&amp;D4&amp;"'"&amp;"!A:A"),结果表!B19,INDIRECT("'"&amp;D4&amp;"'"&amp;"!B:B"))</f>
        <v>137395</v>
      </c>
      <c r="E19" s="2434" t="s">
        <v>2150</v>
      </c>
      <c r="F19" s="2435" t="s">
        <v>2149</v>
      </c>
      <c r="G19" s="144">
        <f ca="1">ROUND(C19*$C$18+D19*$D$18,0)</f>
        <v>134915</v>
      </c>
      <c r="H19" s="2436" t="s">
        <v>2151</v>
      </c>
      <c r="I19" s="137"/>
      <c r="K19" s="2428" t="s">
        <v>2152</v>
      </c>
      <c r="L19" s="2428">
        <f>IF(C1="",'数据-汇总表'!D3,SUMIF(项目类型,C1,'数据-汇总表'!D17:D26)+SUMIF(项目类型,C1,'数据-汇总表'!H17:H27))</f>
        <v>138145.20000000001</v>
      </c>
      <c r="M19" s="2428">
        <f>IF(C1="",'数据-汇总表'!D3,SUMIF(项目类型,C1,'数据-汇总表'!D17:D26))</f>
        <v>138145.20000000001</v>
      </c>
    </row>
    <row r="20" spans="1:35" ht="15">
      <c r="A20" s="2437"/>
      <c r="B20" s="1247" t="s">
        <v>2153</v>
      </c>
      <c r="C20" s="145">
        <f ca="1">SUMIF(INDIRECT("'"&amp;C4&amp;"'"&amp;"!A:A"),结果表!B20,INDIRECT("'"&amp;C4&amp;"'"&amp;"!B:B"))</f>
        <v>11325</v>
      </c>
      <c r="D20" s="146">
        <f ca="1">SUMIF(INDIRECT("'"&amp;D4&amp;"'"&amp;"!A:A"),结果表!B20,INDIRECT("'"&amp;D4&amp;"'"&amp;"!B:B"))</f>
        <v>11749</v>
      </c>
      <c r="E20" s="2437"/>
      <c r="F20" s="1247" t="s">
        <v>2153</v>
      </c>
      <c r="G20" s="147">
        <f ca="1">ROUND(C20*$C$18+D20*$D$18,0)</f>
        <v>11537</v>
      </c>
      <c r="H20" s="980" t="s">
        <v>2154</v>
      </c>
      <c r="I20" s="137"/>
    </row>
    <row r="21" spans="1:35" ht="15" customHeight="1" thickBot="1">
      <c r="A21" s="1000"/>
      <c r="B21" s="2438" t="s">
        <v>2155</v>
      </c>
      <c r="C21" s="789">
        <f ca="1">ROUND(C19*10000/L19,0)</f>
        <v>9587</v>
      </c>
      <c r="D21" s="790">
        <f ca="1">ROUND(D19*10000/L19,0)</f>
        <v>9946</v>
      </c>
      <c r="E21" s="1000"/>
      <c r="F21" s="2438" t="s">
        <v>2155</v>
      </c>
      <c r="G21" s="148">
        <f ca="1">ROUND(G19*10000/L19,0)</f>
        <v>9766</v>
      </c>
      <c r="H21" s="2439" t="s">
        <v>2154</v>
      </c>
      <c r="I21" s="137"/>
    </row>
    <row r="22" spans="1:35" ht="15" thickBot="1">
      <c r="A22" s="2281" t="s">
        <v>2156</v>
      </c>
      <c r="B22" s="2440"/>
      <c r="C22" s="2441"/>
      <c r="D22" s="791">
        <f ca="1">IF(C19&lt;D19,D19/C19-1,C19/D19-1)</f>
        <v>3.7460168838817864E-2</v>
      </c>
      <c r="E22" s="137"/>
      <c r="F22" s="137"/>
      <c r="G22" s="137"/>
      <c r="H22" s="137"/>
      <c r="I22" s="137"/>
    </row>
    <row r="23" spans="1:35" ht="13.5" thickBot="1">
      <c r="A23" s="2418"/>
      <c r="B23" s="2418"/>
      <c r="C23" s="2418"/>
      <c r="D23" s="2418"/>
      <c r="E23" s="137"/>
      <c r="F23" s="137"/>
      <c r="G23" s="137"/>
      <c r="H23" s="137"/>
      <c r="I23" s="137"/>
    </row>
    <row r="24" spans="1:35" ht="14.25">
      <c r="A24" s="3085" t="s">
        <v>2157</v>
      </c>
      <c r="B24" s="2435" t="s">
        <v>2149</v>
      </c>
      <c r="C24" s="144">
        <f>IF(B30=0,0,D30)</f>
        <v>17095</v>
      </c>
      <c r="D24" s="2442"/>
      <c r="E24" s="137"/>
      <c r="F24" s="137"/>
      <c r="G24" s="137"/>
      <c r="H24" s="137"/>
      <c r="I24" s="137"/>
    </row>
    <row r="25" spans="1:35" ht="14.25">
      <c r="A25" s="3086"/>
      <c r="B25" s="1247" t="s">
        <v>2153</v>
      </c>
      <c r="C25" s="149">
        <f>IF(B30=0,0,C30)</f>
        <v>3000</v>
      </c>
      <c r="D25" s="2443"/>
      <c r="E25" s="137"/>
      <c r="F25" s="137"/>
      <c r="G25" s="137"/>
      <c r="H25" s="137"/>
      <c r="I25" s="137"/>
    </row>
    <row r="26" spans="1:35" ht="13.5" customHeight="1">
      <c r="A26" s="2444" t="s">
        <v>2158</v>
      </c>
      <c r="B26" s="150" t="s">
        <v>2159</v>
      </c>
      <c r="C26" s="150" t="s">
        <v>2160</v>
      </c>
      <c r="D26" s="151" t="s">
        <v>2161</v>
      </c>
      <c r="E26" s="137"/>
      <c r="F26" s="137"/>
      <c r="G26" s="137"/>
      <c r="H26" s="137"/>
      <c r="I26" s="137"/>
    </row>
    <row r="27" spans="1:35" ht="14.25">
      <c r="A27" s="2945" t="s">
        <v>3153</v>
      </c>
      <c r="B27" s="150">
        <f>'数据-汇总表'!F21</f>
        <v>56983.21</v>
      </c>
      <c r="C27" s="150">
        <v>3000</v>
      </c>
      <c r="D27" s="151">
        <f>ROUND(B27*C27/10000,0)</f>
        <v>17095</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2162</v>
      </c>
      <c r="B30" s="152">
        <f>SUM(B27:B29)</f>
        <v>56983.21</v>
      </c>
      <c r="C30" s="152">
        <f>ROUND(D30*10000/B30,0)</f>
        <v>3000</v>
      </c>
      <c r="D30" s="152">
        <f>SUM(D27:D29)</f>
        <v>17095</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2163</v>
      </c>
      <c r="B32" s="2448"/>
      <c r="C32" s="153">
        <f ca="1">IF(D32="总价",G19-C24,G20-C25)</f>
        <v>117820</v>
      </c>
      <c r="D32" s="2449" t="s">
        <v>2164</v>
      </c>
      <c r="E32" s="137"/>
      <c r="F32" s="137"/>
      <c r="G32" s="137"/>
      <c r="H32" s="137"/>
      <c r="I32" s="137"/>
    </row>
    <row r="33" spans="1:15" ht="15">
      <c r="A33" s="957" t="s">
        <v>2165</v>
      </c>
      <c r="B33" s="2450"/>
      <c r="C33" s="2451" t="s">
        <v>3156</v>
      </c>
      <c r="D33" s="2452" t="s">
        <v>3071</v>
      </c>
      <c r="E33" s="2453" t="s">
        <v>2166</v>
      </c>
      <c r="F33" s="2454" t="str">
        <f>IF(D32="楼面单价","取值（单价）","取值（总价）")</f>
        <v>取值（总价）</v>
      </c>
      <c r="G33" s="137"/>
      <c r="H33" s="137"/>
      <c r="I33" s="137"/>
    </row>
    <row r="34" spans="1:15" ht="15">
      <c r="A34" s="2455"/>
      <c r="B34" s="2456" t="s">
        <v>2167</v>
      </c>
      <c r="C34" s="157">
        <f ca="1">IF(C33="自定义",F34,C32-C35)</f>
        <v>56907</v>
      </c>
      <c r="D34" s="1055">
        <f ca="1">IF(C33="自定义",ROUND(C34/C32,3),IF(C33="收益比率",SUMIF(INDIRECT("'"&amp;D33&amp;"'"&amp;"!b:b"),"土地收益比率",INDIRECT("'"&amp;D33&amp;"'"&amp;"!c:c")),SUMIF(INDIRECT("'"&amp;D33&amp;"'"&amp;"!b:b"),"土地成本比率",INDIRECT("'"&amp;D33&amp;"'"&amp;"!c:c"))))</f>
        <v>0.48299999999999998</v>
      </c>
      <c r="E34" s="2457" t="s">
        <v>2168</v>
      </c>
      <c r="F34" s="1735"/>
      <c r="G34" s="137"/>
      <c r="H34" s="137"/>
      <c r="I34" s="137"/>
    </row>
    <row r="35" spans="1:15" ht="15.75" thickBot="1">
      <c r="A35" s="2458"/>
      <c r="B35" s="2459" t="s">
        <v>2169</v>
      </c>
      <c r="C35" s="1440">
        <f ca="1">IF(C33="自定义",F35,ROUND(C32*D35,0))</f>
        <v>60913</v>
      </c>
      <c r="D35" s="1441">
        <f ca="1">IF(C33="自定义",ROUND(C35/C32,3),IF(C33="收益比率",SUMIF(INDIRECT("'"&amp;D33&amp;"'"&amp;"!b:b"),"建筑物收益比率",INDIRECT("'"&amp;D33&amp;"'"&amp;"!c:c")),SUMIF(INDIRECT("'"&amp;D33&amp;"'"&amp;"!b:b"),"建筑物成本比率",INDIRECT("'"&amp;D33&amp;"'"&amp;"!c:c"))))</f>
        <v>0.51700000000000002</v>
      </c>
      <c r="E35" s="2460" t="s">
        <v>2170</v>
      </c>
      <c r="F35" s="163"/>
      <c r="G35" s="137"/>
      <c r="H35" s="137"/>
      <c r="I35" s="137"/>
    </row>
    <row r="36" spans="1:15" ht="15.75" thickBot="1">
      <c r="A36" s="3103" t="s">
        <v>2171</v>
      </c>
      <c r="B36" s="2461" t="s">
        <v>2172</v>
      </c>
      <c r="C36" s="154"/>
      <c r="D36" s="2462" t="s">
        <v>3076</v>
      </c>
      <c r="E36" s="2463"/>
      <c r="F36" s="2464"/>
      <c r="G36" s="137"/>
      <c r="H36" s="137"/>
      <c r="I36" s="137"/>
    </row>
    <row r="37" spans="1:15" ht="15.75" thickBot="1">
      <c r="A37" s="3104"/>
      <c r="B37" s="2267" t="s">
        <v>2173</v>
      </c>
      <c r="C37" s="156"/>
      <c r="D37" s="1391"/>
      <c r="E37" s="1391"/>
      <c r="F37" s="2464"/>
      <c r="G37" s="137"/>
      <c r="H37" s="137"/>
      <c r="I37" s="137"/>
    </row>
    <row r="38" spans="1:15" ht="15.75" thickBot="1">
      <c r="A38" s="3105"/>
      <c r="B38" s="2465" t="s">
        <v>2174</v>
      </c>
      <c r="C38" s="727"/>
      <c r="D38" s="2466" t="s">
        <v>2175</v>
      </c>
      <c r="E38" s="1391"/>
      <c r="F38" s="2464"/>
      <c r="G38" s="137"/>
      <c r="H38" s="137"/>
      <c r="I38" s="137"/>
    </row>
    <row r="39" spans="1:15" ht="15">
      <c r="A39" s="2437" t="s">
        <v>2176</v>
      </c>
      <c r="B39" s="2467" t="s">
        <v>2177</v>
      </c>
      <c r="C39" s="2468" t="s">
        <v>2178</v>
      </c>
      <c r="D39" s="2468" t="s">
        <v>2179</v>
      </c>
      <c r="E39" s="2469" t="s">
        <v>2180</v>
      </c>
      <c r="F39" s="2464"/>
      <c r="G39" s="137"/>
      <c r="H39" s="137"/>
      <c r="I39" s="137"/>
    </row>
    <row r="40" spans="1:15" ht="14.25">
      <c r="A40" s="2470" t="s">
        <v>2181</v>
      </c>
      <c r="B40" s="158"/>
      <c r="C40" s="159"/>
      <c r="D40" s="159"/>
      <c r="E40" s="160"/>
      <c r="F40" s="2464"/>
      <c r="G40" s="137"/>
      <c r="H40" s="137"/>
      <c r="I40" s="137"/>
    </row>
    <row r="41" spans="1:15" ht="14.25">
      <c r="A41" s="2470" t="s">
        <v>2182</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5"/>
      <c r="B43" s="2165"/>
      <c r="C43" s="2165"/>
      <c r="D43" s="2165"/>
      <c r="E43" s="2165"/>
      <c r="F43" s="2472"/>
      <c r="G43" s="2472"/>
      <c r="H43" s="2472"/>
      <c r="I43" s="2473"/>
    </row>
    <row r="44" spans="1:15" ht="18.75" hidden="1">
      <c r="A44" s="2474" t="s">
        <v>2183</v>
      </c>
      <c r="B44" s="2475"/>
      <c r="C44" s="2475"/>
      <c r="D44" s="2476"/>
      <c r="E44" s="2476"/>
      <c r="F44" s="2477"/>
      <c r="G44" s="2477"/>
      <c r="H44" s="2477"/>
      <c r="I44" s="2477"/>
      <c r="J44" s="2478" t="s">
        <v>2184</v>
      </c>
      <c r="K44" s="2479"/>
      <c r="L44" s="2479"/>
      <c r="M44" s="2479"/>
      <c r="N44" s="2479"/>
      <c r="O44" s="2479"/>
    </row>
    <row r="45" spans="1:15" ht="14.25" hidden="1" customHeight="1" thickBot="1">
      <c r="A45" s="3082" t="s">
        <v>2185</v>
      </c>
      <c r="B45" s="3083"/>
      <c r="C45" s="3084"/>
      <c r="D45" s="164">
        <f ca="1">ROUND(H101*F45,0)</f>
        <v>117820</v>
      </c>
      <c r="E45" s="165" t="s">
        <v>2186</v>
      </c>
      <c r="F45" s="166">
        <v>1</v>
      </c>
      <c r="G45" s="167" t="s">
        <v>2187</v>
      </c>
      <c r="H45" s="137"/>
      <c r="I45" s="137"/>
      <c r="J45" s="3142" t="s">
        <v>2188</v>
      </c>
      <c r="K45" s="3142"/>
      <c r="L45" s="3142"/>
      <c r="M45" s="3142"/>
      <c r="N45" s="3142"/>
      <c r="O45" s="3142"/>
    </row>
    <row r="46" spans="1:15" ht="14.25" hidden="1" customHeight="1">
      <c r="A46" s="3079" t="s">
        <v>2189</v>
      </c>
      <c r="B46" s="3080"/>
      <c r="C46" s="3080"/>
      <c r="D46" s="3080"/>
      <c r="E46" s="3080"/>
      <c r="F46" s="3080"/>
      <c r="G46" s="3081"/>
      <c r="H46" s="2480"/>
      <c r="I46" s="168"/>
      <c r="J46" s="1808">
        <v>1</v>
      </c>
      <c r="K46" s="3142" t="s">
        <v>2190</v>
      </c>
      <c r="L46" s="3142"/>
      <c r="M46" s="3162"/>
      <c r="N46" s="3162"/>
      <c r="O46" s="3162"/>
    </row>
    <row r="47" spans="1:15" ht="12" hidden="1" customHeight="1">
      <c r="A47" s="169" t="s">
        <v>2191</v>
      </c>
      <c r="B47" s="170"/>
      <c r="C47" s="171"/>
      <c r="D47" s="172" t="s">
        <v>2192</v>
      </c>
      <c r="E47" s="23" t="s">
        <v>2193</v>
      </c>
      <c r="F47" s="173" t="s">
        <v>2194</v>
      </c>
      <c r="G47" s="174" t="s">
        <v>2195</v>
      </c>
      <c r="H47" s="2480"/>
      <c r="I47" s="168"/>
      <c r="J47" s="1808">
        <v>2</v>
      </c>
      <c r="K47" s="3142" t="s">
        <v>2196</v>
      </c>
      <c r="L47" s="3142"/>
      <c r="M47" s="3163">
        <f>'数据-取费表'!B2</f>
        <v>43070</v>
      </c>
      <c r="N47" s="3163"/>
      <c r="O47" s="3163"/>
    </row>
    <row r="48" spans="1:15" ht="25.5" hidden="1">
      <c r="A48" s="3110" t="s">
        <v>2197</v>
      </c>
      <c r="B48" s="3093"/>
      <c r="C48" s="3093"/>
      <c r="D48" s="139">
        <f>IF(H48="情况1",0,IF(H48="情况2",D52,IF(H48="情况3",D53,IF(H48="情况4",D54))))</f>
        <v>0</v>
      </c>
      <c r="E48" s="1797" t="str">
        <f>IF(H48="情况4","(销售额-原购置价)×税（费）率","销售额×税（费）率")</f>
        <v>销售额×税（费）率</v>
      </c>
      <c r="F48" s="175" t="str">
        <f>IF(H48="情况1","免征",'数据-取费表'!B41)</f>
        <v>免征</v>
      </c>
      <c r="G48" s="2481" t="s">
        <v>2198</v>
      </c>
      <c r="H48" s="2482" t="s">
        <v>2199</v>
      </c>
      <c r="I48" s="2480"/>
      <c r="J48" s="1808">
        <v>3</v>
      </c>
      <c r="K48" s="3142" t="s">
        <v>2200</v>
      </c>
      <c r="L48" s="3142"/>
      <c r="M48" s="3164">
        <f ca="1">H101</f>
        <v>117820</v>
      </c>
      <c r="N48" s="3164"/>
      <c r="O48" s="3164"/>
    </row>
    <row r="49" spans="1:35" ht="25.5" hidden="1" customHeight="1">
      <c r="A49" s="176" t="s">
        <v>2201</v>
      </c>
      <c r="B49" s="3078" t="s">
        <v>2202</v>
      </c>
      <c r="C49" s="3078"/>
      <c r="D49" s="177">
        <v>0</v>
      </c>
      <c r="E49" s="22" t="s">
        <v>2203</v>
      </c>
      <c r="F49" s="27" t="s">
        <v>34</v>
      </c>
      <c r="G49" s="3148"/>
      <c r="H49" s="137"/>
      <c r="I49" s="2483"/>
      <c r="J49" s="1808">
        <v>4</v>
      </c>
      <c r="K49" s="3142" t="str">
        <f>IF(项目基本情况!E8="房地产抵押价值","房地产抵押价值","抵押担保权已注销时的房地产抵押价值")</f>
        <v>抵押担保权已注销时的房地产抵押价值</v>
      </c>
      <c r="L49" s="3142"/>
      <c r="M49" s="3164" t="str">
        <f>IF(项目基本情况!E8="房地产抵押价值",H107,H109)</f>
        <v>——</v>
      </c>
      <c r="N49" s="3164"/>
      <c r="O49" s="3164"/>
    </row>
    <row r="50" spans="1:35" ht="25.5" hidden="1" customHeight="1">
      <c r="A50" s="178"/>
      <c r="B50" s="3078" t="s">
        <v>2204</v>
      </c>
      <c r="C50" s="3078"/>
      <c r="D50" s="179"/>
      <c r="E50" s="30"/>
      <c r="F50" s="180"/>
      <c r="G50" s="3149"/>
      <c r="H50" s="137"/>
      <c r="I50" s="2483"/>
      <c r="J50" s="3142" t="s">
        <v>2205</v>
      </c>
      <c r="K50" s="3142"/>
      <c r="L50" s="3142"/>
      <c r="M50" s="3142"/>
      <c r="N50" s="3142"/>
      <c r="O50" s="3142"/>
    </row>
    <row r="51" spans="1:35" ht="12" hidden="1" customHeight="1">
      <c r="A51" s="181"/>
      <c r="B51" s="3078" t="s">
        <v>2206</v>
      </c>
      <c r="C51" s="3078"/>
      <c r="D51" s="182"/>
      <c r="E51" s="29"/>
      <c r="F51" s="180"/>
      <c r="G51" s="3150"/>
      <c r="H51" s="137"/>
      <c r="I51" s="2483"/>
      <c r="J51" s="2484" t="s">
        <v>2207</v>
      </c>
      <c r="K51" s="3142" t="s">
        <v>2208</v>
      </c>
      <c r="L51" s="3142"/>
      <c r="M51" s="2484" t="s">
        <v>2209</v>
      </c>
      <c r="N51" s="2484" t="s">
        <v>2210</v>
      </c>
      <c r="O51" s="2484" t="s">
        <v>2211</v>
      </c>
    </row>
    <row r="52" spans="1:35" ht="24" hidden="1" customHeight="1">
      <c r="A52" s="183" t="s">
        <v>2212</v>
      </c>
      <c r="B52" s="3078" t="s">
        <v>2213</v>
      </c>
      <c r="C52" s="3078"/>
      <c r="D52" s="182">
        <f ca="1">ROUND(D45*'数据-取费表'!B41/(1+'数据-取费表'!C42),0)</f>
        <v>6757</v>
      </c>
      <c r="E52" s="11" t="s">
        <v>2214</v>
      </c>
      <c r="F52" s="184">
        <f>'数据-取费表'!B41</f>
        <v>6.0499999999999998E-2</v>
      </c>
      <c r="G52" s="2485"/>
      <c r="H52" s="137"/>
      <c r="I52" s="2483"/>
      <c r="J52" s="1808">
        <v>1</v>
      </c>
      <c r="K52" s="3143" t="s">
        <v>2215</v>
      </c>
      <c r="L52" s="3143"/>
      <c r="M52" s="1750">
        <f>D48</f>
        <v>0</v>
      </c>
      <c r="N52" s="1808" t="str">
        <f>E48</f>
        <v>销售额×税（费）率</v>
      </c>
      <c r="O52" s="1751" t="str">
        <f>F48</f>
        <v>免征</v>
      </c>
    </row>
    <row r="53" spans="1:35" ht="12" hidden="1" customHeight="1">
      <c r="A53" s="183" t="s">
        <v>2216</v>
      </c>
      <c r="B53" s="3101" t="s">
        <v>2217</v>
      </c>
      <c r="C53" s="3102"/>
      <c r="D53" s="182">
        <f ca="1">ROUND(D45*'数据-取费表'!B41/(1+'数据-取费表'!C42),0)</f>
        <v>6757</v>
      </c>
      <c r="E53" s="11" t="s">
        <v>2214</v>
      </c>
      <c r="F53" s="184">
        <f>'数据-取费表'!B41</f>
        <v>6.0499999999999998E-2</v>
      </c>
      <c r="G53" s="2485"/>
      <c r="H53" s="137"/>
      <c r="I53" s="2483"/>
      <c r="J53" s="1808">
        <v>2</v>
      </c>
      <c r="K53" s="3143" t="s">
        <v>2218</v>
      </c>
      <c r="L53" s="3143"/>
      <c r="M53" s="1750">
        <f t="shared" ref="M53:O54" ca="1" si="2">D55</f>
        <v>59</v>
      </c>
      <c r="N53" s="1808" t="str">
        <f t="shared" si="2"/>
        <v>销售额×税（费）率</v>
      </c>
      <c r="O53" s="1751">
        <f t="shared" si="2"/>
        <v>5.0000000000000001E-4</v>
      </c>
    </row>
    <row r="54" spans="1:35" ht="12" hidden="1" customHeight="1">
      <c r="A54" s="183" t="s">
        <v>2219</v>
      </c>
      <c r="B54" s="3101" t="s">
        <v>2220</v>
      </c>
      <c r="C54" s="3102"/>
      <c r="D54" s="182">
        <f ca="1">C68</f>
        <v>6757</v>
      </c>
      <c r="E54" s="29" t="s">
        <v>2221</v>
      </c>
      <c r="F54" s="184">
        <f>'数据-取费表'!B41</f>
        <v>6.0499999999999998E-2</v>
      </c>
      <c r="G54" s="2485"/>
      <c r="H54" s="2486"/>
      <c r="I54" s="2483"/>
      <c r="J54" s="1808">
        <v>3</v>
      </c>
      <c r="K54" s="3143" t="s">
        <v>2222</v>
      </c>
      <c r="L54" s="3143"/>
      <c r="M54" s="1750">
        <f t="shared" ca="1" si="2"/>
        <v>66424</v>
      </c>
      <c r="N54" s="1808" t="str">
        <f t="shared" si="2"/>
        <v>增值额×税（费）率</v>
      </c>
      <c r="O54" s="1752" t="str">
        <f t="shared" si="2"/>
        <v>——</v>
      </c>
    </row>
    <row r="55" spans="1:35" ht="24" hidden="1" customHeight="1">
      <c r="A55" s="3092" t="s">
        <v>2223</v>
      </c>
      <c r="B55" s="3093"/>
      <c r="C55" s="3093"/>
      <c r="D55" s="185">
        <f ca="1">IF(H55="个人住宅",0,ROUND(D45*I55,0))</f>
        <v>59</v>
      </c>
      <c r="E55" s="11" t="s">
        <v>2224</v>
      </c>
      <c r="F55" s="184">
        <f>IF(H55="正常",I55,"免征")</f>
        <v>5.0000000000000001E-4</v>
      </c>
      <c r="G55" s="2485"/>
      <c r="H55" s="2482" t="s">
        <v>2225</v>
      </c>
      <c r="I55" s="186">
        <f>'数据-取费表'!B49</f>
        <v>5.0000000000000001E-4</v>
      </c>
      <c r="J55" s="1808" t="str">
        <f>IF(H59="非个人房产","",4)</f>
        <v/>
      </c>
      <c r="K55" s="3143" t="str">
        <f>IF(H59="非个人房产","——","个人所得税")</f>
        <v>——</v>
      </c>
      <c r="L55" s="3143"/>
      <c r="M55" s="1753" t="str">
        <f>D59</f>
        <v>——</v>
      </c>
      <c r="N55" s="1806" t="str">
        <f>E59</f>
        <v>——</v>
      </c>
      <c r="O55" s="1754" t="str">
        <f>F59</f>
        <v>——</v>
      </c>
    </row>
    <row r="56" spans="1:35" ht="24.75" hidden="1">
      <c r="A56" s="3092" t="s">
        <v>2226</v>
      </c>
      <c r="B56" s="3093"/>
      <c r="C56" s="3093"/>
      <c r="D56" s="185">
        <f ca="1">IF(H56="个人住宅",D57,D58)</f>
        <v>66424</v>
      </c>
      <c r="E56" s="11" t="s">
        <v>2227</v>
      </c>
      <c r="F56" s="184" t="str">
        <f>IF(H56="正常",F58,"免征")</f>
        <v>——</v>
      </c>
      <c r="G56" s="2487" t="s">
        <v>2228</v>
      </c>
      <c r="H56" s="2488" t="s">
        <v>2225</v>
      </c>
      <c r="I56" s="2489"/>
      <c r="J56" s="1808" t="str">
        <f>IF(项目基本情况!K6="上海银行",IF(J55="",4,J55+1),"")</f>
        <v/>
      </c>
      <c r="K56" s="3166" t="str">
        <f>IF(项目基本情况!K6="上海银行","其他处置费用","")</f>
        <v/>
      </c>
      <c r="L56" s="3167"/>
      <c r="M56" s="1750" t="str">
        <f>IF(项目基本情况!K6="上海银行",M69,"")</f>
        <v/>
      </c>
      <c r="N56" s="3169" t="str">
        <f>IF(项目基本情况!K6="上海银行","包含处置中涉及的律师、诉讼、拍卖、评估等费用","")</f>
        <v/>
      </c>
      <c r="O56" s="3170"/>
    </row>
    <row r="57" spans="1:35" ht="12.75" hidden="1">
      <c r="A57" s="183" t="s">
        <v>2201</v>
      </c>
      <c r="B57" s="3108" t="s">
        <v>2229</v>
      </c>
      <c r="C57" s="3117"/>
      <c r="D57" s="187">
        <v>0</v>
      </c>
      <c r="E57" s="22" t="s">
        <v>2203</v>
      </c>
      <c r="F57" s="155"/>
      <c r="G57" s="2485"/>
      <c r="H57" s="2489"/>
      <c r="I57" s="2489"/>
      <c r="J57" s="3143">
        <f>IF(AND(J55="",J56=""),4,IF(项目基本情况!K6="上海银行",结果表!J56+1,结果表!J55+1))</f>
        <v>4</v>
      </c>
      <c r="K57" s="3143" t="s">
        <v>2230</v>
      </c>
      <c r="L57" s="2490" t="s">
        <v>2231</v>
      </c>
      <c r="M57" s="1755"/>
      <c r="N57" s="1756">
        <f ca="1">SUMIF(M52:M56,"&lt;9e307")</f>
        <v>66483</v>
      </c>
      <c r="O57" s="2491"/>
      <c r="P57" s="1749" t="e">
        <f ca="1">N57/M49</f>
        <v>#VALUE!</v>
      </c>
    </row>
    <row r="58" spans="1:35" ht="24.75" hidden="1">
      <c r="A58" s="183" t="s">
        <v>2212</v>
      </c>
      <c r="B58" s="3108" t="s">
        <v>2232</v>
      </c>
      <c r="C58" s="3109"/>
      <c r="D58" s="185">
        <f ca="1">IF(H58="转让取得",C81,C97)</f>
        <v>66424</v>
      </c>
      <c r="E58" s="11" t="s">
        <v>2227</v>
      </c>
      <c r="F58" s="23" t="s">
        <v>34</v>
      </c>
      <c r="G58" s="2485"/>
      <c r="H58" s="2488" t="s">
        <v>2233</v>
      </c>
      <c r="I58" s="2489"/>
      <c r="J58" s="3143"/>
      <c r="K58" s="3143"/>
      <c r="L58" s="2490" t="s">
        <v>2234</v>
      </c>
      <c r="M58" s="1757"/>
      <c r="N58" s="2492" t="str">
        <f ca="1">NUMBERSTRING(INT(N57*10000),2)&amp;"元整"</f>
        <v>陆亿陆仟肆佰捌拾叁万元整</v>
      </c>
      <c r="O58" s="2493"/>
    </row>
    <row r="59" spans="1:35" ht="24.75" hidden="1" thickBot="1">
      <c r="A59" s="3146" t="s">
        <v>2235</v>
      </c>
      <c r="B59" s="3147"/>
      <c r="C59" s="3147"/>
      <c r="D59" s="188" t="str">
        <f>IF(H59="非个人房产","——",IF(H59="个人住宅",0,ROUND(D45*I59,0)))</f>
        <v>——</v>
      </c>
      <c r="E59" s="189" t="str">
        <f>IF(H59="非个人房产","——","销售额×税（费）率")</f>
        <v>——</v>
      </c>
      <c r="F59" s="190" t="str">
        <f>IF(H59="非个人房产","——",IF(H59="个人住宅","免征",I59))</f>
        <v>——</v>
      </c>
      <c r="G59" s="2494" t="s">
        <v>2228</v>
      </c>
      <c r="H59" s="2488" t="s">
        <v>2236</v>
      </c>
      <c r="I59" s="191">
        <v>0.01</v>
      </c>
      <c r="J59" s="3144">
        <f>J57+1</f>
        <v>5</v>
      </c>
      <c r="K59" s="3143" t="s">
        <v>2237</v>
      </c>
      <c r="L59" s="1808" t="s">
        <v>2231</v>
      </c>
      <c r="M59" s="1758"/>
      <c r="N59" s="1759" t="e">
        <f ca="1">M49-N57</f>
        <v>#VALUE!</v>
      </c>
      <c r="O59" s="2495"/>
    </row>
    <row r="60" spans="1:35" ht="12" hidden="1" customHeight="1">
      <c r="A60" s="2496"/>
      <c r="B60" s="2418"/>
      <c r="C60" s="2418"/>
      <c r="D60" s="2418"/>
      <c r="E60" s="2166"/>
      <c r="F60" s="2489"/>
      <c r="G60" s="2489"/>
      <c r="H60" s="2497"/>
      <c r="I60" s="137"/>
      <c r="J60" s="3145"/>
      <c r="K60" s="3143"/>
      <c r="L60" s="2490" t="s">
        <v>2234</v>
      </c>
      <c r="M60" s="1757"/>
      <c r="N60" s="2492" t="e">
        <f ca="1">NUMBERSTRING(INT(N59*10000),2)&amp;"元整"</f>
        <v>#VALUE!</v>
      </c>
      <c r="O60" s="2493"/>
    </row>
    <row r="61" spans="1:35" ht="13.5" hidden="1" thickBot="1">
      <c r="A61" s="3090" t="s">
        <v>2238</v>
      </c>
      <c r="B61" s="3090"/>
      <c r="C61" s="3090"/>
      <c r="D61" s="3090"/>
      <c r="E61" s="3090"/>
      <c r="F61" s="2489"/>
      <c r="G61" s="2489"/>
      <c r="H61" s="2497"/>
      <c r="I61" s="137"/>
      <c r="J61" s="1808">
        <f>J59+1</f>
        <v>6</v>
      </c>
      <c r="K61" s="3143" t="s">
        <v>2239</v>
      </c>
      <c r="L61" s="3143"/>
      <c r="M61" s="1760"/>
      <c r="N61" s="1761" t="e">
        <f ca="1">ROUND(N59*10000/'数据-汇总表'!E3,0)</f>
        <v>#VALUE!</v>
      </c>
      <c r="O61" s="2498"/>
    </row>
    <row r="62" spans="1:35" ht="12.75" hidden="1">
      <c r="A62" s="3106" t="s">
        <v>2240</v>
      </c>
      <c r="B62" s="3107"/>
      <c r="C62" s="1800"/>
      <c r="D62" s="1800" t="s">
        <v>2241</v>
      </c>
      <c r="E62" s="192" t="s">
        <v>2242</v>
      </c>
      <c r="F62" s="2489"/>
      <c r="G62" s="2489"/>
      <c r="H62" s="2497"/>
      <c r="I62" s="137"/>
    </row>
    <row r="63" spans="1:35" ht="12.75" hidden="1">
      <c r="A63" s="203" t="s">
        <v>775</v>
      </c>
      <c r="B63" s="193" t="s">
        <v>2243</v>
      </c>
      <c r="C63" s="194">
        <f ca="1">ROUND((C64+C65)/(1+'数据-取费表'!C42),0)</f>
        <v>111678</v>
      </c>
      <c r="D63" s="195"/>
      <c r="E63" s="196"/>
      <c r="F63" s="2489"/>
      <c r="G63" s="2489"/>
      <c r="H63" s="2497"/>
      <c r="I63" s="137"/>
      <c r="J63" s="3168" t="s">
        <v>2244</v>
      </c>
      <c r="K63" s="2499" t="s">
        <v>2245</v>
      </c>
      <c r="L63" s="1748" t="e">
        <f>IF(M49&gt;10000,M49*0.5%,IF(AND(M49&gt;1000,M49&lt;=10000),M49*1%,IF(AND(M49&gt;100,M49&lt;=1000),M49*3%,IF(AND(M49&gt;10,M49&lt;=100),M49*5%,M49*8%))))</f>
        <v>#VALUE!</v>
      </c>
      <c r="M63" s="23" t="e">
        <f>ROUND(L63,1)</f>
        <v>#VALUE!</v>
      </c>
      <c r="Z63" s="2423"/>
      <c r="AI63" s="2424"/>
    </row>
    <row r="64" spans="1:35" ht="14.25" hidden="1" customHeight="1">
      <c r="A64" s="197" t="s">
        <v>770</v>
      </c>
      <c r="B64" s="198" t="s">
        <v>2246</v>
      </c>
      <c r="C64" s="199">
        <f ca="1">D45</f>
        <v>117820</v>
      </c>
      <c r="D64" s="200" t="s">
        <v>32</v>
      </c>
      <c r="E64" s="201"/>
      <c r="F64" s="2489"/>
      <c r="G64" s="2489"/>
      <c r="H64" s="2497"/>
      <c r="I64" s="137"/>
      <c r="J64" s="3168"/>
      <c r="K64" s="2499" t="s">
        <v>2247</v>
      </c>
      <c r="L64" s="1748" t="e">
        <f>IF(M49&gt;2000,M49*0.5%,IF(AND(M49&gt;1000,M49&lt;=2000),M49*0.6%,IF(AND(M49&gt;500,M49&lt;=1000),M49*0.7%,IF(AND(M49&gt;200,M49&lt;=500),M49*0.8%,IF(AND(M49&gt;100,M49&lt;=200),M49*0.9%,IF(AND(M49&gt;50,M49&lt;=100),M49*1%,IF(AND(M49&gt;20,M49&lt;=50),M49*1.5%,IF(AND(M49&gt;10,M49&lt;=20),M49*2%,IF(AND(M49&gt;1,M49&lt;=10),M49*2.5%)))))))))</f>
        <v>#VALUE!</v>
      </c>
      <c r="M64" s="23" t="e">
        <f t="shared" ref="M64:M65" si="3">ROUND(L64,1)</f>
        <v>#VALUE!</v>
      </c>
      <c r="N64" s="137" t="s">
        <v>2248</v>
      </c>
      <c r="Z64" s="2423"/>
      <c r="AI64" s="2424"/>
    </row>
    <row r="65" spans="1:35" ht="14.25" hidden="1" customHeight="1">
      <c r="A65" s="197" t="s">
        <v>771</v>
      </c>
      <c r="B65" s="198" t="s">
        <v>2249</v>
      </c>
      <c r="C65" s="202"/>
      <c r="D65" s="200"/>
      <c r="E65" s="201"/>
      <c r="F65" s="2489"/>
      <c r="G65" s="2489"/>
      <c r="H65" s="2497"/>
      <c r="I65" s="137"/>
      <c r="J65" s="3168"/>
      <c r="K65" s="2499" t="s">
        <v>2250</v>
      </c>
      <c r="L65" s="1748" t="e">
        <f>IF(M49&gt;1000,M49*0.1%,IF(AND(M49&gt;500,M49&lt;=1000),M49*0.5%,IF(AND(M49&gt;50,M49&lt;=500),M49*1%,IF(AND(M49&gt;1,M49&lt;=50),M49*1.5%))))</f>
        <v>#VALUE!</v>
      </c>
      <c r="M65" s="23" t="e">
        <f t="shared" si="3"/>
        <v>#VALUE!</v>
      </c>
      <c r="N65" s="137" t="s">
        <v>2248</v>
      </c>
      <c r="Z65" s="2423"/>
      <c r="AI65" s="2424"/>
    </row>
    <row r="66" spans="1:35" ht="14.25" hidden="1" customHeight="1">
      <c r="A66" s="203" t="s">
        <v>772</v>
      </c>
      <c r="B66" s="204" t="s">
        <v>2251</v>
      </c>
      <c r="C66" s="205"/>
      <c r="D66" s="206" t="s">
        <v>32</v>
      </c>
      <c r="E66" s="1772" t="s">
        <v>1372</v>
      </c>
      <c r="F66" s="2489"/>
      <c r="G66" s="2489"/>
      <c r="H66" s="2497"/>
      <c r="I66" s="137"/>
      <c r="J66" s="3168"/>
      <c r="K66" s="2499" t="s">
        <v>2252</v>
      </c>
      <c r="L66" s="1748" t="e">
        <f>M49*0.5%</f>
        <v>#VALUE!</v>
      </c>
      <c r="M66" s="23" t="e">
        <f>IF(L66&gt;0.5,0.5,ROUND(L66,0))</f>
        <v>#VALUE!</v>
      </c>
      <c r="N66" s="137" t="s">
        <v>2253</v>
      </c>
      <c r="Z66" s="2423"/>
      <c r="AI66" s="2424"/>
    </row>
    <row r="67" spans="1:35" ht="14.25" hidden="1" customHeight="1">
      <c r="A67" s="203" t="s">
        <v>773</v>
      </c>
      <c r="B67" s="204" t="s">
        <v>2254</v>
      </c>
      <c r="C67" s="207">
        <f ca="1">C63-C66</f>
        <v>111678</v>
      </c>
      <c r="D67" s="200" t="s">
        <v>32</v>
      </c>
      <c r="E67" s="201"/>
      <c r="F67" s="2489"/>
      <c r="G67" s="2489"/>
      <c r="H67" s="2497"/>
      <c r="I67" s="137"/>
      <c r="J67" s="3168"/>
      <c r="K67" s="2499" t="s">
        <v>2255</v>
      </c>
      <c r="L67" s="1748"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3"/>
      <c r="AI67" s="2424"/>
    </row>
    <row r="68" spans="1:35" ht="14.25" hidden="1" customHeight="1" thickBot="1">
      <c r="A68" s="208" t="s">
        <v>774</v>
      </c>
      <c r="B68" s="209" t="s">
        <v>2256</v>
      </c>
      <c r="C68" s="210">
        <f ca="1">IF(C67&lt;=0,0,ROUND(C67*D68,0))</f>
        <v>6757</v>
      </c>
      <c r="D68" s="211">
        <f>'数据-取费表'!B41</f>
        <v>6.0499999999999998E-2</v>
      </c>
      <c r="E68" s="212"/>
      <c r="F68" s="2489"/>
      <c r="G68" s="2489"/>
      <c r="H68" s="2497"/>
      <c r="I68" s="137"/>
      <c r="J68" s="3168"/>
      <c r="K68" s="2499" t="s">
        <v>2257</v>
      </c>
      <c r="L68" s="1748" t="e">
        <f>IF(M49&gt;10000,M49*0.5%,IF(AND(M49&gt;5000,M49&lt;=10000),M49*1%,IF(AND(M49&gt;1000,M49&lt;=5000),M49*2%,IF(AND(M49&gt;200,M49&lt;=1000),M49*3%,M49*5%))))</f>
        <v>#VALUE!</v>
      </c>
      <c r="M68" s="23" t="e">
        <f>ROUND(L68,1)</f>
        <v>#VALUE!</v>
      </c>
      <c r="Z68" s="2423"/>
      <c r="AI68" s="2424"/>
    </row>
    <row r="69" spans="1:35" s="2446" customFormat="1" ht="16.5" hidden="1" customHeight="1">
      <c r="A69" s="2500"/>
      <c r="B69" s="2501"/>
      <c r="C69" s="2502"/>
      <c r="D69" s="2503"/>
      <c r="E69" s="2504"/>
      <c r="F69" s="2166"/>
      <c r="G69" s="2166"/>
      <c r="H69" s="2165"/>
      <c r="I69" s="2418"/>
      <c r="J69" s="3168"/>
      <c r="K69" s="2499" t="s">
        <v>2258</v>
      </c>
      <c r="L69" s="2505"/>
      <c r="M69" s="23" t="e">
        <f>ROUND(SUM(M63:M68),0)</f>
        <v>#VALUE!</v>
      </c>
      <c r="N69" s="1749"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27" t="s">
        <v>2259</v>
      </c>
      <c r="B70" s="3128"/>
      <c r="C70" s="3128"/>
      <c r="D70" s="3128"/>
      <c r="E70" s="3128"/>
      <c r="F70" s="3128"/>
      <c r="G70" s="3128"/>
      <c r="H70" s="312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06" t="s">
        <v>2240</v>
      </c>
      <c r="B71" s="3107"/>
      <c r="C71" s="1800"/>
      <c r="D71" s="1800" t="s">
        <v>2241</v>
      </c>
      <c r="E71" s="213" t="s">
        <v>2242</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2260</v>
      </c>
      <c r="C72" s="207">
        <f ca="1">ROUND(D45/(1+'数据-取费表'!C42),0)</f>
        <v>111678</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2261</v>
      </c>
      <c r="C73" s="207">
        <f ca="1">C74+C78</f>
        <v>614</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2262</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2263</v>
      </c>
      <c r="C75" s="218"/>
      <c r="D75" s="200" t="s">
        <v>32</v>
      </c>
      <c r="E75" s="219" t="s">
        <v>2264</v>
      </c>
      <c r="F75" s="2511" t="s">
        <v>2265</v>
      </c>
      <c r="G75" s="219" t="s">
        <v>2266</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2267</v>
      </c>
      <c r="C76" s="200">
        <f>IF(F75="购房发票",ROUND(C75*H75*D76,0),0)</f>
        <v>0</v>
      </c>
      <c r="D76" s="222">
        <v>0.05</v>
      </c>
      <c r="E76" s="3101" t="s">
        <v>2268</v>
      </c>
      <c r="F76" s="3078"/>
      <c r="G76" s="3078"/>
      <c r="H76" s="312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2269</v>
      </c>
      <c r="C77" s="200">
        <f>ROUND(IF(G77="个人住宅",0,IF(G77="2016年5月1日前购买",C75*D77,C75*D77/(1+'数据-取费表'!C42))),0)</f>
        <v>0</v>
      </c>
      <c r="D77" s="223">
        <f>'数据-取费表'!B48+'数据-取费表'!B49</f>
        <v>3.0499999999999999E-2</v>
      </c>
      <c r="E77" s="14" t="s">
        <v>2270</v>
      </c>
      <c r="F77" s="224"/>
      <c r="G77" s="2513" t="s">
        <v>2271</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2272</v>
      </c>
      <c r="C78" s="225">
        <f ca="1">ROUND(D45*D78/(1+'数据-取费表'!C42),0)</f>
        <v>614</v>
      </c>
      <c r="D78" s="226">
        <f>'数据-取费表'!B43</f>
        <v>5.5000000000000005E-3</v>
      </c>
      <c r="E78" s="3087" t="s">
        <v>2273</v>
      </c>
      <c r="F78" s="3088"/>
      <c r="G78" s="3088"/>
      <c r="H78" s="309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2274</v>
      </c>
      <c r="C79" s="207">
        <f ca="1">C72-C73</f>
        <v>111064</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2275</v>
      </c>
      <c r="C80" s="227">
        <f ca="1">IF(C79&lt;=0,0,C79/C73)</f>
        <v>180.88599348534203</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2276</v>
      </c>
      <c r="C81" s="228">
        <f ca="1">ROUND(IF(C79&lt;=0,0,IF(C80&gt;=200%,C79*60%-C73*35%,IF(C80&gt;=100%,C79*50%-C73*15%,IF(C80&gt;=50%,C79*40%-C73*5%,IF(C80&lt;50%,C79*30%,0))))),0)</f>
        <v>66424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27" t="s">
        <v>2277</v>
      </c>
      <c r="B83" s="3128"/>
      <c r="C83" s="3128"/>
      <c r="D83" s="3128"/>
      <c r="E83" s="3128"/>
      <c r="F83" s="3128"/>
      <c r="G83" s="3128"/>
      <c r="H83" s="312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06" t="s">
        <v>2240</v>
      </c>
      <c r="B84" s="3107"/>
      <c r="C84" s="1800"/>
      <c r="D84" s="1800" t="s">
        <v>2241</v>
      </c>
      <c r="E84" s="213" t="s">
        <v>2242</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2260</v>
      </c>
      <c r="C85" s="207">
        <f ca="1">ROUND(D45/(1+'数据-取费表'!C42),0)</f>
        <v>111678</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2261</v>
      </c>
      <c r="C86" s="207">
        <f ca="1">IF(H88="仅含出让金",C87+C90+C91+C92+C93+C94,C87+C91+C92+C93+C94)</f>
        <v>614</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2278</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2279</v>
      </c>
      <c r="C88" s="236"/>
      <c r="D88" s="226"/>
      <c r="E88" s="237" t="s">
        <v>2280</v>
      </c>
      <c r="F88" s="1796"/>
      <c r="G88" s="238" t="s">
        <v>2281</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2269</v>
      </c>
      <c r="C89" s="225">
        <f>ROUND(C88*D89,0)</f>
        <v>0</v>
      </c>
      <c r="D89" s="226">
        <f>'数据-取费表'!B48+'数据-取费表'!B49</f>
        <v>3.0499999999999999E-2</v>
      </c>
      <c r="E89" s="237" t="s">
        <v>2282</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2283</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2284</v>
      </c>
      <c r="B91" s="198" t="s">
        <v>2285</v>
      </c>
      <c r="C91" s="225">
        <f>IF(H91="——",成本法!C33,I91)</f>
        <v>0</v>
      </c>
      <c r="D91" s="226"/>
      <c r="E91" s="3087" t="s">
        <v>2286</v>
      </c>
      <c r="F91" s="3088"/>
      <c r="G91" s="3088"/>
      <c r="H91" s="2518" t="s">
        <v>2287</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2288</v>
      </c>
      <c r="B92" s="198" t="s">
        <v>2289</v>
      </c>
      <c r="C92" s="225">
        <f>ROUND((C87+C90+C91)*D92,0)</f>
        <v>0</v>
      </c>
      <c r="D92" s="226">
        <v>0.1</v>
      </c>
      <c r="E92" s="3087" t="s">
        <v>2290</v>
      </c>
      <c r="F92" s="3088"/>
      <c r="G92" s="3088"/>
      <c r="H92" s="309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2291</v>
      </c>
      <c r="B93" s="198" t="s">
        <v>2272</v>
      </c>
      <c r="C93" s="225">
        <f ca="1">ROUND(D45*D93/(1+'数据-取费表'!C42),0)</f>
        <v>614</v>
      </c>
      <c r="D93" s="226">
        <f>'数据-取费表'!B43</f>
        <v>5.5000000000000005E-3</v>
      </c>
      <c r="E93" s="3087" t="s">
        <v>2273</v>
      </c>
      <c r="F93" s="3088"/>
      <c r="G93" s="3088"/>
      <c r="H93" s="309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2292</v>
      </c>
      <c r="B94" s="198" t="s">
        <v>2293</v>
      </c>
      <c r="C94" s="236">
        <f>ROUND((C87+C90+C91)*D94,0)</f>
        <v>0</v>
      </c>
      <c r="D94" s="226">
        <v>0.2</v>
      </c>
      <c r="E94" s="3098" t="s">
        <v>2294</v>
      </c>
      <c r="F94" s="3099"/>
      <c r="G94" s="3099"/>
      <c r="H94" s="310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2274</v>
      </c>
      <c r="C95" s="207">
        <f ca="1">ROUND(C85-C86,0)</f>
        <v>111064</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2275</v>
      </c>
      <c r="C96" s="227">
        <f ca="1">IF(C95&lt;=0,0,C95/C86)</f>
        <v>180.88599348534203</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2276</v>
      </c>
      <c r="C97" s="228">
        <f ca="1">ROUND(IF(C95&lt;=0,0,IF(C96&gt;=200%,C95*60%-C86*35%,IF(C96&gt;=100%,C95*50%-C86*15%,IF(C96&gt;=50%,C95*40%-C86*5%,IF(C96&lt;50%,C95*30%,0))))),0)</f>
        <v>66424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7"/>
    </row>
    <row r="99" spans="1:35" ht="21.75" customHeight="1" thickBot="1">
      <c r="A99" s="2474" t="s">
        <v>2295</v>
      </c>
      <c r="B99" s="2418"/>
      <c r="C99" s="2418"/>
      <c r="D99" s="2418"/>
      <c r="E99" s="2166"/>
      <c r="F99" s="2166"/>
      <c r="G99" s="2166"/>
      <c r="H99" s="2165"/>
      <c r="I99" s="137"/>
    </row>
    <row r="100" spans="1:35" ht="18.75" customHeight="1">
      <c r="A100" s="3072" t="s">
        <v>2296</v>
      </c>
      <c r="B100" s="3073"/>
      <c r="C100" s="3073"/>
      <c r="D100" s="3089"/>
      <c r="E100" s="3073" t="s">
        <v>2297</v>
      </c>
      <c r="F100" s="3073"/>
      <c r="G100" s="3073"/>
      <c r="H100" s="3089"/>
      <c r="I100" s="137"/>
    </row>
    <row r="101" spans="1:35" ht="36" customHeight="1">
      <c r="A101" s="3151" t="s">
        <v>2298</v>
      </c>
      <c r="B101" s="3152"/>
      <c r="C101" s="736" t="str">
        <f>C4</f>
        <v>成本法</v>
      </c>
      <c r="D101" s="737" t="str">
        <f>D4</f>
        <v>收益法（汇总）</v>
      </c>
      <c r="E101" s="3165" t="s">
        <v>2299</v>
      </c>
      <c r="F101" s="3119"/>
      <c r="G101" s="2520" t="s">
        <v>2300</v>
      </c>
      <c r="H101" s="1045">
        <f ca="1">H118</f>
        <v>117820</v>
      </c>
      <c r="I101" s="137"/>
      <c r="J101" s="795">
        <v>117555</v>
      </c>
    </row>
    <row r="102" spans="1:35" ht="18.75" customHeight="1">
      <c r="A102" s="3121" t="s">
        <v>2301</v>
      </c>
      <c r="B102" s="2520" t="s">
        <v>2300</v>
      </c>
      <c r="C102" s="736">
        <f ca="1">C19</f>
        <v>132434</v>
      </c>
      <c r="D102" s="737">
        <f ca="1">D19</f>
        <v>137395</v>
      </c>
      <c r="E102" s="3165"/>
      <c r="F102" s="3119"/>
      <c r="G102" s="2520" t="s">
        <v>2302</v>
      </c>
      <c r="H102" s="371">
        <f ca="1">I118</f>
        <v>10075</v>
      </c>
      <c r="I102" s="137"/>
      <c r="J102" s="795">
        <f ca="1">J101-H101</f>
        <v>-265</v>
      </c>
    </row>
    <row r="103" spans="1:35" ht="42.75" customHeight="1">
      <c r="A103" s="3121"/>
      <c r="B103" s="2520" t="s">
        <v>2302</v>
      </c>
      <c r="C103" s="738">
        <f ca="1">C20</f>
        <v>11325</v>
      </c>
      <c r="D103" s="739">
        <f ca="1">D20</f>
        <v>11749</v>
      </c>
      <c r="E103" s="3160" t="s">
        <v>2303</v>
      </c>
      <c r="F103" s="3161"/>
      <c r="G103" s="2521" t="s">
        <v>2304</v>
      </c>
      <c r="H103" s="1045">
        <f>IF(D36="正常操作",H104+H105+H106,H105+H106)</f>
        <v>0</v>
      </c>
      <c r="I103" s="137"/>
    </row>
    <row r="104" spans="1:35" ht="18.75" customHeight="1">
      <c r="A104" s="3121" t="s">
        <v>2305</v>
      </c>
      <c r="B104" s="2522" t="s">
        <v>2300</v>
      </c>
      <c r="C104" s="740">
        <f ca="1">H118</f>
        <v>117820</v>
      </c>
      <c r="D104" s="741"/>
      <c r="E104" s="2267" t="s">
        <v>2306</v>
      </c>
      <c r="F104" s="2258"/>
      <c r="G104" s="2521" t="s">
        <v>2304</v>
      </c>
      <c r="H104" s="1046">
        <f>IF(D36="同一抵押权人同一抵押物续贷",C36&amp;"（未扣减，详见特别提示）",C36)</f>
        <v>0</v>
      </c>
      <c r="I104" s="137"/>
    </row>
    <row r="105" spans="1:35" ht="18.75" customHeight="1" thickBot="1">
      <c r="A105" s="3122"/>
      <c r="B105" s="2523" t="s">
        <v>2302</v>
      </c>
      <c r="C105" s="742">
        <f ca="1">I118</f>
        <v>10075</v>
      </c>
      <c r="D105" s="743"/>
      <c r="E105" s="2267" t="s">
        <v>2307</v>
      </c>
      <c r="F105" s="2258"/>
      <c r="G105" s="2521" t="s">
        <v>2304</v>
      </c>
      <c r="H105" s="1046">
        <f>C37</f>
        <v>0</v>
      </c>
      <c r="I105" s="137"/>
    </row>
    <row r="106" spans="1:35" ht="18.75" customHeight="1">
      <c r="A106" s="2418" t="s">
        <v>2308</v>
      </c>
      <c r="B106" s="2418"/>
      <c r="C106" s="2418"/>
      <c r="D106" s="2418"/>
      <c r="E106" s="2524" t="s">
        <v>2309</v>
      </c>
      <c r="F106" s="2258"/>
      <c r="G106" s="2521" t="s">
        <v>2304</v>
      </c>
      <c r="H106" s="1046">
        <f>C38</f>
        <v>0</v>
      </c>
      <c r="I106" s="137"/>
    </row>
    <row r="107" spans="1:35" ht="18.75" customHeight="1">
      <c r="A107" s="137"/>
      <c r="B107" s="137"/>
      <c r="C107" s="137"/>
      <c r="D107" s="137"/>
      <c r="E107" s="3118" t="str">
        <f>IF(项目基本情况!E8="已注销","——","3.房地产抵押价值")</f>
        <v>3.房地产抵押价值</v>
      </c>
      <c r="F107" s="3119"/>
      <c r="G107" s="2520" t="s">
        <v>2300</v>
      </c>
      <c r="H107" s="1045">
        <f ca="1">IF(E107="——","——",H101-H103)</f>
        <v>117820</v>
      </c>
      <c r="I107" s="137"/>
    </row>
    <row r="108" spans="1:35" ht="18.75" customHeight="1">
      <c r="A108" s="137"/>
      <c r="B108" s="137"/>
      <c r="C108" s="137"/>
      <c r="D108" s="137"/>
      <c r="E108" s="3118"/>
      <c r="F108" s="3119"/>
      <c r="G108" s="2520" t="s">
        <v>2302</v>
      </c>
      <c r="H108" s="371">
        <f ca="1">ROUND(H107*10000/'数据-汇总表'!E3,0)</f>
        <v>10075</v>
      </c>
      <c r="I108" s="137"/>
    </row>
    <row r="109" spans="1:35" ht="18.75" customHeight="1">
      <c r="A109" s="137"/>
      <c r="B109" s="137"/>
      <c r="C109" s="137"/>
      <c r="D109" s="137"/>
      <c r="E109" s="3118" t="str">
        <f>IF(项目基本情况!E8="已注销及未注销","4.抵押担保权已注销时的房地产抵押价值",IF(项目基本情况!E8="已注销","3.抵押担保权已注销时的房地产抵押价值","——"))</f>
        <v>——</v>
      </c>
      <c r="F109" s="3119"/>
      <c r="G109" s="2520" t="s">
        <v>2300</v>
      </c>
      <c r="H109" s="348" t="str">
        <f>IF(E109="——","——",H101-H105-H106)</f>
        <v>——</v>
      </c>
      <c r="I109" s="137"/>
    </row>
    <row r="110" spans="1:35" ht="18.75" customHeight="1">
      <c r="A110" s="137"/>
      <c r="B110" s="137"/>
      <c r="C110" s="137"/>
      <c r="D110" s="137"/>
      <c r="E110" s="3118"/>
      <c r="F110" s="3119"/>
      <c r="G110" s="2520" t="s">
        <v>2302</v>
      </c>
      <c r="H110" s="371" t="str">
        <f>IF(H109="——","——",ROUND(H109*10000/'数据-汇总表'!E3,0))</f>
        <v>——</v>
      </c>
      <c r="I110" s="137"/>
    </row>
    <row r="111" spans="1:35" ht="18.75" customHeight="1">
      <c r="A111" s="137"/>
      <c r="B111" s="137"/>
      <c r="C111" s="137"/>
      <c r="D111" s="137"/>
      <c r="E111" s="3153" t="str">
        <f>IF(项目基本情况!E9="抵押净值",IF(OR(项目基本情况!E8="已注销",项目基本情况!E8="房地产抵押价值"),"4.抵押净值","5.抵押净值"),"——")</f>
        <v>——</v>
      </c>
      <c r="F111" s="3154"/>
      <c r="G111" s="2520" t="s">
        <v>2300</v>
      </c>
      <c r="H111" s="1045" t="str">
        <f>IF(E111="——","——",N59)</f>
        <v>——</v>
      </c>
      <c r="I111" s="137"/>
    </row>
    <row r="112" spans="1:35" ht="18.75" customHeight="1" thickBot="1">
      <c r="A112" s="137"/>
      <c r="B112" s="137"/>
      <c r="C112" s="137"/>
      <c r="D112" s="137"/>
      <c r="E112" s="3155"/>
      <c r="F112" s="3156"/>
      <c r="G112" s="2525" t="s">
        <v>2302</v>
      </c>
      <c r="H112" s="790" t="str">
        <f>IF(E111="——","——",N61)</f>
        <v>——</v>
      </c>
      <c r="I112" s="137"/>
    </row>
    <row r="113" spans="1:11" ht="18.75" customHeight="1">
      <c r="A113" s="137"/>
      <c r="B113" s="137"/>
      <c r="C113" s="137"/>
      <c r="D113" s="137"/>
      <c r="E113" s="3123" t="s">
        <v>2308</v>
      </c>
      <c r="F113" s="3123"/>
      <c r="G113" s="3123"/>
      <c r="H113" s="3123"/>
      <c r="I113" s="137"/>
    </row>
    <row r="114" spans="1:11" ht="3.75" customHeight="1">
      <c r="A114" s="2418"/>
      <c r="B114" s="2418"/>
      <c r="C114" s="2418"/>
      <c r="D114" s="2418"/>
      <c r="E114" s="2496"/>
      <c r="F114" s="2496"/>
      <c r="G114" s="2496"/>
      <c r="H114" s="2496"/>
      <c r="I114" s="2418"/>
    </row>
    <row r="115" spans="1:11" ht="18.75" customHeight="1">
      <c r="A115" s="3136" t="s">
        <v>2310</v>
      </c>
      <c r="B115" s="3137"/>
      <c r="C115" s="3137"/>
      <c r="D115" s="3137"/>
      <c r="E115" s="3137"/>
      <c r="F115" s="3137"/>
      <c r="G115" s="3137"/>
      <c r="H115" s="3137"/>
      <c r="I115" s="3138"/>
    </row>
    <row r="116" spans="1:11" ht="27" customHeight="1">
      <c r="A116" s="3029" t="s">
        <v>2311</v>
      </c>
      <c r="B116" s="3124" t="s">
        <v>3154</v>
      </c>
      <c r="C116" s="3124" t="s">
        <v>3155</v>
      </c>
      <c r="D116" s="3140" t="s">
        <v>2312</v>
      </c>
      <c r="E116" s="3141"/>
      <c r="F116" s="3132" t="s">
        <v>2313</v>
      </c>
      <c r="G116" s="3132"/>
      <c r="H116" s="3029" t="s">
        <v>2314</v>
      </c>
      <c r="I116" s="3029"/>
    </row>
    <row r="117" spans="1:11" ht="18.75" customHeight="1">
      <c r="A117" s="3029"/>
      <c r="B117" s="3125"/>
      <c r="C117" s="3125"/>
      <c r="D117" s="1794" t="s">
        <v>2315</v>
      </c>
      <c r="E117" s="1794" t="s">
        <v>2316</v>
      </c>
      <c r="F117" s="1794" t="s">
        <v>2315</v>
      </c>
      <c r="G117" s="1794" t="s">
        <v>2317</v>
      </c>
      <c r="H117" s="1794" t="s">
        <v>2315</v>
      </c>
      <c r="I117" s="1794" t="s">
        <v>2317</v>
      </c>
    </row>
    <row r="118" spans="1:11" ht="24.75" customHeight="1">
      <c r="A118" s="2526" t="str">
        <f>项目基本情况!S2</f>
        <v>房地产</v>
      </c>
      <c r="B118" s="1794">
        <f>M18</f>
        <v>116944.15</v>
      </c>
      <c r="C118" s="1794">
        <f>M19</f>
        <v>138145.20000000001</v>
      </c>
      <c r="D118" s="1794">
        <f ca="1">ROUND(IF(D32="总价",C34,E118*B118/10000),0)</f>
        <v>56907</v>
      </c>
      <c r="E118" s="1794">
        <f ca="1">ROUND(IF(C33="自定义",IF(D32="楼面单价",C34,D118*10000/B118),I118-G118),0)</f>
        <v>4866</v>
      </c>
      <c r="F118" s="1794">
        <f ca="1">ROUND(IF(D32="总价",C35,G118*B118/10000),0)</f>
        <v>60913</v>
      </c>
      <c r="G118" s="1794">
        <f ca="1">ROUND(IF(D32="楼面单价",C35,F118*10000/B118),0)</f>
        <v>5209</v>
      </c>
      <c r="H118" s="1794">
        <f ca="1">ROUND(IF(D32="总价",C32,I118*B118/10000),0)</f>
        <v>117820</v>
      </c>
      <c r="I118" s="1794">
        <f ca="1">ROUND(IF(D32="楼面单价",C32,H118*10000/B118),0)</f>
        <v>10075</v>
      </c>
    </row>
    <row r="119" spans="1:11" ht="18.75" customHeight="1">
      <c r="A119" s="3029" t="s">
        <v>2318</v>
      </c>
      <c r="B119" s="3029"/>
      <c r="C119" s="3029"/>
      <c r="D119" s="3129" t="str">
        <f ca="1">NUMBERSTRING(INT(D118*10000),2)&amp;"元整"</f>
        <v>伍亿陆仟玖佰零柒万元整</v>
      </c>
      <c r="E119" s="3131"/>
      <c r="F119" s="3129" t="str">
        <f ca="1">NUMBERSTRING(INT(F118*10000),2)&amp;"元整"</f>
        <v>陆亿零玖佰壹拾叁万元整</v>
      </c>
      <c r="G119" s="3131"/>
      <c r="H119" s="3129" t="str">
        <f ca="1">NUMBERSTRING(INT(H118*10000),2)&amp;"元整"</f>
        <v>壹拾壹亿柒仟捌佰贰拾万元整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23" t="str">
        <f>IF(D120=0,"故，本次评估不存在"&amp;A120,"故，本次评估"&amp;A120&amp;"为人民币"&amp;D120&amp;"万元整。")</f>
        <v>故，本次评估不存在估价师知悉的法定优先受偿款</v>
      </c>
    </row>
    <row r="121" spans="1:11" ht="18.75" customHeight="1">
      <c r="A121" s="3133" t="s">
        <v>2318</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f ca="1">H107</f>
        <v>117820</v>
      </c>
      <c r="E122" s="3158"/>
      <c r="F122" s="3158"/>
      <c r="G122" s="3158"/>
      <c r="H122" s="3158"/>
      <c r="I122" s="3159"/>
    </row>
    <row r="123" spans="1:11" ht="18.75" customHeight="1">
      <c r="A123" s="3029" t="s">
        <v>2318</v>
      </c>
      <c r="B123" s="3029"/>
      <c r="C123" s="3029"/>
      <c r="D123" s="3129" t="str">
        <f ca="1">NUMBERSTRING(INT(D122*10000),2)&amp;"元整"</f>
        <v>壹拾壹亿柒仟捌佰贰拾万元整</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29" t="s">
        <v>2318</v>
      </c>
      <c r="B125" s="3029"/>
      <c r="C125" s="3029"/>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29" t="s">
        <v>2318</v>
      </c>
      <c r="B127" s="3029"/>
      <c r="C127" s="3029"/>
      <c r="D127" s="3129" t="e">
        <f>NUMBERSTRING(INT(D126*10000),2)&amp;"元整"</f>
        <v>#VALUE!</v>
      </c>
      <c r="E127" s="3130"/>
      <c r="F127" s="3130"/>
      <c r="G127" s="3130"/>
      <c r="H127" s="3130"/>
      <c r="I127" s="3131"/>
    </row>
    <row r="128" spans="1:11" ht="21.75" customHeight="1">
      <c r="A128" s="3139" t="s">
        <v>2319</v>
      </c>
      <c r="B128" s="3139"/>
      <c r="C128" s="3139"/>
      <c r="D128" s="3139"/>
      <c r="E128" s="3139"/>
      <c r="F128" s="3139"/>
      <c r="G128" s="3139"/>
      <c r="H128" s="3139"/>
      <c r="I128" s="3139"/>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1"/>
      <c r="G142" s="795"/>
      <c r="H142" s="795"/>
      <c r="I142" s="795"/>
    </row>
    <row r="143" spans="1:35" s="138"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13">
    <cfRule type="cellIs" dxfId="153" priority="9" stopIfTrue="1" operator="equal">
      <formula>15</formula>
    </cfRule>
  </conditionalFormatting>
  <conditionalFormatting sqref="C10:C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52" sqref="A4:G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9</v>
      </c>
    </row>
    <row r="2" spans="1:9" s="244" customFormat="1" ht="18" customHeight="1">
      <c r="A2" s="245" t="s">
        <v>2328</v>
      </c>
      <c r="B2" s="246">
        <f ca="1">IF(D2="——",C52,C52-E2)</f>
        <v>132434</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11325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41667</v>
      </c>
      <c r="D5" s="255" t="s">
        <v>2335</v>
      </c>
      <c r="E5" s="256" t="s">
        <v>2336</v>
      </c>
      <c r="F5" s="256" t="s">
        <v>2337</v>
      </c>
      <c r="G5" s="257"/>
    </row>
    <row r="6" spans="1:9" s="258" customFormat="1" ht="13.5" customHeight="1">
      <c r="A6" s="949" t="s">
        <v>2338</v>
      </c>
      <c r="B6" s="259" t="s">
        <v>2339</v>
      </c>
      <c r="C6" s="260">
        <f>'土地比较法-住宅、综合'!B2</f>
        <v>37937</v>
      </c>
      <c r="D6" s="261"/>
      <c r="E6" s="262"/>
      <c r="F6" s="262"/>
      <c r="G6" s="263"/>
    </row>
    <row r="7" spans="1:9" s="258" customFormat="1" ht="13.5" customHeight="1">
      <c r="A7" s="949" t="s">
        <v>2340</v>
      </c>
      <c r="B7" s="259" t="s">
        <v>2341</v>
      </c>
      <c r="C7" s="264">
        <f>ROUND(C6*F7,0)</f>
        <v>1157</v>
      </c>
      <c r="D7" s="264"/>
      <c r="E7" s="262"/>
      <c r="F7" s="265">
        <f>'数据-取费表'!B48+'数据-取费表'!B49</f>
        <v>3.0499999999999999E-2</v>
      </c>
      <c r="G7" s="263"/>
    </row>
    <row r="8" spans="1:9" s="267" customFormat="1">
      <c r="A8" s="949" t="s">
        <v>2342</v>
      </c>
      <c r="B8" s="259" t="s">
        <v>2343</v>
      </c>
      <c r="C8" s="264">
        <f ca="1">IF(G8="已包含在土地购买价格中","0",IF(B1="",'数据-取费表'!B29,IF(G9="全部缴纳",C9+C10,H9)))</f>
        <v>2573</v>
      </c>
      <c r="D8" s="266"/>
      <c r="E8" s="264"/>
      <c r="F8" s="265"/>
      <c r="G8" s="2552" t="s">
        <v>3147</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3" t="s">
        <v>3148</v>
      </c>
      <c r="H9" s="2982">
        <f ca="1">C8</f>
        <v>2573</v>
      </c>
      <c r="I9" s="2554" t="s">
        <v>2345</v>
      </c>
    </row>
    <row r="10" spans="1:9" s="258" customFormat="1" ht="13.5" customHeight="1">
      <c r="A10" s="950" t="s">
        <v>801</v>
      </c>
      <c r="B10" s="268" t="s">
        <v>2346</v>
      </c>
      <c r="C10" s="269">
        <f ca="1">ROUND(D10*E10/10000,0)</f>
        <v>2573</v>
      </c>
      <c r="D10" s="1032">
        <f ca="1">IF(B1="",'数据-汇总表'!E6,IF(INDIRECT("'数据-取费表'!c"&amp;$G$1)="住宅",INDIRECT("'数据-取费表'!s"&amp;$G$1),INDIRECT("'数据-取费表'!k"&amp;$G$1)+INDIRECT("'数据-取费表'!s"&amp;$G$1)))</f>
        <v>116944.15</v>
      </c>
      <c r="E10" s="269">
        <f>'数据-取费表'!B28</f>
        <v>220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116944.15</v>
      </c>
      <c r="E19" s="255">
        <f>'数据-取费表'!B31</f>
        <v>200</v>
      </c>
      <c r="F19" s="275"/>
      <c r="G19" s="2552" t="s">
        <v>3149</v>
      </c>
    </row>
    <row r="20" spans="1:7" s="258" customFormat="1" ht="13.5" customHeight="1">
      <c r="A20" s="299" t="s">
        <v>2359</v>
      </c>
      <c r="B20" s="254" t="s">
        <v>2360</v>
      </c>
      <c r="C20" s="276">
        <f ca="1">ROUND((C5+C19)*F20,0)</f>
        <v>1250</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4">
        <f ca="1">ROUND(SUM(C23:C25),0)</f>
        <v>6314</v>
      </c>
      <c r="D22" s="279">
        <f ca="1">C26</f>
        <v>2.2000000000000001E-3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6224</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90</v>
      </c>
      <c r="D25" s="282"/>
      <c r="E25" s="285"/>
      <c r="F25" s="283"/>
      <c r="G25" s="286" t="s">
        <v>2376</v>
      </c>
    </row>
    <row r="26" spans="1:7" s="258" customFormat="1">
      <c r="A26" s="951" t="s">
        <v>795</v>
      </c>
      <c r="B26" s="259" t="s">
        <v>2377</v>
      </c>
      <c r="C26" s="282">
        <f ca="1">ROUND(IF('数据-取费表'!B22&lt;=1,F21*F22*'数据-取费表'!B23/2,F21*(POWER((1+F22),'数据-取费表'!B23/2)-1)),4)</f>
        <v>2.2000000000000001E-3</v>
      </c>
      <c r="D26" s="282"/>
      <c r="E26" s="285"/>
      <c r="F26" s="283"/>
      <c r="G26" s="287"/>
    </row>
    <row r="27" spans="1:7" s="258" customFormat="1" ht="24.75">
      <c r="A27" s="299" t="s">
        <v>2378</v>
      </c>
      <c r="B27" s="288" t="s">
        <v>2379</v>
      </c>
      <c r="C27" s="289">
        <f ca="1">C28</f>
        <v>8583</v>
      </c>
      <c r="D27" s="279">
        <f ca="1">C29</f>
        <v>6.0000000000000001E-3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8583</v>
      </c>
      <c r="D28" s="279"/>
      <c r="E28" s="280"/>
      <c r="F28" s="290"/>
      <c r="G28" s="291"/>
    </row>
    <row r="29" spans="1:7" s="258" customFormat="1" ht="13.5" customHeight="1">
      <c r="A29" s="951"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5.7299999999999997E-2</v>
      </c>
      <c r="D30" s="280" t="s">
        <v>2380</v>
      </c>
      <c r="E30" s="285"/>
      <c r="F30" s="281">
        <f>'数据-取费表'!B41</f>
        <v>6.0499999999999998E-2</v>
      </c>
      <c r="G30" s="278" t="s">
        <v>2386</v>
      </c>
    </row>
    <row r="31" spans="1:7" ht="16.5" customHeight="1">
      <c r="A31" s="253">
        <v>1</v>
      </c>
      <c r="B31" s="254" t="s">
        <v>2387</v>
      </c>
      <c r="C31" s="255">
        <f ca="1">ROUND((C5+C19+C20+C22+C27)/(1-C21-D22-D27-C30),0)</f>
        <v>63918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57332</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52625</v>
      </c>
      <c r="D34" s="261"/>
      <c r="E34" s="264"/>
      <c r="F34" s="301">
        <f ca="1">IF('数据-取费表'!B24=0,1,IF(B1="",'数据-取费表'!N16,INDIRECT("'数据-取费表'!n"&amp;$G$1)))</f>
        <v>1</v>
      </c>
      <c r="G34" s="263" t="s">
        <v>2392</v>
      </c>
    </row>
    <row r="35" spans="1:7" ht="13.5" customHeight="1">
      <c r="A35" s="951" t="s">
        <v>796</v>
      </c>
      <c r="B35" s="259" t="s">
        <v>2393</v>
      </c>
      <c r="C35" s="264">
        <f ca="1">ROUND(C34*F35,0)</f>
        <v>1579</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2339</v>
      </c>
      <c r="D37" s="261">
        <f ca="1">D19</f>
        <v>116944.15</v>
      </c>
      <c r="E37" s="293">
        <f>'数据-取费表'!B35</f>
        <v>200</v>
      </c>
      <c r="F37" s="303"/>
      <c r="G37" s="305" t="s">
        <v>2398</v>
      </c>
    </row>
    <row r="38" spans="1:7" ht="13.5" customHeight="1">
      <c r="A38" s="951" t="s">
        <v>799</v>
      </c>
      <c r="B38" s="259" t="s">
        <v>2399</v>
      </c>
      <c r="C38" s="264">
        <f ca="1">ROUND(C34*F38,0)</f>
        <v>789</v>
      </c>
      <c r="D38" s="264"/>
      <c r="E38" s="264"/>
      <c r="F38" s="303">
        <f>'数据-取费表'!B36</f>
        <v>1.4999999999999999E-2</v>
      </c>
      <c r="G38" s="263" t="s">
        <v>2394</v>
      </c>
    </row>
    <row r="39" spans="1:7" s="258" customFormat="1" ht="13.5" customHeight="1">
      <c r="A39" s="299" t="s">
        <v>2400</v>
      </c>
      <c r="B39" s="254" t="s">
        <v>2401</v>
      </c>
      <c r="C39" s="276">
        <f ca="1">ROUND(C33*F20,0)</f>
        <v>1720</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4257</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4133</v>
      </c>
      <c r="D42" s="282"/>
      <c r="E42" s="282"/>
      <c r="F42" s="283"/>
      <c r="G42" s="3171" t="s">
        <v>2410</v>
      </c>
    </row>
    <row r="43" spans="1:7" ht="13.5" customHeight="1">
      <c r="A43" s="951" t="s">
        <v>792</v>
      </c>
      <c r="B43" s="259" t="s">
        <v>2411</v>
      </c>
      <c r="C43" s="282">
        <f ca="1">ROUND(IF('数据-取费表'!B22&lt;=1,C39*F22*'数据-取费表'!B21/2,C39*(POWER((1+F22),'数据-取费表'!B21/2)-1)),0)</f>
        <v>124</v>
      </c>
      <c r="D43" s="282"/>
      <c r="E43" s="282"/>
      <c r="F43" s="283"/>
      <c r="G43" s="3172"/>
    </row>
    <row r="44" spans="1:7" ht="13.5" customHeight="1">
      <c r="A44" s="951" t="s">
        <v>793</v>
      </c>
      <c r="B44" s="259" t="s">
        <v>2412</v>
      </c>
      <c r="C44" s="282">
        <f ca="1">ROUND(IF('数据-取费表'!B22&lt;=1,C40*F22*'数据-取费表'!B21/2,C40*(POWER((1+F22),'数据-取费表'!B21/2)-1)),4)</f>
        <v>2.2000000000000001E-3</v>
      </c>
      <c r="D44" s="282"/>
      <c r="E44" s="282"/>
      <c r="F44" s="283"/>
      <c r="G44" s="3173"/>
    </row>
    <row r="45" spans="1:7" s="258" customFormat="1" ht="13.5" customHeight="1">
      <c r="A45" s="299" t="s">
        <v>2413</v>
      </c>
      <c r="B45" s="288" t="s">
        <v>2379</v>
      </c>
      <c r="C45" s="289">
        <f ca="1">C46</f>
        <v>11810</v>
      </c>
      <c r="D45" s="279">
        <f ca="1">C47</f>
        <v>6.0000000000000001E-3</v>
      </c>
      <c r="E45" s="280" t="s">
        <v>2405</v>
      </c>
      <c r="F45" s="290"/>
      <c r="G45" s="291" t="s">
        <v>2414</v>
      </c>
    </row>
    <row r="46" spans="1:7" s="258" customFormat="1" ht="13.5" customHeight="1">
      <c r="A46" s="951" t="s">
        <v>791</v>
      </c>
      <c r="B46" s="292" t="s">
        <v>2415</v>
      </c>
      <c r="C46" s="293">
        <f ca="1">ROUND((C33+C39)*F27,0)</f>
        <v>11810</v>
      </c>
      <c r="D46" s="307"/>
      <c r="E46" s="280"/>
      <c r="F46" s="290"/>
      <c r="G46" s="291"/>
    </row>
    <row r="47" spans="1:7" s="258" customFormat="1" ht="13.5" customHeight="1">
      <c r="A47" s="951" t="s">
        <v>792</v>
      </c>
      <c r="B47" s="292" t="s">
        <v>2416</v>
      </c>
      <c r="C47" s="282">
        <f ca="1">ROUND(C40*F27,4)</f>
        <v>6.0000000000000001E-3</v>
      </c>
      <c r="D47" s="307"/>
      <c r="E47" s="280"/>
      <c r="F47" s="290"/>
      <c r="G47" s="291"/>
    </row>
    <row r="48" spans="1:7" s="258" customFormat="1" ht="13.5" customHeight="1">
      <c r="A48" s="299" t="s">
        <v>2378</v>
      </c>
      <c r="B48" s="254" t="s">
        <v>2417</v>
      </c>
      <c r="C48" s="1727">
        <f>ROUND(F30/(1+'数据-取费表'!C42),4)</f>
        <v>5.7299999999999997E-2</v>
      </c>
      <c r="D48" s="280" t="s">
        <v>2405</v>
      </c>
      <c r="E48" s="276"/>
      <c r="F48" s="281"/>
      <c r="G48" s="278" t="s">
        <v>2418</v>
      </c>
    </row>
    <row r="49" spans="1:7" ht="16.5" customHeight="1">
      <c r="A49" s="299" t="s">
        <v>2384</v>
      </c>
      <c r="B49" s="254" t="s">
        <v>2419</v>
      </c>
      <c r="C49" s="276">
        <f ca="1">ROUND((C33+C39+C41+C45)/(1-C40-D41-D45-C48),0)</f>
        <v>83050</v>
      </c>
      <c r="D49" s="276"/>
      <c r="E49" s="276"/>
      <c r="F49" s="308"/>
      <c r="G49" s="278" t="s">
        <v>2420</v>
      </c>
    </row>
    <row r="50" spans="1:7" s="302" customFormat="1" ht="24">
      <c r="A50" s="299" t="s">
        <v>2421</v>
      </c>
      <c r="B50" s="254" t="s">
        <v>2422</v>
      </c>
      <c r="C50" s="276"/>
      <c r="D50" s="276"/>
      <c r="E50" s="276"/>
      <c r="F50" s="308">
        <f>IF('数据-取费表'!B24=0,'数据-取费表'!N16,1)</f>
        <v>0.82499999999999996</v>
      </c>
      <c r="G50" s="291" t="s">
        <v>2423</v>
      </c>
    </row>
    <row r="51" spans="1:7" ht="16.5" customHeight="1">
      <c r="A51" s="299" t="s">
        <v>2424</v>
      </c>
      <c r="B51" s="254" t="s">
        <v>2425</v>
      </c>
      <c r="C51" s="276">
        <f ca="1">ROUND(C49*F50,0)</f>
        <v>68516</v>
      </c>
      <c r="D51" s="276"/>
      <c r="E51" s="276"/>
      <c r="F51" s="308"/>
      <c r="G51" s="278" t="s">
        <v>2426</v>
      </c>
    </row>
    <row r="52" spans="1:7" s="252" customFormat="1" ht="16.5" thickBot="1">
      <c r="A52" s="309" t="s">
        <v>2427</v>
      </c>
      <c r="B52" s="310"/>
      <c r="C52" s="311">
        <f ca="1">C31+C51</f>
        <v>132434</v>
      </c>
      <c r="D52" s="310"/>
      <c r="E52" s="310"/>
      <c r="F52" s="310"/>
      <c r="G52" s="312"/>
    </row>
    <row r="55" spans="1:7" ht="15">
      <c r="B55" s="314" t="s">
        <v>2428</v>
      </c>
      <c r="C55" s="315"/>
    </row>
    <row r="56" spans="1:7">
      <c r="B56" s="317" t="s">
        <v>1515</v>
      </c>
      <c r="C56" s="319">
        <f ca="1">1-C57</f>
        <v>0.48299999999999998</v>
      </c>
    </row>
    <row r="57" spans="1:7">
      <c r="B57" s="317" t="s">
        <v>1516</v>
      </c>
      <c r="C57" s="318">
        <f ca="1">ROUND(C51/C52,3)</f>
        <v>0.51700000000000002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5" t="str">
        <f>项目基本情况!B1</f>
        <v>预评估</v>
      </c>
      <c r="C37" s="2985"/>
      <c r="D37" s="2985"/>
      <c r="E37" s="2985"/>
      <c r="F37" s="2985"/>
      <c r="G37" s="2985"/>
      <c r="H37" s="2985"/>
      <c r="I37" s="2985"/>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刘梅（注册号：1120140022)、吴薇（注册号：1419970001)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76051</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6503</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25727713</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25727713</v>
      </c>
      <c r="D8" s="266"/>
      <c r="E8" s="264"/>
      <c r="F8" s="265"/>
      <c r="G8" s="2552"/>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25727713</v>
      </c>
      <c r="D10" s="1032">
        <f ca="1">IF(B1="",'数据-汇总表'!E6,IF(INDIRECT("'数据-取费表'!c"&amp;$G$1)="住宅",INDIRECT("'数据-取费表'!s"&amp;$G$1),INDIRECT("'数据-取费表'!k"&amp;$G$1)+INDIRECT("'数据-取费表'!s"&amp;$G$1)))</f>
        <v>116944.15</v>
      </c>
      <c r="E10" s="269">
        <f>'数据-取费表'!B28</f>
        <v>220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23388830</v>
      </c>
      <c r="D19" s="1036">
        <f ca="1">D9+D10</f>
        <v>116944.15</v>
      </c>
      <c r="E19" s="255">
        <f>'数据-取费表'!B31</f>
        <v>200</v>
      </c>
      <c r="F19" s="275"/>
      <c r="G19" s="2552"/>
    </row>
    <row r="20" spans="1:7" s="258" customFormat="1" ht="13.5" customHeight="1">
      <c r="A20" s="299" t="s">
        <v>2440</v>
      </c>
      <c r="B20" s="254" t="s">
        <v>2441</v>
      </c>
      <c r="C20" s="276">
        <f ca="1">ROUND((C5+C19)*F20,0)</f>
        <v>1473496</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0">
        <f ca="1">ROUND(SUM(C23:C25),0)</f>
        <v>7443053</v>
      </c>
      <c r="D22" s="279">
        <f ca="1">C26</f>
        <v>2.2000000000000001E-3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3843101</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3493728</v>
      </c>
      <c r="D24" s="282"/>
      <c r="E24" s="282"/>
      <c r="F24" s="283"/>
      <c r="G24" s="284" t="s">
        <v>2452</v>
      </c>
    </row>
    <row r="25" spans="1:7" s="258" customFormat="1" ht="24">
      <c r="A25" s="951" t="s">
        <v>2342</v>
      </c>
      <c r="B25" s="259" t="s">
        <v>2453</v>
      </c>
      <c r="C25" s="1381">
        <f ca="1">ROUND(IF('数据-取费表'!B22&lt;=1,C20*F22*'数据-取费表'!B22/2,C20*(POWER((1+F22),'数据-取费表'!B22/2)-1)),0)</f>
        <v>106224</v>
      </c>
      <c r="D25" s="282"/>
      <c r="E25" s="285"/>
      <c r="F25" s="283"/>
      <c r="G25" s="286" t="s">
        <v>2454</v>
      </c>
    </row>
    <row r="26" spans="1:7" s="258" customFormat="1">
      <c r="A26" s="951" t="s">
        <v>795</v>
      </c>
      <c r="B26" s="259" t="s">
        <v>2377</v>
      </c>
      <c r="C26" s="282">
        <f ca="1">ROUND(IF('数据-取费表'!B22&lt;=1,F21*F22*'数据-取费表'!B22/2,F21*(POWER((1+F22),'数据-取费表'!B22/2)-1)),4)</f>
        <v>2.2000000000000001E-3</v>
      </c>
      <c r="D26" s="282"/>
      <c r="E26" s="285"/>
      <c r="F26" s="283"/>
      <c r="G26" s="287"/>
    </row>
    <row r="27" spans="1:7" s="258" customFormat="1" ht="24.75">
      <c r="A27" s="299" t="s">
        <v>2378</v>
      </c>
      <c r="B27" s="288" t="s">
        <v>2379</v>
      </c>
      <c r="C27" s="289">
        <f ca="1">C28</f>
        <v>10118008</v>
      </c>
      <c r="D27" s="279">
        <f ca="1">C29</f>
        <v>6.0000000000000001E-3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10118008</v>
      </c>
      <c r="D28" s="279"/>
      <c r="E28" s="280"/>
      <c r="F28" s="290"/>
      <c r="G28" s="291"/>
    </row>
    <row r="29" spans="1:7" s="258" customFormat="1" ht="13.5" customHeight="1">
      <c r="A29" s="951" t="s">
        <v>792</v>
      </c>
      <c r="B29" s="292" t="s">
        <v>2383</v>
      </c>
      <c r="C29" s="282">
        <f ca="1">ROUND(C21*F27,4)</f>
        <v>6.0000000000000001E-3</v>
      </c>
      <c r="D29" s="279"/>
      <c r="E29" s="280"/>
      <c r="F29" s="290"/>
      <c r="G29" s="291"/>
    </row>
    <row r="30" spans="1:7" s="258" customFormat="1" ht="13.5" customHeight="1">
      <c r="A30" s="299" t="s">
        <v>2384</v>
      </c>
      <c r="B30" s="254" t="s">
        <v>2385</v>
      </c>
      <c r="C30" s="279">
        <f>ROUND(F30/(1+'数据-取费表'!C42),4)</f>
        <v>5.7299999999999997E-2</v>
      </c>
      <c r="D30" s="280" t="s">
        <v>2380</v>
      </c>
      <c r="E30" s="285"/>
      <c r="F30" s="281">
        <f>'数据-取费表'!B41</f>
        <v>6.0499999999999998E-2</v>
      </c>
      <c r="G30" s="278" t="s">
        <v>2386</v>
      </c>
    </row>
    <row r="31" spans="1:7" ht="16.5" customHeight="1">
      <c r="A31" s="253">
        <v>1</v>
      </c>
      <c r="B31" s="254" t="s">
        <v>2387</v>
      </c>
      <c r="C31" s="255">
        <f ca="1">ROUND((C5+C19+C20+C22+C27)/(1-C21-D22-D27-C30),0)</f>
        <v>75346711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573318695</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526248675</v>
      </c>
      <c r="D34" s="261"/>
      <c r="E34" s="264"/>
      <c r="F34" s="301"/>
      <c r="G34" s="263"/>
    </row>
    <row r="35" spans="1:7" ht="13.5" customHeight="1">
      <c r="A35" s="951" t="s">
        <v>796</v>
      </c>
      <c r="B35" s="259" t="s">
        <v>2393</v>
      </c>
      <c r="C35" s="264">
        <f ca="1">ROUND(C34*F35,0)</f>
        <v>15787460</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23388830</v>
      </c>
      <c r="D37" s="261">
        <f ca="1">D19</f>
        <v>116944.15</v>
      </c>
      <c r="E37" s="293">
        <f>'数据-取费表'!B35</f>
        <v>200</v>
      </c>
      <c r="F37" s="303"/>
      <c r="G37" s="305"/>
    </row>
    <row r="38" spans="1:7" ht="13.5" customHeight="1">
      <c r="A38" s="951" t="s">
        <v>799</v>
      </c>
      <c r="B38" s="259" t="s">
        <v>2399</v>
      </c>
      <c r="C38" s="264">
        <f ca="1">ROUND(C34*F38,0)</f>
        <v>7893730</v>
      </c>
      <c r="D38" s="264"/>
      <c r="E38" s="264"/>
      <c r="F38" s="303">
        <f>'数据-取费表'!B36</f>
        <v>1.4999999999999999E-2</v>
      </c>
      <c r="G38" s="263" t="s">
        <v>2394</v>
      </c>
    </row>
    <row r="39" spans="1:7" s="258" customFormat="1" ht="13.5" customHeight="1">
      <c r="A39" s="299" t="s">
        <v>2400</v>
      </c>
      <c r="B39" s="254" t="s">
        <v>2401</v>
      </c>
      <c r="C39" s="276">
        <f ca="1">ROUND(C33*F20,0)</f>
        <v>17199561</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42570173</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41330265</v>
      </c>
      <c r="D42" s="282"/>
      <c r="E42" s="282"/>
      <c r="F42" s="283"/>
      <c r="G42" s="3171" t="s">
        <v>2457</v>
      </c>
    </row>
    <row r="43" spans="1:7" ht="13.5" customHeight="1">
      <c r="A43" s="951" t="s">
        <v>792</v>
      </c>
      <c r="B43" s="259" t="s">
        <v>2411</v>
      </c>
      <c r="C43" s="282">
        <f ca="1">ROUND(IF('数据-取费表'!B22&lt;=1,C39*F22*'数据-取费表'!B20/2,C39*(POWER((1+F22),'数据-取费表'!B20/2)-1)),0)</f>
        <v>1239908</v>
      </c>
      <c r="D43" s="282"/>
      <c r="E43" s="282"/>
      <c r="F43" s="283"/>
      <c r="G43" s="3172"/>
    </row>
    <row r="44" spans="1:7" ht="13.5" customHeight="1">
      <c r="A44" s="951" t="s">
        <v>793</v>
      </c>
      <c r="B44" s="259" t="s">
        <v>2412</v>
      </c>
      <c r="C44" s="282">
        <f ca="1">ROUND(IF('数据-取费表'!B22&lt;=1,C40*F22*'数据-取费表'!B20/2,C40*(POWER((1+F22),'数据-取费表'!B20/2)-1)),4)</f>
        <v>2.2000000000000001E-3</v>
      </c>
      <c r="D44" s="282"/>
      <c r="E44" s="282"/>
      <c r="F44" s="283"/>
      <c r="G44" s="3173"/>
    </row>
    <row r="45" spans="1:7" s="258" customFormat="1" ht="13.5" customHeight="1">
      <c r="A45" s="299" t="s">
        <v>2413</v>
      </c>
      <c r="B45" s="288" t="s">
        <v>2379</v>
      </c>
      <c r="C45" s="289">
        <f ca="1">C46</f>
        <v>118103651</v>
      </c>
      <c r="D45" s="279">
        <f ca="1">C47</f>
        <v>6.0000000000000001E-3</v>
      </c>
      <c r="E45" s="280" t="s">
        <v>2405</v>
      </c>
      <c r="F45" s="290"/>
      <c r="G45" s="291" t="s">
        <v>2414</v>
      </c>
    </row>
    <row r="46" spans="1:7" s="258" customFormat="1" ht="13.5" customHeight="1">
      <c r="A46" s="951" t="s">
        <v>791</v>
      </c>
      <c r="B46" s="292" t="s">
        <v>2415</v>
      </c>
      <c r="C46" s="293">
        <f ca="1">ROUND((C33+C39)*F27,0)</f>
        <v>118103651</v>
      </c>
      <c r="D46" s="307"/>
      <c r="E46" s="280"/>
      <c r="F46" s="290"/>
      <c r="G46" s="291"/>
    </row>
    <row r="47" spans="1:7" s="258" customFormat="1" ht="13.5" customHeight="1">
      <c r="A47" s="951" t="s">
        <v>792</v>
      </c>
      <c r="B47" s="292" t="s">
        <v>2416</v>
      </c>
      <c r="C47" s="282">
        <f ca="1">ROUND(C40*F27,4)</f>
        <v>6.0000000000000001E-3</v>
      </c>
      <c r="D47" s="307"/>
      <c r="E47" s="280"/>
      <c r="F47" s="290"/>
      <c r="G47" s="291"/>
    </row>
    <row r="48" spans="1:7" s="258" customFormat="1" ht="13.5" customHeight="1">
      <c r="A48" s="299" t="s">
        <v>2378</v>
      </c>
      <c r="B48" s="254" t="s">
        <v>2417</v>
      </c>
      <c r="C48" s="306">
        <f>ROUND(F30/(1+'数据-取费表'!C42),4)</f>
        <v>5.7299999999999997E-2</v>
      </c>
      <c r="D48" s="280" t="s">
        <v>2405</v>
      </c>
      <c r="E48" s="276"/>
      <c r="F48" s="281"/>
      <c r="G48" s="278" t="s">
        <v>2418</v>
      </c>
    </row>
    <row r="49" spans="1:7" ht="16.5" customHeight="1">
      <c r="A49" s="299" t="s">
        <v>2384</v>
      </c>
      <c r="B49" s="254" t="s">
        <v>2458</v>
      </c>
      <c r="C49" s="276">
        <f ca="1">ROUND((C33+C39+C41+C45)/(1-C40-D41-D45-C48),0)</f>
        <v>830505340</v>
      </c>
      <c r="D49" s="276"/>
      <c r="E49" s="276"/>
      <c r="F49" s="308"/>
      <c r="G49" s="278" t="s">
        <v>2420</v>
      </c>
    </row>
    <row r="50" spans="1:7" s="302" customFormat="1">
      <c r="A50" s="299" t="s">
        <v>2421</v>
      </c>
      <c r="B50" s="254" t="s">
        <v>2422</v>
      </c>
      <c r="C50" s="276"/>
      <c r="D50" s="276"/>
      <c r="E50" s="276"/>
      <c r="F50" s="308">
        <f>IF('数据-取费表'!B24=0,'数据-取费表'!N16,1)</f>
        <v>0.82499999999999996</v>
      </c>
      <c r="G50" s="291"/>
    </row>
    <row r="51" spans="1:7" ht="16.5" customHeight="1">
      <c r="A51" s="299" t="s">
        <v>2424</v>
      </c>
      <c r="B51" s="254" t="s">
        <v>2459</v>
      </c>
      <c r="C51" s="276">
        <f ca="1">ROUND(C49*F50,0)</f>
        <v>685166906</v>
      </c>
      <c r="D51" s="276"/>
      <c r="E51" s="276"/>
      <c r="F51" s="308"/>
      <c r="G51" s="278" t="s">
        <v>2426</v>
      </c>
    </row>
    <row r="52" spans="1:7" s="252" customFormat="1" ht="16.5" thickBot="1">
      <c r="A52" s="309" t="s">
        <v>2427</v>
      </c>
      <c r="B52" s="310"/>
      <c r="C52" s="311">
        <f ca="1">C31+C51</f>
        <v>760513617</v>
      </c>
      <c r="D52" s="310"/>
      <c r="E52" s="310"/>
      <c r="F52" s="310"/>
      <c r="G52" s="312"/>
    </row>
    <row r="55" spans="1:7" ht="15">
      <c r="B55" s="314" t="s">
        <v>2428</v>
      </c>
      <c r="C55" s="315"/>
    </row>
    <row r="56" spans="1:7">
      <c r="B56" s="317" t="s">
        <v>1515</v>
      </c>
      <c r="C56" s="319">
        <f ca="1">1-C57</f>
        <v>9.8999999999999977E-2</v>
      </c>
    </row>
    <row r="57" spans="1:7">
      <c r="B57" s="317" t="s">
        <v>1516</v>
      </c>
      <c r="C57" s="318">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6" t="s">
        <v>2466</v>
      </c>
      <c r="D5" s="2556" t="s">
        <v>2467</v>
      </c>
      <c r="E5" s="2556" t="s">
        <v>2468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39"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1335</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1336</v>
      </c>
      <c r="B12" s="972" t="s">
        <v>2482</v>
      </c>
      <c r="C12" s="23">
        <f ca="1">ROUND(C11*F12,0)</f>
        <v>0</v>
      </c>
      <c r="D12" s="973"/>
      <c r="E12" s="375"/>
      <c r="F12" s="976">
        <f>'数据-取费表'!B33</f>
        <v>0.03</v>
      </c>
      <c r="G12" s="8" t="s">
        <v>2483</v>
      </c>
      <c r="H12" s="968"/>
      <c r="I12" s="968"/>
      <c r="J12" s="968"/>
      <c r="K12" s="969"/>
    </row>
    <row r="13" spans="1:33" s="975" customFormat="1" ht="13.5" customHeight="1">
      <c r="A13" s="971" t="s">
        <v>1337</v>
      </c>
      <c r="B13" s="972" t="s">
        <v>2484</v>
      </c>
      <c r="C13" s="23">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1338</v>
      </c>
      <c r="B14" s="972" t="s">
        <v>2486</v>
      </c>
      <c r="C14" s="23">
        <f ca="1">ROUND(D14*E14*F11/10000,0)</f>
        <v>0</v>
      </c>
      <c r="D14" s="1033">
        <f ca="1">IF(C1="",'数据-汇总表'!E3,INDIRECT("'数据-取费表'!K"&amp;$K$1)+INDIRECT("'数据-取费表'!S"&amp;$K$1))</f>
        <v>116944.15</v>
      </c>
      <c r="E14" s="23">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2488</v>
      </c>
      <c r="C15" s="983">
        <f ca="1">ROUND(C11*F15,0)</f>
        <v>0</v>
      </c>
      <c r="D15" s="978"/>
      <c r="E15" s="983"/>
      <c r="F15" s="984">
        <f>'数据-取费表'!B36</f>
        <v>1.4999999999999999E-2</v>
      </c>
      <c r="G15" s="139"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39"/>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3">
        <f ca="1">ROUND(D17*E17/10000,0)</f>
        <v>0</v>
      </c>
      <c r="D17" s="1033">
        <f ca="1">D14</f>
        <v>116944.15</v>
      </c>
      <c r="E17" s="23">
        <f>'数据-取费表'!B32</f>
        <v>0</v>
      </c>
      <c r="F17" s="978"/>
      <c r="G17" s="139"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2493</v>
      </c>
      <c r="C18" s="23">
        <f ca="1">C19+C20-IF(C1="",'数据-取费表'!B29,IF(G18="已全部缴纳",C19+C20,H18))</f>
        <v>0</v>
      </c>
      <c r="D18" s="1033"/>
      <c r="E18" s="23"/>
      <c r="F18" s="976"/>
      <c r="G18" s="2558"/>
      <c r="H18" s="1576"/>
      <c r="I18" s="2559" t="s">
        <v>2494</v>
      </c>
      <c r="J18" s="979"/>
      <c r="K18" s="980"/>
    </row>
    <row r="19" spans="1:33" s="975" customFormat="1" ht="13.5" customHeight="1">
      <c r="A19" s="971" t="s">
        <v>805</v>
      </c>
      <c r="B19" s="972" t="s">
        <v>2495</v>
      </c>
      <c r="C19" s="23">
        <f ca="1">ROUND(D19*E19/10000,0)</f>
        <v>0</v>
      </c>
      <c r="D19" s="1033">
        <f ca="1">IF(C1="",'数据-汇总表'!E5,IF(INDIRECT("'数据-取费表'!c"&amp;$K$1)="住宅",INDIRECT("'数据-取费表'!k"&amp;$K$1),0))</f>
        <v>0</v>
      </c>
      <c r="E19" s="23">
        <f>'数据-取费表'!B27</f>
        <v>0</v>
      </c>
      <c r="F19" s="976"/>
      <c r="G19" s="14"/>
      <c r="H19" s="1578"/>
      <c r="I19" s="981"/>
      <c r="J19" s="981"/>
      <c r="K19" s="982"/>
    </row>
    <row r="20" spans="1:33" s="975" customFormat="1" ht="13.5" customHeight="1">
      <c r="A20" s="971" t="s">
        <v>806</v>
      </c>
      <c r="B20" s="972" t="s">
        <v>2496</v>
      </c>
      <c r="C20" s="23">
        <f ca="1">ROUND(D20*E20/10000,0)</f>
        <v>2573</v>
      </c>
      <c r="D20" s="1033">
        <f ca="1">IF(C1="",'数据-汇总表'!E6,IF(INDIRECT("'数据-取费表'!c"&amp;$K$1)="住宅",INDIRECT("'数据-取费表'!s"&amp;$K$1),INDIRECT("'数据-取费表'!k"&amp;$K$1)+INDIRECT("'数据-取费表'!s"&amp;$K$1)))</f>
        <v>116944.15</v>
      </c>
      <c r="E20" s="23">
        <f>'数据-取费表'!B28</f>
        <v>220</v>
      </c>
      <c r="F20" s="976"/>
      <c r="G20" s="14"/>
      <c r="H20" s="981"/>
      <c r="I20" s="981"/>
      <c r="J20" s="981"/>
      <c r="K20" s="982"/>
    </row>
    <row r="21" spans="1:33" s="975" customFormat="1" ht="13.5" customHeight="1">
      <c r="A21" s="961" t="s">
        <v>802</v>
      </c>
      <c r="B21" s="985" t="s">
        <v>2497</v>
      </c>
      <c r="C21" s="986">
        <f ca="1">C16+C17+C18</f>
        <v>0</v>
      </c>
      <c r="D21" s="987"/>
      <c r="E21" s="325"/>
      <c r="F21" s="325"/>
      <c r="G21" s="139" t="s">
        <v>2498</v>
      </c>
      <c r="H21" s="979"/>
      <c r="I21" s="979"/>
      <c r="J21" s="979"/>
      <c r="K21" s="980"/>
    </row>
    <row r="22" spans="1:33" s="975" customFormat="1" ht="13.5" customHeight="1">
      <c r="A22" s="961" t="s">
        <v>2470</v>
      </c>
      <c r="B22" s="985" t="s">
        <v>2499</v>
      </c>
      <c r="C22" s="986">
        <f ca="1">ROUND(C21*F22,0)</f>
        <v>0</v>
      </c>
      <c r="D22" s="325"/>
      <c r="E22" s="325"/>
      <c r="F22" s="988">
        <f>'数据-取费表'!B37</f>
        <v>0.03</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0.03</v>
      </c>
      <c r="G23" s="8" t="s">
        <v>2502</v>
      </c>
      <c r="H23" s="968"/>
      <c r="I23" s="968"/>
      <c r="J23" s="968"/>
      <c r="K23" s="969"/>
    </row>
    <row r="24" spans="1:33" s="975" customFormat="1" ht="13.5" customHeight="1">
      <c r="A24" s="961" t="s">
        <v>2503</v>
      </c>
      <c r="B24" s="985" t="s">
        <v>2504</v>
      </c>
      <c r="C24" s="324">
        <f>ROUND(F24/(1+'数据-取费表'!C42),4)</f>
        <v>2.8899999999999999E-2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2510</v>
      </c>
      <c r="B28" s="2561" t="s">
        <v>2511</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39" t="s">
        <v>2513</v>
      </c>
      <c r="H29" s="979"/>
      <c r="I29" s="979"/>
      <c r="J29" s="979"/>
      <c r="K29" s="980"/>
    </row>
    <row r="30" spans="1:33" s="335" customFormat="1" ht="13.5" customHeight="1">
      <c r="A30" s="971" t="s">
        <v>804</v>
      </c>
      <c r="B30" s="994" t="s">
        <v>2514</v>
      </c>
      <c r="C30" s="336">
        <f ca="1">ROUND((C21+C22+C23)*F28,0)</f>
        <v>0</v>
      </c>
      <c r="D30" s="328"/>
      <c r="E30" s="329"/>
      <c r="F30" s="334"/>
      <c r="G30" s="139"/>
      <c r="H30" s="979"/>
      <c r="I30" s="979"/>
      <c r="J30" s="979"/>
      <c r="K30" s="980"/>
    </row>
    <row r="31" spans="1:33" s="975" customFormat="1" ht="13.5" customHeight="1" thickBot="1">
      <c r="A31" s="2562" t="s">
        <v>2515</v>
      </c>
      <c r="B31" s="1005" t="s">
        <v>2516</v>
      </c>
      <c r="C31" s="1006">
        <f>ROUND(C4*F31/(1+'数据-取费表'!C42),0)</f>
        <v>0</v>
      </c>
      <c r="D31" s="1007"/>
      <c r="E31" s="1008"/>
      <c r="F31" s="1009">
        <f>'数据-取费表'!B41</f>
        <v>6.0499999999999998E-2</v>
      </c>
      <c r="G31" s="1010" t="s">
        <v>2517</v>
      </c>
      <c r="H31" s="1011"/>
      <c r="I31" s="1011"/>
      <c r="J31" s="1011"/>
      <c r="K31" s="1012"/>
    </row>
    <row r="32" spans="1:33" s="970" customFormat="1" ht="13.5" customHeight="1" thickBot="1">
      <c r="A32" s="1000" t="s">
        <v>2518</v>
      </c>
      <c r="B32" s="1001"/>
      <c r="C32" s="1002">
        <f ca="1">ROUND((C4-C21-C22-C23-C25-C28-C31)/(1+C24+D25+D28),0)</f>
        <v>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5" zoomScale="90" zoomScaleNormal="90" workbookViewId="0">
      <selection activeCell="I17" sqref="I1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37937</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3244</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78" t="s">
        <v>2647</v>
      </c>
      <c r="D4" s="3191"/>
      <c r="E4" s="3192" t="s">
        <v>2648</v>
      </c>
      <c r="F4" s="3193"/>
      <c r="G4" s="3178" t="s">
        <v>2649</v>
      </c>
      <c r="H4" s="3191"/>
      <c r="I4" s="3178" t="s">
        <v>2650</v>
      </c>
      <c r="J4" s="3191"/>
      <c r="K4" s="610" t="s">
        <v>2651</v>
      </c>
      <c r="L4" s="1130"/>
      <c r="M4" s="1131"/>
      <c r="N4" s="1131"/>
      <c r="O4" s="1131"/>
      <c r="P4" s="3194" t="s">
        <v>2652</v>
      </c>
      <c r="Q4" s="3195"/>
      <c r="R4" s="3200" t="s">
        <v>2648</v>
      </c>
      <c r="S4" s="3201"/>
      <c r="T4" s="3200" t="s">
        <v>2649</v>
      </c>
      <c r="U4" s="3201"/>
      <c r="V4" s="3187" t="s">
        <v>2650</v>
      </c>
      <c r="W4" s="3187"/>
      <c r="X4" s="1812"/>
      <c r="Y4" s="3200" t="s">
        <v>2652</v>
      </c>
      <c r="Z4" s="3201"/>
      <c r="AA4" s="3188" t="s">
        <v>2648</v>
      </c>
      <c r="AB4" s="3189" t="s">
        <v>2649</v>
      </c>
      <c r="AC4" s="3188" t="s">
        <v>2650</v>
      </c>
    </row>
    <row r="5" spans="1:30" ht="15">
      <c r="A5" s="404"/>
      <c r="B5" s="405"/>
      <c r="C5" s="3208" t="s">
        <v>2543</v>
      </c>
      <c r="D5" s="3209"/>
      <c r="E5" s="3215" t="str">
        <f>案例!A35</f>
        <v>武清区新城福源道东侧</v>
      </c>
      <c r="F5" s="3216"/>
      <c r="G5" s="3208" t="str">
        <f>案例!A36</f>
        <v>武清区新城泉州路东侧</v>
      </c>
      <c r="H5" s="3209"/>
      <c r="I5" s="3208" t="str">
        <f>案例!A37</f>
        <v>武清区徐官屯街京津公路东侧</v>
      </c>
      <c r="J5" s="3209"/>
      <c r="K5" s="610"/>
      <c r="L5" s="1130"/>
      <c r="M5" s="1131"/>
      <c r="N5" s="1131"/>
      <c r="O5" s="1131"/>
      <c r="P5" s="3196"/>
      <c r="Q5" s="3197"/>
      <c r="R5" s="3202"/>
      <c r="S5" s="3203"/>
      <c r="T5" s="3202"/>
      <c r="U5" s="3203"/>
      <c r="V5" s="3187"/>
      <c r="W5" s="3187"/>
      <c r="X5" s="1812"/>
      <c r="Y5" s="3202"/>
      <c r="Z5" s="3203"/>
      <c r="AA5" s="3189"/>
      <c r="AB5" s="3189"/>
      <c r="AC5" s="3189"/>
    </row>
    <row r="6" spans="1:30" ht="15.75" thickBot="1">
      <c r="A6" s="406"/>
      <c r="B6" s="407"/>
      <c r="C6" s="3206" t="s">
        <v>2547</v>
      </c>
      <c r="D6" s="3207"/>
      <c r="E6" s="3213" t="s">
        <v>2547</v>
      </c>
      <c r="F6" s="3214"/>
      <c r="G6" s="3206" t="s">
        <v>2547</v>
      </c>
      <c r="H6" s="3207"/>
      <c r="I6" s="3206" t="s">
        <v>2547</v>
      </c>
      <c r="J6" s="3207"/>
      <c r="K6" s="610" t="s">
        <v>2548</v>
      </c>
      <c r="L6" s="1130"/>
      <c r="M6" s="1131"/>
      <c r="N6" s="1131"/>
      <c r="O6" s="1131"/>
      <c r="P6" s="3198"/>
      <c r="Q6" s="3199"/>
      <c r="R6" s="3202"/>
      <c r="S6" s="3203"/>
      <c r="T6" s="3204"/>
      <c r="U6" s="3205"/>
      <c r="V6" s="3187"/>
      <c r="W6" s="3187"/>
      <c r="X6" s="1812"/>
      <c r="Y6" s="3204"/>
      <c r="Z6" s="3205"/>
      <c r="AA6" s="3190"/>
      <c r="AB6" s="3190"/>
      <c r="AC6" s="3190"/>
    </row>
    <row r="7" spans="1:30" s="116" customFormat="1" ht="15.75" thickBot="1">
      <c r="A7" s="408" t="s">
        <v>2549</v>
      </c>
      <c r="B7" s="409"/>
      <c r="C7" s="410">
        <f>'数据-取费表'!B2</f>
        <v>43070</v>
      </c>
      <c r="D7" s="411">
        <v>100</v>
      </c>
      <c r="E7" s="412" t="str">
        <f>案例!G35</f>
        <v>2017-06-02</v>
      </c>
      <c r="F7" s="413">
        <f>SUMIF(70:70,YEAR(E7)&amp;"-"&amp;INT((MONTH(E7)+2)/3),71:71)</f>
        <v>98</v>
      </c>
      <c r="G7" s="2698" t="str">
        <f>案例!G36</f>
        <v>2017-06-02</v>
      </c>
      <c r="H7" s="411">
        <f>SUMIF(70:70,YEAR(G7)&amp;"-"&amp;INT((MONTH(G7)+2)/3),71:71)</f>
        <v>98</v>
      </c>
      <c r="I7" s="2698" t="str">
        <f>案例!G37</f>
        <v>2017-02-24</v>
      </c>
      <c r="J7" s="411">
        <f>SUMIF(70:70,YEAR(I7)&amp;"-"&amp;INT((MONTH(I7)+2)/3),71:71)</f>
        <v>97</v>
      </c>
      <c r="K7" s="611"/>
      <c r="L7" s="1132"/>
      <c r="M7" s="1133"/>
      <c r="N7" s="1133"/>
      <c r="O7" s="1133"/>
      <c r="P7" s="3210" t="s">
        <v>2550</v>
      </c>
      <c r="Q7" s="3212"/>
      <c r="R7" s="770" t="s">
        <v>17</v>
      </c>
      <c r="S7" s="771">
        <f t="shared" ref="S7:S15" si="0">F7</f>
        <v>98</v>
      </c>
      <c r="T7" s="770" t="s">
        <v>17</v>
      </c>
      <c r="U7" s="771">
        <f t="shared" ref="U7:U15" si="1">H7</f>
        <v>98</v>
      </c>
      <c r="V7" s="770" t="s">
        <v>17</v>
      </c>
      <c r="W7" s="771">
        <f t="shared" ref="W7:W15" si="2">J7</f>
        <v>97</v>
      </c>
      <c r="X7" s="772"/>
      <c r="Y7" s="3210" t="s">
        <v>2550</v>
      </c>
      <c r="Z7" s="3211"/>
      <c r="AA7" s="773">
        <f>D7/F7</f>
        <v>1.0204081632653061</v>
      </c>
      <c r="AB7" s="773">
        <f>D7/H7</f>
        <v>1.0204081632653061</v>
      </c>
      <c r="AC7" s="773">
        <f>D7/J7</f>
        <v>1.0309278350515463</v>
      </c>
    </row>
    <row r="8" spans="1:30" s="116" customFormat="1" ht="15.7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2"/>
      <c r="M8" s="1133"/>
      <c r="N8" s="1133"/>
      <c r="O8" s="1133"/>
      <c r="P8" s="3210" t="s">
        <v>2553</v>
      </c>
      <c r="Q8" s="3211"/>
      <c r="R8" s="770" t="s">
        <v>17</v>
      </c>
      <c r="S8" s="771">
        <f t="shared" si="0"/>
        <v>100</v>
      </c>
      <c r="T8" s="770" t="s">
        <v>17</v>
      </c>
      <c r="U8" s="771">
        <f t="shared" si="1"/>
        <v>100</v>
      </c>
      <c r="V8" s="770" t="s">
        <v>17</v>
      </c>
      <c r="W8" s="771">
        <f t="shared" si="2"/>
        <v>100</v>
      </c>
      <c r="X8" s="772"/>
      <c r="Y8" s="3210" t="s">
        <v>2553</v>
      </c>
      <c r="Z8" s="3211"/>
      <c r="AA8" s="773">
        <f t="shared" ref="AA8:AA45" si="3">D8/F8</f>
        <v>1</v>
      </c>
      <c r="AB8" s="773">
        <f t="shared" ref="AB8:AB45" si="4">D8/H8</f>
        <v>1</v>
      </c>
      <c r="AC8" s="773">
        <f t="shared" ref="AC8:AC45" si="5">D8/J8</f>
        <v>1</v>
      </c>
    </row>
    <row r="9" spans="1:30" s="116" customFormat="1">
      <c r="A9" s="415" t="s">
        <v>2554</v>
      </c>
      <c r="B9" s="70" t="s">
        <v>2555</v>
      </c>
      <c r="C9" s="2701" t="s">
        <v>3050</v>
      </c>
      <c r="D9" s="134">
        <v>100</v>
      </c>
      <c r="E9" s="2701" t="s">
        <v>1378</v>
      </c>
      <c r="F9" s="134">
        <f>SUMIF(75:75,E9,76:76)-SUMIF(75:75,C9,76:76)+100</f>
        <v>102</v>
      </c>
      <c r="G9" s="2701" t="s">
        <v>1378</v>
      </c>
      <c r="H9" s="134">
        <f>SUMIF(75:75,G9,76:76)-SUMIF(75:75,C9,76:76)+100</f>
        <v>102</v>
      </c>
      <c r="I9" s="2701" t="s">
        <v>1378</v>
      </c>
      <c r="J9" s="134">
        <f>SUMIF(75:75,I9,76:76)-SUMIF(75:75,C9,76:76)+100</f>
        <v>102</v>
      </c>
      <c r="K9" s="611"/>
      <c r="L9" s="1132"/>
      <c r="M9" s="1133"/>
      <c r="N9" s="1133"/>
      <c r="O9" s="1134"/>
      <c r="P9" s="3181" t="s">
        <v>2556</v>
      </c>
      <c r="Q9" s="1794" t="str">
        <f t="shared" ref="Q9:Q15" si="6">B9</f>
        <v>用途</v>
      </c>
      <c r="R9" s="770" t="s">
        <v>17</v>
      </c>
      <c r="S9" s="771">
        <f t="shared" si="0"/>
        <v>102</v>
      </c>
      <c r="T9" s="770" t="s">
        <v>17</v>
      </c>
      <c r="U9" s="771">
        <f t="shared" si="1"/>
        <v>102</v>
      </c>
      <c r="V9" s="770" t="s">
        <v>17</v>
      </c>
      <c r="W9" s="771">
        <f t="shared" si="2"/>
        <v>102</v>
      </c>
      <c r="X9" s="772"/>
      <c r="Y9" s="3029" t="s">
        <v>2557</v>
      </c>
      <c r="Z9" s="54" t="str">
        <f t="shared" ref="Z9:Z15" si="7">Q9</f>
        <v>用途</v>
      </c>
      <c r="AA9" s="773">
        <f t="shared" si="3"/>
        <v>0.98039215686274506</v>
      </c>
      <c r="AB9" s="773">
        <f t="shared" si="4"/>
        <v>0.98039215686274506</v>
      </c>
      <c r="AC9" s="773">
        <f t="shared" si="5"/>
        <v>0.98039215686274506</v>
      </c>
    </row>
    <row r="10" spans="1:30" s="427" customFormat="1" ht="27">
      <c r="A10" s="421"/>
      <c r="B10" s="422" t="s">
        <v>2558</v>
      </c>
      <c r="C10" s="432"/>
      <c r="D10" s="135">
        <v>100</v>
      </c>
      <c r="E10" s="465"/>
      <c r="F10" s="135">
        <f>ROUND(100/'数据-取费表'!G16,0)</f>
        <v>113</v>
      </c>
      <c r="G10" s="463"/>
      <c r="H10" s="135">
        <f>ROUND(100/'数据-取费表'!G16,0)</f>
        <v>113</v>
      </c>
      <c r="I10" s="463"/>
      <c r="J10" s="135">
        <f>ROUND(100/'数据-取费表'!G16,0)</f>
        <v>113</v>
      </c>
      <c r="K10" s="672"/>
      <c r="L10" s="1135"/>
      <c r="M10" s="1136"/>
      <c r="N10" s="1136"/>
      <c r="O10" s="1137"/>
      <c r="P10" s="3181"/>
      <c r="Q10" s="1794" t="str">
        <f t="shared" si="6"/>
        <v>土地使用年限（年）</v>
      </c>
      <c r="R10" s="770" t="s">
        <v>17</v>
      </c>
      <c r="S10" s="771">
        <f t="shared" si="0"/>
        <v>113</v>
      </c>
      <c r="T10" s="770" t="s">
        <v>17</v>
      </c>
      <c r="U10" s="771">
        <f t="shared" si="1"/>
        <v>113</v>
      </c>
      <c r="V10" s="770" t="s">
        <v>17</v>
      </c>
      <c r="W10" s="771">
        <f t="shared" si="2"/>
        <v>113</v>
      </c>
      <c r="X10" s="772"/>
      <c r="Y10" s="3029"/>
      <c r="Z10" s="54" t="str">
        <f t="shared" si="7"/>
        <v>土地使用年限（年）</v>
      </c>
      <c r="AA10" s="773">
        <f t="shared" si="3"/>
        <v>0.88495575221238942</v>
      </c>
      <c r="AB10" s="773">
        <f t="shared" si="4"/>
        <v>0.88495575221238942</v>
      </c>
      <c r="AC10" s="773">
        <f t="shared" si="5"/>
        <v>0.88495575221238942</v>
      </c>
    </row>
    <row r="11" spans="1:30" ht="15">
      <c r="A11" s="428"/>
      <c r="B11" s="422" t="s">
        <v>2559</v>
      </c>
      <c r="C11" s="429">
        <v>0.84</v>
      </c>
      <c r="D11" s="135">
        <v>100</v>
      </c>
      <c r="E11" s="429">
        <v>2.5</v>
      </c>
      <c r="F11" s="135">
        <f>LOOKUP(E11,80:80,81:81)-LOOKUP(C11,80:80,81:81)+100</f>
        <v>96</v>
      </c>
      <c r="G11" s="430">
        <v>2.2000000000000002</v>
      </c>
      <c r="H11" s="135">
        <f>LOOKUP(G11,80:80,81:81)-LOOKUP(C11,80:80,81:81)+100</f>
        <v>96</v>
      </c>
      <c r="I11" s="429">
        <v>1</v>
      </c>
      <c r="J11" s="135">
        <f>LOOKUP(I11,80:80,81:81)-LOOKUP(C11,80:80,81:81)+100</f>
        <v>98</v>
      </c>
      <c r="K11" s="673">
        <v>2</v>
      </c>
      <c r="L11" s="1138"/>
      <c r="M11" s="1131"/>
      <c r="N11" s="1131"/>
      <c r="O11" s="1139"/>
      <c r="P11" s="3181"/>
      <c r="Q11" s="1794" t="str">
        <f t="shared" si="6"/>
        <v>容积率</v>
      </c>
      <c r="R11" s="770" t="s">
        <v>17</v>
      </c>
      <c r="S11" s="771">
        <f t="shared" si="0"/>
        <v>96</v>
      </c>
      <c r="T11" s="770" t="s">
        <v>17</v>
      </c>
      <c r="U11" s="771">
        <f t="shared" si="1"/>
        <v>96</v>
      </c>
      <c r="V11" s="770" t="s">
        <v>17</v>
      </c>
      <c r="W11" s="771">
        <f t="shared" si="2"/>
        <v>98</v>
      </c>
      <c r="X11" s="772"/>
      <c r="Y11" s="3029"/>
      <c r="Z11" s="54" t="str">
        <f t="shared" si="7"/>
        <v>容积率</v>
      </c>
      <c r="AA11" s="773">
        <f t="shared" si="3"/>
        <v>1.0416666666666667</v>
      </c>
      <c r="AB11" s="773">
        <f t="shared" si="4"/>
        <v>1.0416666666666667</v>
      </c>
      <c r="AC11" s="773">
        <f t="shared" si="5"/>
        <v>1.0204081632653061</v>
      </c>
    </row>
    <row r="12" spans="1:30" s="116" customFormat="1" ht="15">
      <c r="A12" s="431"/>
      <c r="B12" s="2602" t="s">
        <v>2748</v>
      </c>
      <c r="C12" s="432"/>
      <c r="D12" s="433">
        <v>100</v>
      </c>
      <c r="E12" s="465"/>
      <c r="F12" s="135">
        <f>SUMIF(82:82,E12,83:83)-SUMIF(82:82,C12,83:83)+100</f>
        <v>100</v>
      </c>
      <c r="G12" s="463"/>
      <c r="H12" s="135">
        <f>SUMIF(82:82,G12,83:83)-SUMIF(82:82,C12,83:83)+100</f>
        <v>100</v>
      </c>
      <c r="I12" s="465"/>
      <c r="J12" s="135">
        <f>SUMIF(82:82,I12,83:83)-SUMIF(82:82,C12,83:83)+100</f>
        <v>100</v>
      </c>
      <c r="K12" s="672"/>
      <c r="L12" s="1132"/>
      <c r="M12" s="1133"/>
      <c r="N12" s="1133"/>
      <c r="O12" s="1134"/>
      <c r="P12" s="3181"/>
      <c r="Q12" s="1794" t="str">
        <f t="shared" si="6"/>
        <v>配建</v>
      </c>
      <c r="R12" s="770" t="s">
        <v>17</v>
      </c>
      <c r="S12" s="771">
        <f t="shared" si="0"/>
        <v>100</v>
      </c>
      <c r="T12" s="770" t="s">
        <v>17</v>
      </c>
      <c r="U12" s="771">
        <f t="shared" si="1"/>
        <v>100</v>
      </c>
      <c r="V12" s="770" t="s">
        <v>17</v>
      </c>
      <c r="W12" s="771">
        <f t="shared" si="2"/>
        <v>100</v>
      </c>
      <c r="X12" s="772"/>
      <c r="Y12" s="3029"/>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0"/>
      <c r="M13" s="1131"/>
      <c r="N13" s="1131"/>
      <c r="O13" s="1139"/>
      <c r="P13" s="3181"/>
      <c r="Q13" s="1794">
        <f t="shared" si="6"/>
        <v>111</v>
      </c>
      <c r="R13" s="770" t="s">
        <v>17</v>
      </c>
      <c r="S13" s="771">
        <f t="shared" si="0"/>
        <v>100</v>
      </c>
      <c r="T13" s="770" t="s">
        <v>17</v>
      </c>
      <c r="U13" s="771">
        <f t="shared" si="1"/>
        <v>100</v>
      </c>
      <c r="V13" s="770" t="s">
        <v>17</v>
      </c>
      <c r="W13" s="771">
        <f t="shared" si="2"/>
        <v>100</v>
      </c>
      <c r="X13" s="772"/>
      <c r="Y13" s="3029"/>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1"/>
      <c r="Q14" s="1794">
        <f t="shared" si="6"/>
        <v>111</v>
      </c>
      <c r="R14" s="770" t="s">
        <v>17</v>
      </c>
      <c r="S14" s="771">
        <f t="shared" si="0"/>
        <v>100</v>
      </c>
      <c r="T14" s="770" t="s">
        <v>17</v>
      </c>
      <c r="U14" s="771">
        <f t="shared" si="1"/>
        <v>100</v>
      </c>
      <c r="V14" s="770" t="s">
        <v>17</v>
      </c>
      <c r="W14" s="771">
        <f t="shared" si="2"/>
        <v>100</v>
      </c>
      <c r="X14" s="772"/>
      <c r="Y14" s="3029"/>
      <c r="Z14" s="54">
        <f t="shared" si="7"/>
        <v>111</v>
      </c>
      <c r="AA14" s="773">
        <f>D14/F14</f>
        <v>1</v>
      </c>
      <c r="AB14" s="773">
        <f>D14/H14</f>
        <v>1</v>
      </c>
      <c r="AC14" s="773">
        <f>D14/J14</f>
        <v>1</v>
      </c>
    </row>
    <row r="15" spans="1:30" ht="15" hidden="1">
      <c r="A15" s="440" t="s">
        <v>2560</v>
      </c>
      <c r="B15" s="68" t="s">
        <v>2091</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3" t="s">
        <v>2561</v>
      </c>
      <c r="Q15" s="1809" t="str">
        <f t="shared" si="6"/>
        <v>居住社区成熟度</v>
      </c>
      <c r="R15" s="774" t="s">
        <v>17</v>
      </c>
      <c r="S15" s="775">
        <f t="shared" si="0"/>
        <v>100</v>
      </c>
      <c r="T15" s="774" t="s">
        <v>17</v>
      </c>
      <c r="U15" s="775">
        <f t="shared" si="1"/>
        <v>100</v>
      </c>
      <c r="V15" s="774" t="s">
        <v>17</v>
      </c>
      <c r="W15" s="775">
        <f t="shared" si="2"/>
        <v>100</v>
      </c>
      <c r="X15" s="1812"/>
      <c r="Y15" s="3183" t="s">
        <v>2561</v>
      </c>
      <c r="Z15" s="1813" t="str">
        <f t="shared" si="7"/>
        <v>居住社区成熟度</v>
      </c>
      <c r="AA15" s="1810">
        <f t="shared" si="3"/>
        <v>1</v>
      </c>
      <c r="AB15" s="1810">
        <f t="shared" si="4"/>
        <v>1</v>
      </c>
      <c r="AC15" s="1810">
        <f t="shared" si="5"/>
        <v>1</v>
      </c>
    </row>
    <row r="16" spans="1:30" ht="15" hidden="1">
      <c r="A16" s="428"/>
      <c r="B16" s="446"/>
      <c r="C16" s="447"/>
      <c r="D16" s="448"/>
      <c r="E16" s="2607"/>
      <c r="F16" s="448"/>
      <c r="G16" s="2607"/>
      <c r="H16" s="450"/>
      <c r="I16" s="2606"/>
      <c r="J16" s="448"/>
      <c r="K16" s="672"/>
      <c r="L16" s="1140"/>
      <c r="M16" s="1131"/>
      <c r="N16" s="1131"/>
      <c r="O16" s="1139"/>
      <c r="P16" s="3184"/>
      <c r="Q16" s="1809"/>
      <c r="R16" s="774"/>
      <c r="S16" s="775"/>
      <c r="T16" s="774"/>
      <c r="U16" s="775"/>
      <c r="V16" s="774"/>
      <c r="W16" s="775"/>
      <c r="X16" s="1812"/>
      <c r="Y16" s="3184"/>
      <c r="Z16" s="1813"/>
      <c r="AA16" s="1810">
        <v>1</v>
      </c>
      <c r="AB16" s="1810">
        <v>1</v>
      </c>
      <c r="AC16" s="1810">
        <v>1</v>
      </c>
    </row>
    <row r="17" spans="1:29" ht="85.5">
      <c r="A17" s="428"/>
      <c r="B17" s="451" t="s">
        <v>2654</v>
      </c>
      <c r="C17" s="2666" t="str">
        <f>估价对象房地状况!C16</f>
        <v>估价对象周边有麒麟商业中心、荔隆广场，周边商业氛围一般，人流量一般，商业繁华度一般</v>
      </c>
      <c r="D17" s="450">
        <v>100</v>
      </c>
      <c r="E17" s="452" t="s">
        <v>3103</v>
      </c>
      <c r="F17" s="450">
        <f>SUMIF(90:90,E18,91:91)-SUMIF(90:90,C18,91:91)+100</f>
        <v>100</v>
      </c>
      <c r="G17" s="452" t="s">
        <v>3140</v>
      </c>
      <c r="H17" s="455">
        <f>SUMIF(90:90,G18,91:91)-SUMIF(90:90,C18,91:91)+100</f>
        <v>100</v>
      </c>
      <c r="I17" s="2963" t="s">
        <v>3151</v>
      </c>
      <c r="J17" s="455">
        <f>SUMIF(90:90,I18,91:91)-SUMIF(90:90,C18,91:91)+100</f>
        <v>100</v>
      </c>
      <c r="K17" s="673">
        <v>1</v>
      </c>
      <c r="L17" s="1140"/>
      <c r="M17" s="1131"/>
      <c r="N17" s="1131"/>
      <c r="O17" s="1139"/>
      <c r="P17" s="3184"/>
      <c r="Q17" s="1809" t="str">
        <f>B17</f>
        <v>商业繁华度</v>
      </c>
      <c r="R17" s="774" t="s">
        <v>17</v>
      </c>
      <c r="S17" s="775">
        <f>F17</f>
        <v>100</v>
      </c>
      <c r="T17" s="774" t="s">
        <v>17</v>
      </c>
      <c r="U17" s="775">
        <f>H17</f>
        <v>100</v>
      </c>
      <c r="V17" s="774" t="s">
        <v>17</v>
      </c>
      <c r="W17" s="775">
        <f>J17</f>
        <v>100</v>
      </c>
      <c r="X17" s="1812"/>
      <c r="Y17" s="3184"/>
      <c r="Z17" s="1813" t="str">
        <f>Q17</f>
        <v>商业繁华度</v>
      </c>
      <c r="AA17" s="1810">
        <f t="shared" si="3"/>
        <v>1</v>
      </c>
      <c r="AB17" s="1810">
        <f t="shared" si="4"/>
        <v>1</v>
      </c>
      <c r="AC17" s="1810">
        <f t="shared" si="5"/>
        <v>1</v>
      </c>
    </row>
    <row r="18" spans="1:29" ht="15">
      <c r="A18" s="428"/>
      <c r="B18" s="456"/>
      <c r="C18" s="2610" t="s">
        <v>3093</v>
      </c>
      <c r="D18" s="450"/>
      <c r="E18" s="2610" t="s">
        <v>3093</v>
      </c>
      <c r="F18" s="450"/>
      <c r="G18" s="2610" t="s">
        <v>3093</v>
      </c>
      <c r="H18" s="448"/>
      <c r="I18" s="2610" t="s">
        <v>3093</v>
      </c>
      <c r="J18" s="448"/>
      <c r="K18" s="672"/>
      <c r="L18" s="1140"/>
      <c r="M18" s="1131"/>
      <c r="N18" s="1131"/>
      <c r="O18" s="1139"/>
      <c r="P18" s="3184"/>
      <c r="Q18" s="1809"/>
      <c r="R18" s="774"/>
      <c r="S18" s="775"/>
      <c r="T18" s="774"/>
      <c r="U18" s="775"/>
      <c r="V18" s="774"/>
      <c r="W18" s="775"/>
      <c r="X18" s="1812"/>
      <c r="Y18" s="3184"/>
      <c r="Z18" s="1813"/>
      <c r="AA18" s="1810">
        <v>1</v>
      </c>
      <c r="AB18" s="1810">
        <v>1</v>
      </c>
      <c r="AC18" s="1810">
        <v>1</v>
      </c>
    </row>
    <row r="19" spans="1:29" ht="15" hidden="1">
      <c r="A19" s="428"/>
      <c r="B19" s="451" t="s">
        <v>2688</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4"/>
      <c r="Q19" s="1809" t="str">
        <f>B19</f>
        <v>办公集聚程度</v>
      </c>
      <c r="R19" s="774" t="s">
        <v>17</v>
      </c>
      <c r="S19" s="775">
        <f>F19</f>
        <v>100</v>
      </c>
      <c r="T19" s="774" t="s">
        <v>17</v>
      </c>
      <c r="U19" s="775">
        <f>H19</f>
        <v>100</v>
      </c>
      <c r="V19" s="774" t="s">
        <v>17</v>
      </c>
      <c r="W19" s="775">
        <f>J19</f>
        <v>100</v>
      </c>
      <c r="X19" s="1812"/>
      <c r="Y19" s="3184"/>
      <c r="Z19" s="1813" t="str">
        <f>Q19</f>
        <v>办公集聚程度</v>
      </c>
      <c r="AA19" s="1810">
        <f t="shared" si="3"/>
        <v>1</v>
      </c>
      <c r="AB19" s="1810">
        <f t="shared" si="4"/>
        <v>1</v>
      </c>
      <c r="AC19" s="1810">
        <f t="shared" si="5"/>
        <v>1</v>
      </c>
    </row>
    <row r="20" spans="1:29" ht="15" hidden="1">
      <c r="A20" s="428"/>
      <c r="B20" s="456"/>
      <c r="C20" s="447"/>
      <c r="D20" s="448"/>
      <c r="E20" s="2607"/>
      <c r="F20" s="448"/>
      <c r="G20" s="2607"/>
      <c r="H20" s="448"/>
      <c r="I20" s="2606"/>
      <c r="J20" s="448"/>
      <c r="K20" s="672"/>
      <c r="L20" s="1140"/>
      <c r="M20" s="1131"/>
      <c r="N20" s="1131"/>
      <c r="O20" s="1139"/>
      <c r="P20" s="3184"/>
      <c r="Q20" s="1809"/>
      <c r="R20" s="774"/>
      <c r="S20" s="775"/>
      <c r="T20" s="774"/>
      <c r="U20" s="775"/>
      <c r="V20" s="774"/>
      <c r="W20" s="775"/>
      <c r="X20" s="1812"/>
      <c r="Y20" s="3184"/>
      <c r="Z20" s="1813"/>
      <c r="AA20" s="1810">
        <v>1</v>
      </c>
      <c r="AB20" s="1810">
        <v>1</v>
      </c>
      <c r="AC20" s="1810">
        <v>1</v>
      </c>
    </row>
    <row r="21" spans="1:29" ht="114">
      <c r="A21" s="428"/>
      <c r="B21" s="451" t="s">
        <v>2710</v>
      </c>
      <c r="C21" s="2609" t="str">
        <f>估价对象房地状况!C18</f>
        <v>估价对象周边有737路、武清3路，公交便捷度一般，路网密集程度一般，停车较便捷，综合评价交通便捷度一般。</v>
      </c>
      <c r="D21" s="450">
        <v>100</v>
      </c>
      <c r="E21" s="452" t="s">
        <v>3164</v>
      </c>
      <c r="F21" s="455">
        <f>SUMIF(94:94,E22,95:95)-SUMIF(94:94,C22,95:95)+100</f>
        <v>100</v>
      </c>
      <c r="G21" s="2979" t="str">
        <f>C21</f>
        <v>估价对象周边有737路、武清3路，公交便捷度一般，路网密集程度一般，停车较便捷，综合评价交通便捷度一般。</v>
      </c>
      <c r="H21" s="450">
        <f>SUMIF(94:94,G22,95:95)-SUMIF(94:94,C22,95:95)+100</f>
        <v>100</v>
      </c>
      <c r="I21" s="452" t="s">
        <v>3152</v>
      </c>
      <c r="J21" s="450">
        <f>SUMIF(94:94,I22,95:95)-SUMIF(94:94,C22,95:95)+100</f>
        <v>100</v>
      </c>
      <c r="K21" s="673">
        <v>1</v>
      </c>
      <c r="L21" s="1140"/>
      <c r="M21" s="1131"/>
      <c r="N21" s="1131"/>
      <c r="O21" s="1139"/>
      <c r="P21" s="3184"/>
      <c r="Q21" s="1809" t="str">
        <f>B21</f>
        <v>交通便捷度</v>
      </c>
      <c r="R21" s="774" t="s">
        <v>17</v>
      </c>
      <c r="S21" s="775">
        <f>F21</f>
        <v>100</v>
      </c>
      <c r="T21" s="774" t="s">
        <v>17</v>
      </c>
      <c r="U21" s="775">
        <f>H21</f>
        <v>100</v>
      </c>
      <c r="V21" s="774" t="s">
        <v>17</v>
      </c>
      <c r="W21" s="775">
        <f>J21</f>
        <v>100</v>
      </c>
      <c r="X21" s="1812"/>
      <c r="Y21" s="3184"/>
      <c r="Z21" s="1813" t="str">
        <f>Q21</f>
        <v>交通便捷度</v>
      </c>
      <c r="AA21" s="1810">
        <f t="shared" si="3"/>
        <v>1</v>
      </c>
      <c r="AB21" s="1810">
        <f t="shared" si="4"/>
        <v>1</v>
      </c>
      <c r="AC21" s="1810">
        <f t="shared" si="5"/>
        <v>1</v>
      </c>
    </row>
    <row r="22" spans="1:29" ht="15">
      <c r="A22" s="428"/>
      <c r="B22" s="1384"/>
      <c r="C22" s="447" t="s">
        <v>3093</v>
      </c>
      <c r="D22" s="450"/>
      <c r="E22" s="447" t="s">
        <v>3093</v>
      </c>
      <c r="F22" s="448"/>
      <c r="G22" s="447" t="s">
        <v>3093</v>
      </c>
      <c r="H22" s="448"/>
      <c r="I22" s="447" t="s">
        <v>3093</v>
      </c>
      <c r="J22" s="448"/>
      <c r="K22" s="672"/>
      <c r="L22" s="1140"/>
      <c r="M22" s="1131"/>
      <c r="N22" s="1131"/>
      <c r="O22" s="1139"/>
      <c r="P22" s="3184"/>
      <c r="Q22" s="1809"/>
      <c r="R22" s="774"/>
      <c r="S22" s="775"/>
      <c r="T22" s="774"/>
      <c r="U22" s="775"/>
      <c r="V22" s="774"/>
      <c r="W22" s="775"/>
      <c r="X22" s="1812"/>
      <c r="Y22" s="3184"/>
      <c r="Z22" s="1813"/>
      <c r="AA22" s="1810">
        <v>1</v>
      </c>
      <c r="AB22" s="1810">
        <v>1</v>
      </c>
      <c r="AC22" s="1810">
        <v>1</v>
      </c>
    </row>
    <row r="23" spans="1:29" ht="15">
      <c r="A23" s="404"/>
      <c r="B23" s="451" t="s">
        <v>2749</v>
      </c>
      <c r="C23" s="1389" t="str">
        <f>估价对象房地状况!C19</f>
        <v>较一致</v>
      </c>
      <c r="D23" s="455">
        <v>100</v>
      </c>
      <c r="E23" s="452"/>
      <c r="F23" s="455">
        <f>SUMIF(96:96,E24,97:97)-SUMIF(96:96,C24,97:97)+100</f>
        <v>100</v>
      </c>
      <c r="G23" s="2980"/>
      <c r="H23" s="455">
        <f>SUMIF(96:96,G24,97:97)-SUMIF(96:96,C24,97:97)+100</f>
        <v>100</v>
      </c>
      <c r="I23" s="454"/>
      <c r="J23" s="455">
        <f>SUMIF(96:96,I24,97:97)-SUMIF(96:96,C24,97:97)+100</f>
        <v>100</v>
      </c>
      <c r="K23" s="673"/>
      <c r="L23" s="1140"/>
      <c r="M23" s="1131"/>
      <c r="N23" s="1131"/>
      <c r="O23" s="1139"/>
      <c r="P23" s="3184"/>
      <c r="Q23" s="1809" t="str">
        <f t="shared" ref="Q23:Q37" si="8">B23</f>
        <v>区域土地利用方向</v>
      </c>
      <c r="R23" s="774" t="s">
        <v>17</v>
      </c>
      <c r="S23" s="775">
        <f>F23</f>
        <v>100</v>
      </c>
      <c r="T23" s="774" t="s">
        <v>17</v>
      </c>
      <c r="U23" s="775">
        <f>H23</f>
        <v>100</v>
      </c>
      <c r="V23" s="774" t="s">
        <v>17</v>
      </c>
      <c r="W23" s="775">
        <f>J23</f>
        <v>100</v>
      </c>
      <c r="X23" s="1812"/>
      <c r="Y23" s="3184"/>
      <c r="Z23" s="1813" t="str">
        <f>Q23</f>
        <v>区域土地利用方向</v>
      </c>
      <c r="AA23" s="1810">
        <f t="shared" si="3"/>
        <v>1</v>
      </c>
      <c r="AB23" s="1810">
        <f t="shared" si="4"/>
        <v>1</v>
      </c>
      <c r="AC23" s="1810">
        <f t="shared" si="5"/>
        <v>1</v>
      </c>
    </row>
    <row r="24" spans="1:29" ht="15">
      <c r="A24" s="404"/>
      <c r="B24" s="456"/>
      <c r="C24" s="616" t="s">
        <v>3094</v>
      </c>
      <c r="D24" s="448"/>
      <c r="E24" s="616" t="s">
        <v>3094</v>
      </c>
      <c r="F24" s="448"/>
      <c r="G24" s="616" t="s">
        <v>3094</v>
      </c>
      <c r="H24" s="448"/>
      <c r="I24" s="616" t="s">
        <v>3094</v>
      </c>
      <c r="J24" s="448"/>
      <c r="K24" s="809"/>
      <c r="L24" s="1140"/>
      <c r="M24" s="1131"/>
      <c r="N24" s="1131"/>
      <c r="O24" s="1139"/>
      <c r="P24" s="3184"/>
      <c r="Q24" s="1809"/>
      <c r="R24" s="774"/>
      <c r="S24" s="775"/>
      <c r="T24" s="774"/>
      <c r="U24" s="775"/>
      <c r="V24" s="774"/>
      <c r="W24" s="775"/>
      <c r="X24" s="1812"/>
      <c r="Y24" s="3184"/>
      <c r="Z24" s="1813"/>
      <c r="AA24" s="1810"/>
      <c r="AB24" s="1810"/>
      <c r="AC24" s="1810"/>
    </row>
    <row r="25" spans="1:29" ht="71.25">
      <c r="A25" s="404"/>
      <c r="B25" s="1384" t="s">
        <v>2750</v>
      </c>
      <c r="C25" s="2666" t="str">
        <f>估价对象房地状况!C20</f>
        <v>区域自然环境：水系：京杭运河；人文环境；综合评价环境状况一般</v>
      </c>
      <c r="D25" s="450">
        <v>100</v>
      </c>
      <c r="E25" s="452" t="s">
        <v>3098</v>
      </c>
      <c r="F25" s="450">
        <f>SUMIF(98:98,E26,99:99)-SUMIF(98:98,C26,99:99)+100</f>
        <v>100</v>
      </c>
      <c r="G25" s="452" t="str">
        <f>C25</f>
        <v>区域自然环境：水系：京杭运河；人文环境；综合评价环境状况一般</v>
      </c>
      <c r="H25" s="450">
        <f>SUMIF(98:98,G26,99:99)-SUMIF(98:98,C26,99:99)+100</f>
        <v>100</v>
      </c>
      <c r="I25" s="452" t="s">
        <v>3098</v>
      </c>
      <c r="J25" s="450">
        <f>SUMIF(98:98,I26,99:99)-SUMIF(98:98,C26,99:99)+100</f>
        <v>100</v>
      </c>
      <c r="K25" s="673"/>
      <c r="L25" s="1140"/>
      <c r="M25" s="1131"/>
      <c r="N25" s="1131"/>
      <c r="O25" s="1139"/>
      <c r="P25" s="3184"/>
      <c r="Q25" s="1809" t="str">
        <f t="shared" si="8"/>
        <v>自然及人文环境状况</v>
      </c>
      <c r="R25" s="774" t="s">
        <v>17</v>
      </c>
      <c r="S25" s="775">
        <f>F25</f>
        <v>100</v>
      </c>
      <c r="T25" s="774" t="s">
        <v>17</v>
      </c>
      <c r="U25" s="775">
        <f>H25</f>
        <v>100</v>
      </c>
      <c r="V25" s="774" t="s">
        <v>17</v>
      </c>
      <c r="W25" s="775">
        <f>J25</f>
        <v>100</v>
      </c>
      <c r="X25" s="1812"/>
      <c r="Y25" s="3184"/>
      <c r="Z25" s="1813" t="str">
        <f>Q25</f>
        <v>自然及人文环境状况</v>
      </c>
      <c r="AA25" s="1810">
        <f t="shared" si="3"/>
        <v>1</v>
      </c>
      <c r="AB25" s="1810">
        <f t="shared" si="4"/>
        <v>1</v>
      </c>
      <c r="AC25" s="1810">
        <f t="shared" si="5"/>
        <v>1</v>
      </c>
    </row>
    <row r="26" spans="1:29" ht="15">
      <c r="A26" s="404"/>
      <c r="B26" s="456"/>
      <c r="C26" s="447" t="s">
        <v>3093</v>
      </c>
      <c r="D26" s="448"/>
      <c r="E26" s="447" t="s">
        <v>3093</v>
      </c>
      <c r="F26" s="448"/>
      <c r="G26" s="447" t="s">
        <v>3093</v>
      </c>
      <c r="H26" s="448"/>
      <c r="I26" s="447" t="s">
        <v>3093</v>
      </c>
      <c r="J26" s="448"/>
      <c r="K26" s="672"/>
      <c r="L26" s="1140"/>
      <c r="M26" s="1131"/>
      <c r="N26" s="1131"/>
      <c r="O26" s="1139"/>
      <c r="P26" s="3184"/>
      <c r="Q26" s="1809"/>
      <c r="R26" s="774"/>
      <c r="S26" s="775"/>
      <c r="T26" s="774"/>
      <c r="U26" s="775"/>
      <c r="V26" s="774"/>
      <c r="W26" s="775"/>
      <c r="X26" s="1812"/>
      <c r="Y26" s="3184"/>
      <c r="Z26" s="1813"/>
      <c r="AA26" s="1810">
        <v>1</v>
      </c>
      <c r="AB26" s="1810">
        <v>1</v>
      </c>
      <c r="AC26" s="1810">
        <v>1</v>
      </c>
    </row>
    <row r="27" spans="1:29" s="116" customFormat="1" ht="128.25">
      <c r="A27" s="649"/>
      <c r="B27" s="1384" t="s">
        <v>2655</v>
      </c>
      <c r="C27" s="2609" t="str">
        <f>估价对象房地状况!C21</f>
        <v>估价对象所在区域公共配套设施较齐备，有购物（麒麟商业中心）、有医院（武清区徐官屯医院）、有银行（天津农村商业银行）</v>
      </c>
      <c r="D27" s="450">
        <v>100</v>
      </c>
      <c r="E27" s="2963" t="s">
        <v>3165</v>
      </c>
      <c r="F27" s="450">
        <f>SUMIF(100:100,E28,101:101)-SUMIF(100:100,C28,101:101)+100</f>
        <v>100</v>
      </c>
      <c r="G27" s="2979" t="str">
        <f>C27</f>
        <v>估价对象所在区域公共配套设施较齐备，有购物（麒麟商业中心）、有医院（武清区徐官屯医院）、有银行（天津农村商业银行）</v>
      </c>
      <c r="H27" s="450">
        <f>SUMIF(100:100,G28,101:101)-SUMIF(100:100,C28,101:101)+100</f>
        <v>100</v>
      </c>
      <c r="I27" s="2963" t="s">
        <v>3141</v>
      </c>
      <c r="J27" s="450">
        <f>SUMIF(100:100,I28,101:101)-SUMIF(100:100,C28,101:101)+100</f>
        <v>100</v>
      </c>
      <c r="K27" s="673"/>
      <c r="L27" s="1132"/>
      <c r="M27" s="1133"/>
      <c r="N27" s="1133"/>
      <c r="O27" s="1134"/>
      <c r="P27" s="3184"/>
      <c r="Q27" s="1794" t="str">
        <f t="shared" si="8"/>
        <v>公共配套设施</v>
      </c>
      <c r="R27" s="770" t="s">
        <v>17</v>
      </c>
      <c r="S27" s="771">
        <f>F27</f>
        <v>100</v>
      </c>
      <c r="T27" s="770" t="s">
        <v>17</v>
      </c>
      <c r="U27" s="771">
        <f>H27</f>
        <v>100</v>
      </c>
      <c r="V27" s="770" t="s">
        <v>17</v>
      </c>
      <c r="W27" s="771">
        <f>J27</f>
        <v>100</v>
      </c>
      <c r="X27" s="772"/>
      <c r="Y27" s="3184"/>
      <c r="Z27" s="54" t="str">
        <f>Q27</f>
        <v>公共配套设施</v>
      </c>
      <c r="AA27" s="1810">
        <f>D27/F27</f>
        <v>1</v>
      </c>
      <c r="AB27" s="1810">
        <f>D27/H27</f>
        <v>1</v>
      </c>
      <c r="AC27" s="1810">
        <f>D27/J27</f>
        <v>1</v>
      </c>
    </row>
    <row r="28" spans="1:29" s="116" customFormat="1" ht="15">
      <c r="A28" s="649"/>
      <c r="B28" s="456"/>
      <c r="C28" s="2702" t="s">
        <v>3094</v>
      </c>
      <c r="D28" s="448"/>
      <c r="E28" s="2702" t="s">
        <v>3094</v>
      </c>
      <c r="F28" s="448"/>
      <c r="G28" s="2702" t="s">
        <v>3094</v>
      </c>
      <c r="H28" s="448"/>
      <c r="I28" s="2702" t="s">
        <v>3094</v>
      </c>
      <c r="J28" s="448"/>
      <c r="K28" s="672"/>
      <c r="L28" s="1132"/>
      <c r="M28" s="1133"/>
      <c r="N28" s="1133"/>
      <c r="O28" s="1134"/>
      <c r="P28" s="3184"/>
      <c r="Q28" s="1794"/>
      <c r="R28" s="770"/>
      <c r="S28" s="771"/>
      <c r="T28" s="770"/>
      <c r="U28" s="771"/>
      <c r="V28" s="770"/>
      <c r="W28" s="771"/>
      <c r="X28" s="772"/>
      <c r="Y28" s="3184"/>
      <c r="Z28" s="54"/>
      <c r="AA28" s="1810">
        <v>1</v>
      </c>
      <c r="AB28" s="1810">
        <v>1</v>
      </c>
      <c r="AC28" s="1810">
        <v>1</v>
      </c>
    </row>
    <row r="29" spans="1:29" s="116" customFormat="1" ht="42.75">
      <c r="A29" s="649"/>
      <c r="B29" s="1384" t="s">
        <v>2656</v>
      </c>
      <c r="C29" s="2609"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4"/>
      <c r="Q29" s="1794" t="str">
        <f t="shared" ref="Q29" si="9">B29</f>
        <v>基础设施水平</v>
      </c>
      <c r="R29" s="770" t="s">
        <v>17</v>
      </c>
      <c r="S29" s="771">
        <f>F29</f>
        <v>100</v>
      </c>
      <c r="T29" s="770" t="s">
        <v>17</v>
      </c>
      <c r="U29" s="771">
        <f>H29</f>
        <v>100</v>
      </c>
      <c r="V29" s="770" t="s">
        <v>17</v>
      </c>
      <c r="W29" s="771">
        <f>J29</f>
        <v>100</v>
      </c>
      <c r="X29" s="772"/>
      <c r="Y29" s="3184"/>
      <c r="Z29" s="54" t="str">
        <f>Q29</f>
        <v>基础设施水平</v>
      </c>
      <c r="AA29" s="1810">
        <f>D29/F29</f>
        <v>1</v>
      </c>
      <c r="AB29" s="1810">
        <f>D29/H29</f>
        <v>1</v>
      </c>
      <c r="AC29" s="1810">
        <f>D29/J29</f>
        <v>1</v>
      </c>
    </row>
    <row r="30" spans="1:29" s="116" customFormat="1" ht="15">
      <c r="A30" s="649"/>
      <c r="B30" s="456"/>
      <c r="C30" s="2702" t="s">
        <v>3104</v>
      </c>
      <c r="D30" s="448"/>
      <c r="E30" s="2702" t="s">
        <v>3104</v>
      </c>
      <c r="F30" s="448"/>
      <c r="G30" s="2702" t="s">
        <v>3104</v>
      </c>
      <c r="H30" s="448"/>
      <c r="I30" s="2702" t="s">
        <v>3104</v>
      </c>
      <c r="J30" s="448"/>
      <c r="K30" s="672"/>
      <c r="L30" s="1132"/>
      <c r="M30" s="1133"/>
      <c r="N30" s="1133"/>
      <c r="O30" s="1134"/>
      <c r="P30" s="3184"/>
      <c r="Q30" s="1794"/>
      <c r="R30" s="770"/>
      <c r="S30" s="771"/>
      <c r="T30" s="770"/>
      <c r="U30" s="771"/>
      <c r="V30" s="770"/>
      <c r="W30" s="771"/>
      <c r="X30" s="772"/>
      <c r="Y30" s="3184"/>
      <c r="Z30" s="54"/>
      <c r="AA30" s="1810">
        <v>1</v>
      </c>
      <c r="AB30" s="1810">
        <v>1</v>
      </c>
      <c r="AC30" s="1810">
        <v>1</v>
      </c>
    </row>
    <row r="31" spans="1:29" ht="15">
      <c r="A31" s="428"/>
      <c r="B31" s="456" t="s">
        <v>2657</v>
      </c>
      <c r="C31" s="616" t="s">
        <v>3102</v>
      </c>
      <c r="D31" s="435">
        <v>100</v>
      </c>
      <c r="E31" s="616" t="s">
        <v>3102</v>
      </c>
      <c r="F31" s="435">
        <f>SUMIF(104:104,E31,105:105)-SUMIF(104:104,C31,105:105)+100</f>
        <v>100</v>
      </c>
      <c r="G31" s="616" t="s">
        <v>3102</v>
      </c>
      <c r="H31" s="435">
        <f>SUMIF(104:104,G31,105:105)-SUMIF(104:104,C31,105:105)+100</f>
        <v>100</v>
      </c>
      <c r="I31" s="616" t="s">
        <v>3102</v>
      </c>
      <c r="J31" s="435">
        <f>SUMIF(104:104,I31,105:105)-SUMIF(104:104,C31,105:105)+100</f>
        <v>100</v>
      </c>
      <c r="K31" s="673"/>
      <c r="L31" s="1140"/>
      <c r="M31" s="1131"/>
      <c r="N31" s="1131"/>
      <c r="O31" s="1139"/>
      <c r="P31" s="3184"/>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4"/>
      <c r="Z31" s="1813" t="str">
        <f t="shared" ref="Z31:Z45" si="13">Q31</f>
        <v>临街状况</v>
      </c>
      <c r="AA31" s="1810">
        <f t="shared" si="3"/>
        <v>1</v>
      </c>
      <c r="AB31" s="1810">
        <f t="shared" si="4"/>
        <v>1</v>
      </c>
      <c r="AC31" s="1810">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4"/>
      <c r="Q32" s="1809" t="str">
        <f t="shared" si="8"/>
        <v>毗邻道路的类型与等级</v>
      </c>
      <c r="R32" s="774" t="s">
        <v>17</v>
      </c>
      <c r="S32" s="775">
        <f t="shared" si="10"/>
        <v>100</v>
      </c>
      <c r="T32" s="774" t="s">
        <v>17</v>
      </c>
      <c r="U32" s="775">
        <f t="shared" si="11"/>
        <v>100</v>
      </c>
      <c r="V32" s="774" t="s">
        <v>17</v>
      </c>
      <c r="W32" s="775">
        <f t="shared" si="12"/>
        <v>100</v>
      </c>
      <c r="X32" s="1812"/>
      <c r="Y32" s="3184"/>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40"/>
      <c r="M33" s="1131"/>
      <c r="N33" s="1131"/>
      <c r="O33" s="1139"/>
      <c r="P33" s="3184"/>
      <c r="Q33" s="1809"/>
      <c r="R33" s="774"/>
      <c r="S33" s="775"/>
      <c r="T33" s="774"/>
      <c r="U33" s="775"/>
      <c r="V33" s="774"/>
      <c r="W33" s="775"/>
      <c r="X33" s="1812"/>
      <c r="Y33" s="3184"/>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4"/>
      <c r="Q34" s="1809" t="str">
        <f t="shared" si="8"/>
        <v>土地级别</v>
      </c>
      <c r="R34" s="774" t="s">
        <v>17</v>
      </c>
      <c r="S34" s="775">
        <f t="shared" si="10"/>
        <v>100</v>
      </c>
      <c r="T34" s="774" t="s">
        <v>17</v>
      </c>
      <c r="U34" s="775">
        <f t="shared" si="11"/>
        <v>100</v>
      </c>
      <c r="V34" s="774" t="s">
        <v>17</v>
      </c>
      <c r="W34" s="775">
        <f t="shared" si="12"/>
        <v>100</v>
      </c>
      <c r="X34" s="1812"/>
      <c r="Y34" s="3184"/>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4"/>
      <c r="Q35" s="1809">
        <f t="shared" si="8"/>
        <v>111</v>
      </c>
      <c r="R35" s="774" t="s">
        <v>17</v>
      </c>
      <c r="S35" s="775">
        <f t="shared" si="10"/>
        <v>100</v>
      </c>
      <c r="T35" s="774" t="s">
        <v>17</v>
      </c>
      <c r="U35" s="775">
        <f t="shared" si="11"/>
        <v>100</v>
      </c>
      <c r="V35" s="774" t="s">
        <v>17</v>
      </c>
      <c r="W35" s="775">
        <f t="shared" si="12"/>
        <v>100</v>
      </c>
      <c r="X35" s="1812"/>
      <c r="Y35" s="3184"/>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5" t="s">
        <v>2566</v>
      </c>
      <c r="Q36" s="1809">
        <f t="shared" si="8"/>
        <v>111</v>
      </c>
      <c r="R36" s="774" t="s">
        <v>17</v>
      </c>
      <c r="S36" s="775">
        <f t="shared" si="10"/>
        <v>100</v>
      </c>
      <c r="T36" s="774" t="s">
        <v>17</v>
      </c>
      <c r="U36" s="775">
        <f t="shared" si="11"/>
        <v>100</v>
      </c>
      <c r="V36" s="774" t="s">
        <v>17</v>
      </c>
      <c r="W36" s="775">
        <f t="shared" si="12"/>
        <v>100</v>
      </c>
      <c r="X36" s="1812"/>
      <c r="Y36" s="3186" t="s">
        <v>2566</v>
      </c>
      <c r="Z36" s="1813">
        <f t="shared" si="13"/>
        <v>111</v>
      </c>
      <c r="AA36" s="1810">
        <f t="shared" si="3"/>
        <v>1</v>
      </c>
      <c r="AB36" s="1810">
        <f t="shared" si="4"/>
        <v>1</v>
      </c>
      <c r="AC36" s="1810">
        <f t="shared" si="5"/>
        <v>1</v>
      </c>
    </row>
    <row r="37" spans="1:29" s="471" customFormat="1" ht="15.75" thickBot="1">
      <c r="A37" s="676"/>
      <c r="B37" s="1388">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6"/>
      <c r="Q37" s="1809">
        <f t="shared" si="8"/>
        <v>111</v>
      </c>
      <c r="R37" s="777" t="s">
        <v>17</v>
      </c>
      <c r="S37" s="778">
        <f t="shared" si="10"/>
        <v>100</v>
      </c>
      <c r="T37" s="777" t="s">
        <v>17</v>
      </c>
      <c r="U37" s="778">
        <f t="shared" si="11"/>
        <v>100</v>
      </c>
      <c r="V37" s="777" t="s">
        <v>17</v>
      </c>
      <c r="W37" s="778">
        <f t="shared" si="12"/>
        <v>100</v>
      </c>
      <c r="X37" s="779"/>
      <c r="Y37" s="3186"/>
      <c r="Z37" s="780">
        <f t="shared" si="13"/>
        <v>111</v>
      </c>
      <c r="AA37" s="1810">
        <f t="shared" si="3"/>
        <v>1</v>
      </c>
      <c r="AB37" s="1810">
        <f t="shared" si="4"/>
        <v>1</v>
      </c>
      <c r="AC37" s="1810">
        <f t="shared" si="5"/>
        <v>1</v>
      </c>
    </row>
    <row r="38" spans="1:29" ht="15">
      <c r="A38" s="472" t="s">
        <v>2564</v>
      </c>
      <c r="B38" s="456" t="s">
        <v>2752</v>
      </c>
      <c r="C38" s="679">
        <f>案例!G31</f>
        <v>138145.20000000001</v>
      </c>
      <c r="D38" s="467">
        <v>100</v>
      </c>
      <c r="E38" s="679">
        <f>案例!D35</f>
        <v>19125.5</v>
      </c>
      <c r="F38" s="467">
        <f>LOOKUP(E38,117:117,118:118)-LOOKUP(C38,117:117,118:118)+100</f>
        <v>97</v>
      </c>
      <c r="G38" s="679">
        <f>案例!D36</f>
        <v>7728.5</v>
      </c>
      <c r="H38" s="467">
        <f>LOOKUP(G38,117:117,118:118)-LOOKUP(C38,117:117,118:118)+100</f>
        <v>97</v>
      </c>
      <c r="I38" s="530">
        <f>案例!D37</f>
        <v>97172.1</v>
      </c>
      <c r="J38" s="467">
        <f>LOOKUP(I38,117:117,118:118)-LOOKUP(C38,117:117,118:118)+100</f>
        <v>100</v>
      </c>
      <c r="K38" s="613"/>
      <c r="L38" s="1140"/>
      <c r="M38" s="1131"/>
      <c r="N38" s="1131"/>
      <c r="O38" s="1139"/>
      <c r="P38" s="3186"/>
      <c r="Q38" s="1809" t="str">
        <f>B38</f>
        <v>宗地面积</v>
      </c>
      <c r="R38" s="774" t="s">
        <v>17</v>
      </c>
      <c r="S38" s="775">
        <f t="shared" si="10"/>
        <v>97</v>
      </c>
      <c r="T38" s="774" t="s">
        <v>17</v>
      </c>
      <c r="U38" s="775">
        <f t="shared" si="11"/>
        <v>97</v>
      </c>
      <c r="V38" s="774" t="s">
        <v>17</v>
      </c>
      <c r="W38" s="775">
        <f t="shared" si="12"/>
        <v>100</v>
      </c>
      <c r="X38" s="1812"/>
      <c r="Y38" s="3186"/>
      <c r="Z38" s="1813" t="str">
        <f t="shared" si="13"/>
        <v>宗地面积</v>
      </c>
      <c r="AA38" s="1810">
        <f t="shared" si="3"/>
        <v>1.0309278350515463</v>
      </c>
      <c r="AB38" s="1810">
        <f t="shared" si="4"/>
        <v>1.0309278350515463</v>
      </c>
      <c r="AC38" s="1810">
        <f t="shared" si="5"/>
        <v>1</v>
      </c>
    </row>
    <row r="39" spans="1:29" ht="15">
      <c r="A39" s="472"/>
      <c r="B39" s="422" t="s">
        <v>2753</v>
      </c>
      <c r="C39" s="2615" t="s">
        <v>3106</v>
      </c>
      <c r="D39" s="435">
        <v>100</v>
      </c>
      <c r="E39" s="2615" t="s">
        <v>3106</v>
      </c>
      <c r="F39" s="435">
        <f>SUMIF(119:119,E39,120:120)-SUMIF(119:119,C39,120:120)+100</f>
        <v>100</v>
      </c>
      <c r="G39" s="2615" t="s">
        <v>3106</v>
      </c>
      <c r="H39" s="435">
        <f>SUMIF(119:119,G39,120:120)-SUMIF(119:119,C39,120:120)+100</f>
        <v>100</v>
      </c>
      <c r="I39" s="2615" t="s">
        <v>3106</v>
      </c>
      <c r="J39" s="435">
        <f>SUMIF(119:119,I39,120:120)-SUMIF(119:119,C39,120:120)+100</f>
        <v>100</v>
      </c>
      <c r="K39" s="612"/>
      <c r="L39" s="1140"/>
      <c r="M39" s="1131"/>
      <c r="N39" s="1131"/>
      <c r="O39" s="1139"/>
      <c r="P39" s="3186"/>
      <c r="Q39" s="1809" t="str">
        <f t="shared" ref="Q39:Q45" si="14">B39</f>
        <v>宗地形状</v>
      </c>
      <c r="R39" s="774" t="s">
        <v>17</v>
      </c>
      <c r="S39" s="775">
        <f t="shared" si="10"/>
        <v>100</v>
      </c>
      <c r="T39" s="774" t="s">
        <v>17</v>
      </c>
      <c r="U39" s="775">
        <f t="shared" si="11"/>
        <v>100</v>
      </c>
      <c r="V39" s="774" t="s">
        <v>17</v>
      </c>
      <c r="W39" s="775">
        <f t="shared" si="12"/>
        <v>100</v>
      </c>
      <c r="X39" s="1812"/>
      <c r="Y39" s="3186"/>
      <c r="Z39" s="1813" t="str">
        <f t="shared" si="13"/>
        <v>宗地形状</v>
      </c>
      <c r="AA39" s="1810">
        <f t="shared" si="3"/>
        <v>1</v>
      </c>
      <c r="AB39" s="1810">
        <f t="shared" si="4"/>
        <v>1</v>
      </c>
      <c r="AC39" s="1810">
        <f t="shared" si="5"/>
        <v>1</v>
      </c>
    </row>
    <row r="40" spans="1:29" ht="15">
      <c r="A40" s="472"/>
      <c r="B40" s="422" t="s">
        <v>2754</v>
      </c>
      <c r="C40" s="2615" t="s">
        <v>3108</v>
      </c>
      <c r="D40" s="435">
        <v>100</v>
      </c>
      <c r="E40" s="2615" t="s">
        <v>3108</v>
      </c>
      <c r="F40" s="435">
        <f>SUMIF(121:121,E40,122:122)-SUMIF(121:121,C40,122:122)+100</f>
        <v>100</v>
      </c>
      <c r="G40" s="2615" t="s">
        <v>3108</v>
      </c>
      <c r="H40" s="435">
        <f>SUMIF(121:121,G40,122:122)-SUMIF(121:121,C40,122:122)+100</f>
        <v>100</v>
      </c>
      <c r="I40" s="2615" t="s">
        <v>3108</v>
      </c>
      <c r="J40" s="435">
        <f>SUMIF(121:121,I40,122:122)-SUMIF(121:121,C40,122:122)+100</f>
        <v>100</v>
      </c>
      <c r="K40" s="612"/>
      <c r="L40" s="1140"/>
      <c r="M40" s="1131"/>
      <c r="N40" s="1131"/>
      <c r="O40" s="1139"/>
      <c r="P40" s="3186"/>
      <c r="Q40" s="1809" t="str">
        <f t="shared" si="14"/>
        <v>临街宽度及深度</v>
      </c>
      <c r="R40" s="774" t="s">
        <v>17</v>
      </c>
      <c r="S40" s="775">
        <f t="shared" si="10"/>
        <v>100</v>
      </c>
      <c r="T40" s="774" t="s">
        <v>17</v>
      </c>
      <c r="U40" s="775">
        <f t="shared" si="11"/>
        <v>100</v>
      </c>
      <c r="V40" s="774" t="s">
        <v>17</v>
      </c>
      <c r="W40" s="775">
        <f t="shared" si="12"/>
        <v>100</v>
      </c>
      <c r="X40" s="1812"/>
      <c r="Y40" s="3186"/>
      <c r="Z40" s="1813" t="str">
        <f t="shared" si="13"/>
        <v>临街宽度及深度</v>
      </c>
      <c r="AA40" s="1810">
        <f t="shared" si="3"/>
        <v>1</v>
      </c>
      <c r="AB40" s="1810">
        <f t="shared" si="4"/>
        <v>1</v>
      </c>
      <c r="AC40" s="1810">
        <f t="shared" si="5"/>
        <v>1</v>
      </c>
    </row>
    <row r="41" spans="1:29" s="116" customFormat="1" ht="15">
      <c r="A41" s="473"/>
      <c r="B41" s="422" t="s">
        <v>2755</v>
      </c>
      <c r="C41" s="2704" t="s">
        <v>3142</v>
      </c>
      <c r="D41" s="135">
        <v>100</v>
      </c>
      <c r="E41" s="2704" t="s">
        <v>3142</v>
      </c>
      <c r="F41" s="435">
        <f>SUMIF(123:123,E41,124:124)-SUMIF(123:123,C41,124:124)+100</f>
        <v>100</v>
      </c>
      <c r="G41" s="2704" t="s">
        <v>3142</v>
      </c>
      <c r="H41" s="435">
        <f>SUMIF(123:123,G41,124:124)-SUMIF(123:123,C41,124:124)+100</f>
        <v>100</v>
      </c>
      <c r="I41" s="2704" t="s">
        <v>3142</v>
      </c>
      <c r="J41" s="435">
        <f>SUMIF(123:123,I41,124:124)-SUMIF(123:123,C41,124:124)+100</f>
        <v>100</v>
      </c>
      <c r="K41" s="612"/>
      <c r="L41" s="1132"/>
      <c r="M41" s="1133"/>
      <c r="N41" s="1133"/>
      <c r="O41" s="1134"/>
      <c r="P41" s="3186"/>
      <c r="Q41" s="1809" t="str">
        <f t="shared" si="14"/>
        <v>宗地开发程度</v>
      </c>
      <c r="R41" s="770" t="s">
        <v>17</v>
      </c>
      <c r="S41" s="771">
        <f t="shared" si="10"/>
        <v>100</v>
      </c>
      <c r="T41" s="770" t="s">
        <v>17</v>
      </c>
      <c r="U41" s="771">
        <f t="shared" si="11"/>
        <v>100</v>
      </c>
      <c r="V41" s="770" t="s">
        <v>17</v>
      </c>
      <c r="W41" s="771">
        <f t="shared" si="12"/>
        <v>100</v>
      </c>
      <c r="X41" s="772"/>
      <c r="Y41" s="3186"/>
      <c r="Z41" s="54" t="str">
        <f t="shared" si="13"/>
        <v>宗地开发程度</v>
      </c>
      <c r="AA41" s="773">
        <f t="shared" si="3"/>
        <v>1</v>
      </c>
      <c r="AB41" s="773">
        <f t="shared" si="4"/>
        <v>1</v>
      </c>
      <c r="AC41" s="773">
        <f t="shared" si="5"/>
        <v>1</v>
      </c>
    </row>
    <row r="42" spans="1:29" ht="15">
      <c r="A42" s="472"/>
      <c r="B42" s="422" t="s">
        <v>2756</v>
      </c>
      <c r="C42" s="2615" t="s">
        <v>3094</v>
      </c>
      <c r="D42" s="435">
        <v>100</v>
      </c>
      <c r="E42" s="2615" t="s">
        <v>3094</v>
      </c>
      <c r="F42" s="435">
        <f>SUMIF(125:125,E42,126:126)-SUMIF(125:125,C42,126:126)+100</f>
        <v>100</v>
      </c>
      <c r="G42" s="2615" t="s">
        <v>3094</v>
      </c>
      <c r="H42" s="435">
        <f>SUMIF(125:125,G42,126:126)-SUMIF(125:125,C42,126:126)+100</f>
        <v>100</v>
      </c>
      <c r="I42" s="2615" t="s">
        <v>3094</v>
      </c>
      <c r="J42" s="435">
        <f>SUMIF(125:125,I42,126:126)-SUMIF(125:125,C42,126:126)+100</f>
        <v>100</v>
      </c>
      <c r="K42" s="612"/>
      <c r="L42" s="1140"/>
      <c r="M42" s="1131"/>
      <c r="N42" s="1131"/>
      <c r="O42" s="1139"/>
      <c r="P42" s="3186" t="s">
        <v>2566</v>
      </c>
      <c r="Q42" s="1809" t="str">
        <f t="shared" si="14"/>
        <v>工程地质条件</v>
      </c>
      <c r="R42" s="774" t="s">
        <v>17</v>
      </c>
      <c r="S42" s="775">
        <f t="shared" si="10"/>
        <v>100</v>
      </c>
      <c r="T42" s="774" t="s">
        <v>17</v>
      </c>
      <c r="U42" s="775">
        <f t="shared" si="11"/>
        <v>100</v>
      </c>
      <c r="V42" s="774" t="s">
        <v>17</v>
      </c>
      <c r="W42" s="775">
        <f t="shared" si="12"/>
        <v>100</v>
      </c>
      <c r="X42" s="1812"/>
      <c r="Y42" s="3186" t="s">
        <v>2566</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6"/>
      <c r="Q43" s="1809">
        <f t="shared" si="14"/>
        <v>111</v>
      </c>
      <c r="R43" s="774" t="s">
        <v>17</v>
      </c>
      <c r="S43" s="775">
        <f t="shared" si="10"/>
        <v>100</v>
      </c>
      <c r="T43" s="774" t="s">
        <v>17</v>
      </c>
      <c r="U43" s="775">
        <f t="shared" si="11"/>
        <v>100</v>
      </c>
      <c r="V43" s="774" t="s">
        <v>17</v>
      </c>
      <c r="W43" s="775">
        <f t="shared" si="12"/>
        <v>100</v>
      </c>
      <c r="X43" s="1812"/>
      <c r="Y43" s="3186"/>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6"/>
      <c r="Q44" s="1809">
        <f t="shared" si="14"/>
        <v>111</v>
      </c>
      <c r="R44" s="774" t="s">
        <v>17</v>
      </c>
      <c r="S44" s="775">
        <f t="shared" si="10"/>
        <v>100</v>
      </c>
      <c r="T44" s="774" t="s">
        <v>17</v>
      </c>
      <c r="U44" s="775">
        <f t="shared" si="11"/>
        <v>100</v>
      </c>
      <c r="V44" s="774" t="s">
        <v>17</v>
      </c>
      <c r="W44" s="775">
        <f t="shared" si="12"/>
        <v>100</v>
      </c>
      <c r="X44" s="1812"/>
      <c r="Y44" s="3186"/>
      <c r="Z44" s="1813">
        <f t="shared" si="13"/>
        <v>111</v>
      </c>
      <c r="AA44" s="1810">
        <f t="shared" si="3"/>
        <v>1</v>
      </c>
      <c r="AB44" s="1810">
        <f t="shared" si="4"/>
        <v>1</v>
      </c>
      <c r="AC44" s="1810">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6"/>
      <c r="Q45" s="1809">
        <f t="shared" si="14"/>
        <v>111</v>
      </c>
      <c r="R45" s="777" t="s">
        <v>17</v>
      </c>
      <c r="S45" s="778">
        <f t="shared" si="10"/>
        <v>100</v>
      </c>
      <c r="T45" s="777" t="s">
        <v>17</v>
      </c>
      <c r="U45" s="778">
        <f t="shared" si="11"/>
        <v>100</v>
      </c>
      <c r="V45" s="777" t="s">
        <v>17</v>
      </c>
      <c r="W45" s="778">
        <f t="shared" si="12"/>
        <v>100</v>
      </c>
      <c r="X45" s="779"/>
      <c r="Y45" s="3186"/>
      <c r="Z45" s="780">
        <f t="shared" si="13"/>
        <v>111</v>
      </c>
      <c r="AA45" s="1810">
        <f t="shared" si="3"/>
        <v>1</v>
      </c>
      <c r="AB45" s="1810">
        <f t="shared" si="4"/>
        <v>1</v>
      </c>
      <c r="AC45" s="1810">
        <f t="shared" si="5"/>
        <v>1</v>
      </c>
    </row>
    <row r="46" spans="1:29" ht="15">
      <c r="A46" s="479" t="s">
        <v>2721</v>
      </c>
      <c r="B46" s="2706" t="s">
        <v>3069</v>
      </c>
      <c r="C46" s="682" t="s">
        <v>1</v>
      </c>
      <c r="D46" s="481"/>
      <c r="E46" s="2957">
        <f>案例!J35</f>
        <v>2509.73</v>
      </c>
      <c r="F46" s="483"/>
      <c r="G46" s="2958">
        <f>案例!J36</f>
        <v>3726.46</v>
      </c>
      <c r="H46" s="485"/>
      <c r="I46" s="2957">
        <f>案例!J37</f>
        <v>4167.8500000000004</v>
      </c>
      <c r="J46" s="485"/>
      <c r="K46" s="783"/>
      <c r="L46" s="1143"/>
      <c r="M46" s="1144"/>
      <c r="N46" s="1131"/>
      <c r="O46" s="1144"/>
      <c r="P46" s="3181" t="str">
        <f>A46</f>
        <v>成交单价</v>
      </c>
      <c r="Q46" s="3181"/>
      <c r="R46" s="3187">
        <f>E46</f>
        <v>2509.73</v>
      </c>
      <c r="S46" s="3187"/>
      <c r="T46" s="3187">
        <f>G46</f>
        <v>3726.46</v>
      </c>
      <c r="U46" s="3187"/>
      <c r="V46" s="3187">
        <f>I46</f>
        <v>4167.8500000000004</v>
      </c>
      <c r="W46" s="3187"/>
      <c r="X46" s="759"/>
      <c r="Y46" s="781"/>
      <c r="Z46" s="759"/>
      <c r="AA46" s="759"/>
      <c r="AB46" s="759"/>
      <c r="AC46" s="759"/>
    </row>
    <row r="47" spans="1:29" ht="15.75" thickBot="1">
      <c r="A47" s="486" t="s">
        <v>2670</v>
      </c>
      <c r="B47" s="683"/>
      <c r="C47" s="490">
        <f>R48</f>
        <v>3244</v>
      </c>
      <c r="D47" s="489"/>
      <c r="E47" s="490">
        <f>R47</f>
        <v>2386</v>
      </c>
      <c r="F47" s="491"/>
      <c r="G47" s="488">
        <f>T47</f>
        <v>3543</v>
      </c>
      <c r="H47" s="489"/>
      <c r="I47" s="490">
        <f>V47</f>
        <v>3804</v>
      </c>
      <c r="J47" s="489"/>
      <c r="K47" s="784"/>
      <c r="L47" s="1143"/>
      <c r="M47" s="1144"/>
      <c r="N47" s="1144"/>
      <c r="O47" s="1144"/>
      <c r="P47" s="3181" t="str">
        <f>A47</f>
        <v>比较价值（元/平方米）</v>
      </c>
      <c r="Q47" s="3181"/>
      <c r="R47" s="3174">
        <f>ROUND(PRODUCT(R46,AA7:AA45),0)</f>
        <v>2386</v>
      </c>
      <c r="S47" s="3174"/>
      <c r="T47" s="3174">
        <f>ROUND(PRODUCT(T46,AB7:AB45),0)</f>
        <v>3543</v>
      </c>
      <c r="U47" s="3174"/>
      <c r="V47" s="3174">
        <f>ROUND(PRODUCT(V46,AC7:AC45),0)</f>
        <v>3804</v>
      </c>
      <c r="W47" s="3174"/>
      <c r="X47" s="759"/>
      <c r="Y47" s="759"/>
      <c r="Z47" s="759"/>
      <c r="AA47" s="759"/>
      <c r="AB47" s="759"/>
      <c r="AC47" s="759"/>
    </row>
    <row r="48" spans="1:29" ht="15.75" thickBot="1">
      <c r="A48" s="492" t="s">
        <v>2757</v>
      </c>
      <c r="B48" s="493"/>
      <c r="C48" s="494">
        <f>R48</f>
        <v>3244</v>
      </c>
      <c r="D48" s="494"/>
      <c r="E48" s="494"/>
      <c r="F48" s="494"/>
      <c r="G48" s="494"/>
      <c r="H48" s="494"/>
      <c r="I48" s="494"/>
      <c r="J48" s="494"/>
      <c r="K48" s="785"/>
      <c r="L48" s="1143"/>
      <c r="M48" s="1144"/>
      <c r="N48" s="1144"/>
      <c r="O48" s="1144"/>
      <c r="P48" s="3175" t="str">
        <f>A48</f>
        <v>估价对象XX用房的比较价值（楼面单价，元/平方米）</v>
      </c>
      <c r="Q48" s="3176"/>
      <c r="R48" s="3177">
        <f>ROUND(AVERAGE(R47:V47),0)</f>
        <v>3244</v>
      </c>
      <c r="S48" s="3177"/>
      <c r="T48" s="3177"/>
      <c r="U48" s="3177"/>
      <c r="V48" s="3177"/>
      <c r="W48" s="317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f>IF(E46&lt;E47,E47/E46-1,E46/E47-1)</f>
        <v>5.1856663872590136E-2</v>
      </c>
      <c r="F51" s="500" t="str">
        <f>IF(OR(E51&gt;=0.3,E51&lt;=-0.3),"超过30%","")</f>
        <v/>
      </c>
      <c r="G51" s="499">
        <f>IF(G46&lt;G47,G47/G46-1,G46/G47-1)</f>
        <v>5.1780976573525317E-2</v>
      </c>
      <c r="H51" s="500" t="str">
        <f>IF(OR(G51&gt;=0.3,G51&lt;=-0.3),"超过30%","")</f>
        <v/>
      </c>
      <c r="I51" s="499">
        <f>IF(I46&lt;I47,I47/I46-1,I46/I47-1)</f>
        <v>9.5649316508938043E-2</v>
      </c>
      <c r="J51" s="500" t="str">
        <f>IF(OR(I51&gt;=0.3,I51&lt;=-0.3),"超过30%","")</f>
        <v/>
      </c>
      <c r="K51" s="1105"/>
      <c r="L51" s="1106"/>
      <c r="M51" s="1144"/>
      <c r="N51" s="1144"/>
      <c r="O51" s="1144"/>
    </row>
    <row r="52" spans="1:15" ht="13.5" customHeight="1">
      <c r="A52" s="1144"/>
      <c r="B52" s="1144"/>
      <c r="C52" s="497" t="s">
        <v>2673</v>
      </c>
      <c r="D52" s="501"/>
      <c r="E52" s="499">
        <f>IF(E47&lt;G47,G47/E47-1,E47/G47-1)</f>
        <v>0.4849119865884326</v>
      </c>
      <c r="F52" s="500" t="str">
        <f>IF(OR(E52&gt;=0.2,E52&lt;=-0.2),"超过20%","")</f>
        <v>超过20%</v>
      </c>
      <c r="G52" s="499">
        <f>IF(G47&lt;I47,I47/G47-1,G47/I47-1)</f>
        <v>7.3666384419982966E-2</v>
      </c>
      <c r="H52" s="500" t="str">
        <f>IF(OR(G52&gt;=0.2,G52&lt;=-0.2),"超过20%","")</f>
        <v/>
      </c>
      <c r="I52" s="499">
        <f>IF(I47&lt;E47,E47/I47-1,I47/E47-1)</f>
        <v>0.59430008382229671</v>
      </c>
      <c r="J52" s="500" t="str">
        <f>IF(OR(I52&gt;=0.2,I52&lt;=-0.2),"超过20%","")</f>
        <v>超过20%</v>
      </c>
      <c r="K52" s="1105"/>
      <c r="L52" s="1106"/>
      <c r="M52" s="1144"/>
      <c r="N52" s="1144"/>
      <c r="O52" s="1144"/>
    </row>
    <row r="53" spans="1:15" s="502" customFormat="1" ht="13.5" customHeight="1">
      <c r="A53" s="1145"/>
      <c r="B53" s="1145"/>
      <c r="C53" s="497" t="s">
        <v>2674</v>
      </c>
      <c r="D53" s="501"/>
      <c r="E53" s="499">
        <f>IF(E46&lt;G46,G46/E46-1,E46/G46-1)</f>
        <v>0.48480513840134187</v>
      </c>
      <c r="F53" s="500" t="str">
        <f>IF(OR(E53&gt;=0.3,E53&lt;=-0.3),"超过30%","")</f>
        <v>超过30%</v>
      </c>
      <c r="G53" s="499">
        <f>IF(G46&lt;I46,I46/G46-1,G46/I46-1)</f>
        <v>0.11844753465755709</v>
      </c>
      <c r="H53" s="500" t="str">
        <f>IF(OR(G53&gt;=0.3,G53&lt;=-0.3),"超过30%","")</f>
        <v/>
      </c>
      <c r="I53" s="499">
        <f>IF(I46&lt;E46,E46/I46-1,I46/E46-1)</f>
        <v>0.66067664649185387</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178" t="s">
        <v>2764</v>
      </c>
      <c r="H55" s="3179"/>
      <c r="I55" s="143" t="s">
        <v>2765</v>
      </c>
      <c r="J55" s="2709">
        <f>项目基本情况!F35</f>
        <v>0</v>
      </c>
      <c r="K55" s="2710" t="s">
        <v>2766</v>
      </c>
      <c r="L55" s="1106"/>
      <c r="M55" s="1144"/>
      <c r="N55" s="1144"/>
      <c r="O55" s="1144"/>
    </row>
    <row r="56" spans="1:15" s="692" customFormat="1">
      <c r="A56" s="688" t="s">
        <v>2767</v>
      </c>
      <c r="B56" s="689">
        <f>C48</f>
        <v>3244</v>
      </c>
      <c r="C56" s="690">
        <v>1</v>
      </c>
      <c r="D56" s="1163">
        <v>1</v>
      </c>
      <c r="E56" s="690">
        <f>'数据-汇总表'!E8+'数据-汇总表'!E9</f>
        <v>116944.15</v>
      </c>
      <c r="F56" s="1103">
        <f t="shared" ref="F56:F65" si="15">ROUND(B56*E56/10000,0)</f>
        <v>37937</v>
      </c>
      <c r="G56" s="3180"/>
      <c r="H56" s="3181"/>
      <c r="I56" s="1108">
        <v>1</v>
      </c>
      <c r="J56" s="1111">
        <v>1</v>
      </c>
      <c r="K56" s="1145"/>
      <c r="L56" s="941"/>
      <c r="M56" s="941"/>
      <c r="N56" s="941"/>
      <c r="O56" s="941"/>
    </row>
    <row r="57" spans="1:15" s="692" customFormat="1">
      <c r="A57" s="693" t="s">
        <v>2768</v>
      </c>
      <c r="B57" s="262">
        <f>ROUND($C$48*C57*D57,0)</f>
        <v>0</v>
      </c>
      <c r="C57" s="200">
        <f t="shared" ref="C57:C65" si="16">IF($C$55="北京市系数",I57,J57)</f>
        <v>0</v>
      </c>
      <c r="D57" s="1164">
        <v>0.25</v>
      </c>
      <c r="E57" s="694"/>
      <c r="F57" s="1103">
        <f t="shared" si="15"/>
        <v>0</v>
      </c>
      <c r="G57" s="3182" t="s">
        <v>2769</v>
      </c>
      <c r="H57" s="1104">
        <f>项目基本情况!B37</f>
        <v>0</v>
      </c>
      <c r="I57" s="1108">
        <f>SUMIF(修正!A45:A56,H57,修正!B45:B56)</f>
        <v>0</v>
      </c>
      <c r="J57" s="1112"/>
      <c r="K57" s="1144"/>
      <c r="L57" s="941"/>
      <c r="M57" s="941"/>
      <c r="N57" s="941"/>
      <c r="O57" s="941"/>
    </row>
    <row r="58" spans="1:15" s="692" customFormat="1">
      <c r="A58" s="693" t="s">
        <v>2770</v>
      </c>
      <c r="B58" s="262">
        <f t="shared" ref="B58:B65" si="17">ROUND($C$48*C58*D58,0)</f>
        <v>0</v>
      </c>
      <c r="C58" s="200">
        <f t="shared" si="16"/>
        <v>0</v>
      </c>
      <c r="D58" s="1164">
        <v>0.25</v>
      </c>
      <c r="E58" s="694"/>
      <c r="F58" s="1103">
        <f t="shared" si="15"/>
        <v>0</v>
      </c>
      <c r="G58" s="3182"/>
      <c r="H58" s="1104">
        <f>项目基本情况!B37</f>
        <v>0</v>
      </c>
      <c r="I58" s="1108">
        <f>SUMIF(修正!A45:A56,H58,修正!C45:C56)</f>
        <v>0</v>
      </c>
      <c r="J58" s="1112"/>
      <c r="K58" s="1145"/>
      <c r="L58" s="941"/>
      <c r="M58" s="941"/>
      <c r="N58" s="941"/>
      <c r="O58" s="941"/>
    </row>
    <row r="59" spans="1:15" s="692" customFormat="1">
      <c r="A59" s="693" t="s">
        <v>2771</v>
      </c>
      <c r="B59" s="262">
        <f t="shared" si="17"/>
        <v>0</v>
      </c>
      <c r="C59" s="200">
        <f t="shared" si="16"/>
        <v>0</v>
      </c>
      <c r="D59" s="1164">
        <v>0.25</v>
      </c>
      <c r="E59" s="694"/>
      <c r="F59" s="1103">
        <f t="shared" si="15"/>
        <v>0</v>
      </c>
      <c r="G59" s="3182"/>
      <c r="H59" s="1104">
        <f>项目基本情况!B37</f>
        <v>0</v>
      </c>
      <c r="I59" s="1108">
        <f>SUMIF(修正!A45:A56,H59,修正!D45:D56)</f>
        <v>0</v>
      </c>
      <c r="J59" s="1112"/>
      <c r="K59" s="1144"/>
      <c r="L59" s="941"/>
      <c r="M59" s="941"/>
      <c r="N59" s="941"/>
      <c r="O59" s="941"/>
    </row>
    <row r="60" spans="1:15" s="692" customFormat="1">
      <c r="A60" s="693" t="s">
        <v>2772</v>
      </c>
      <c r="B60" s="262">
        <f t="shared" si="17"/>
        <v>0</v>
      </c>
      <c r="C60" s="200">
        <f t="shared" si="16"/>
        <v>0</v>
      </c>
      <c r="D60" s="1164">
        <v>0.25</v>
      </c>
      <c r="E60" s="694"/>
      <c r="F60" s="1103">
        <f t="shared" si="15"/>
        <v>0</v>
      </c>
      <c r="G60" s="3182"/>
      <c r="H60" s="1104">
        <f>项目基本情况!B37</f>
        <v>0</v>
      </c>
      <c r="I60" s="1108">
        <f>SUMIF(修正!A45:A56,H60,修正!E45:E56)</f>
        <v>0</v>
      </c>
      <c r="J60" s="1112"/>
      <c r="K60" s="1145"/>
      <c r="L60" s="941"/>
      <c r="M60" s="941"/>
      <c r="N60" s="941"/>
      <c r="O60" s="941"/>
    </row>
    <row r="61" spans="1:15" s="692" customFormat="1">
      <c r="A61" s="693" t="s">
        <v>2773</v>
      </c>
      <c r="B61" s="262">
        <f t="shared" si="17"/>
        <v>0</v>
      </c>
      <c r="C61" s="200">
        <f t="shared" si="16"/>
        <v>0</v>
      </c>
      <c r="D61" s="1164">
        <v>0.25</v>
      </c>
      <c r="E61" s="261">
        <f>'数据-汇总表'!E11</f>
        <v>0</v>
      </c>
      <c r="F61" s="1103">
        <f t="shared" si="15"/>
        <v>0</v>
      </c>
      <c r="G61" s="2711" t="s">
        <v>2774</v>
      </c>
      <c r="H61" s="1104">
        <f>项目基本情况!C37</f>
        <v>0</v>
      </c>
      <c r="I61" s="1108">
        <f>SUMIF(修正!A45:A56,H61,修正!F45:F56)</f>
        <v>0</v>
      </c>
      <c r="J61" s="1112"/>
      <c r="K61" s="1144"/>
      <c r="L61" s="941"/>
      <c r="M61" s="941"/>
      <c r="N61" s="941"/>
      <c r="O61" s="941"/>
    </row>
    <row r="62" spans="1:15"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f t="shared" si="17"/>
        <v>0</v>
      </c>
      <c r="C63" s="200">
        <f t="shared" si="16"/>
        <v>0</v>
      </c>
      <c r="D63" s="1164">
        <v>0.25</v>
      </c>
      <c r="E63" s="261">
        <f>'数据-汇总表'!E13</f>
        <v>0</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f t="shared" si="17"/>
        <v>0</v>
      </c>
      <c r="C64" s="200">
        <f t="shared" si="16"/>
        <v>0</v>
      </c>
      <c r="D64" s="1164">
        <v>0.25</v>
      </c>
      <c r="E64" s="261">
        <f>'数据-汇总表'!E14</f>
        <v>0</v>
      </c>
      <c r="F64" s="1103">
        <f t="shared" si="15"/>
        <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f t="shared" si="17"/>
        <v>0</v>
      </c>
      <c r="C65" s="200">
        <f t="shared" si="16"/>
        <v>0</v>
      </c>
      <c r="D65" s="1164">
        <v>0.25</v>
      </c>
      <c r="E65" s="261">
        <f>'数据-汇总表'!E15</f>
        <v>0</v>
      </c>
      <c r="F65" s="1103">
        <f t="shared" si="15"/>
        <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1029</v>
      </c>
      <c r="E66" s="696">
        <f>IF(B46="楼面地价",SUM(E56:E65),'数据-汇总表'!D3)</f>
        <v>116944.15</v>
      </c>
      <c r="F66" s="697">
        <f>IF(B46="楼面地价",SUM(F56:F65),ROUND(C48*E66/10000,0))</f>
        <v>37937</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6" customFormat="1" ht="30" customHeight="1">
      <c r="A71" s="2714" t="s">
        <v>1378</v>
      </c>
      <c r="B71" s="332" t="str">
        <f>"北京市平均增长率"&amp;TEXT(SUMIF(基准地价修正!N21:N25,A71,基准地价修正!P21:P25),"0.00%")</f>
        <v>北京市平均增长率1.64%</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6" customFormat="1" ht="15.75" thickBot="1">
      <c r="A72" s="515" t="s">
        <v>2586</v>
      </c>
      <c r="B72" s="516"/>
      <c r="C72" s="517"/>
      <c r="D72" s="518"/>
      <c r="E72" s="518"/>
      <c r="F72" s="518"/>
      <c r="G72" s="518"/>
      <c r="H72" s="518"/>
      <c r="I72" s="518"/>
      <c r="J72" s="518"/>
      <c r="K72" s="518"/>
      <c r="L72" s="518"/>
      <c r="M72" s="519"/>
      <c r="N72" s="518"/>
      <c r="O72" s="1162"/>
      <c r="P72" s="504"/>
      <c r="Q72" s="504"/>
    </row>
    <row r="73" spans="1:17" s="116" customFormat="1" ht="15">
      <c r="A73" s="521" t="s">
        <v>2551</v>
      </c>
      <c r="B73" s="510"/>
      <c r="C73" s="522" t="s">
        <v>2653</v>
      </c>
      <c r="D73" s="523"/>
      <c r="E73" s="523"/>
      <c r="F73" s="523"/>
      <c r="G73" s="523"/>
      <c r="H73" s="523"/>
      <c r="I73" s="523"/>
      <c r="J73" s="523"/>
      <c r="K73" s="523"/>
      <c r="L73" s="524"/>
      <c r="M73" s="525"/>
      <c r="N73" s="1151"/>
      <c r="O73" s="1151"/>
      <c r="P73" s="526"/>
      <c r="Q73" s="504"/>
    </row>
    <row r="74" spans="1:17" s="116"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2934" t="s">
        <v>3067</v>
      </c>
      <c r="D75" s="2934" t="s">
        <v>3068</v>
      </c>
      <c r="E75" s="530"/>
      <c r="F75" s="530"/>
      <c r="G75" s="530"/>
      <c r="H75" s="530"/>
      <c r="I75" s="530"/>
      <c r="J75" s="530"/>
      <c r="K75" s="531"/>
      <c r="L75" s="532"/>
      <c r="M75" s="533"/>
      <c r="N75" s="1152"/>
      <c r="O75" s="1152"/>
      <c r="P75" s="44"/>
      <c r="Q75" s="504"/>
    </row>
    <row r="76" spans="1:17" ht="15.75" thickBot="1">
      <c r="A76" s="534"/>
      <c r="B76" s="535"/>
      <c r="C76" s="536">
        <v>100</v>
      </c>
      <c r="D76" s="536">
        <v>102</v>
      </c>
      <c r="E76" s="536"/>
      <c r="F76" s="536"/>
      <c r="G76" s="536"/>
      <c r="H76" s="536"/>
      <c r="I76" s="536"/>
      <c r="J76" s="536"/>
      <c r="K76" s="536"/>
      <c r="L76" s="536"/>
      <c r="M76" s="537"/>
      <c r="N76" s="1153"/>
      <c r="O76" s="1153"/>
      <c r="P76" s="44"/>
      <c r="Q76" s="504"/>
    </row>
    <row r="77" spans="1:17" ht="27.75" thickTop="1">
      <c r="A77" s="534"/>
      <c r="B77" s="538" t="s">
        <v>2558</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v>0</v>
      </c>
      <c r="D80" s="549">
        <v>1</v>
      </c>
      <c r="E80" s="549">
        <v>2</v>
      </c>
      <c r="F80" s="549">
        <v>3</v>
      </c>
      <c r="G80" s="549">
        <v>4</v>
      </c>
      <c r="H80" s="549">
        <v>5</v>
      </c>
      <c r="I80" s="549"/>
      <c r="J80" s="549"/>
      <c r="K80" s="550"/>
      <c r="L80" s="551"/>
      <c r="M80" s="552"/>
      <c r="N80" s="1152"/>
      <c r="O80" s="1152"/>
      <c r="P80" s="44"/>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2783</v>
      </c>
      <c r="C90" s="578" t="s">
        <v>2598</v>
      </c>
      <c r="D90" s="578" t="s">
        <v>2599</v>
      </c>
      <c r="E90" s="578" t="s">
        <v>2600</v>
      </c>
      <c r="F90" s="578" t="s">
        <v>2601</v>
      </c>
      <c r="G90" s="578" t="s">
        <v>2602</v>
      </c>
      <c r="H90" s="539"/>
      <c r="I90" s="539"/>
      <c r="J90" s="539"/>
      <c r="K90" s="540"/>
      <c r="L90" s="541"/>
      <c r="M90" s="542"/>
      <c r="N90" s="1152"/>
      <c r="O90" s="1152"/>
      <c r="P90" s="44"/>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4"/>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4"/>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4"/>
      <c r="Q95" s="504"/>
    </row>
    <row r="96" spans="1:17" s="116" customFormat="1" ht="15.75" thickTop="1">
      <c r="A96" s="579"/>
      <c r="B96" s="538" t="s">
        <v>2784</v>
      </c>
      <c r="C96" s="578" t="s">
        <v>2598</v>
      </c>
      <c r="D96" s="578" t="s">
        <v>2599</v>
      </c>
      <c r="E96" s="578" t="s">
        <v>2600</v>
      </c>
      <c r="F96" s="578" t="s">
        <v>2601</v>
      </c>
      <c r="G96" s="578" t="s">
        <v>2602</v>
      </c>
      <c r="H96" s="578"/>
      <c r="I96" s="578"/>
      <c r="J96" s="578"/>
      <c r="K96" s="578"/>
      <c r="L96" s="698"/>
      <c r="M96" s="622"/>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2785</v>
      </c>
      <c r="C98" s="573" t="s">
        <v>2598</v>
      </c>
      <c r="D98" s="573" t="s">
        <v>2599</v>
      </c>
      <c r="E98" s="573" t="s">
        <v>2600</v>
      </c>
      <c r="F98" s="573" t="s">
        <v>2601</v>
      </c>
      <c r="G98" s="573" t="s">
        <v>2602</v>
      </c>
      <c r="H98" s="578"/>
      <c r="I98" s="578"/>
      <c r="J98" s="578"/>
      <c r="K98" s="578"/>
      <c r="L98" s="578"/>
      <c r="M98" s="622"/>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2692</v>
      </c>
      <c r="C106" s="2964" t="s">
        <v>3105</v>
      </c>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2751</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5"/>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ustomHeight="1">
      <c r="A116" s="527" t="s">
        <v>2564</v>
      </c>
      <c r="B116" s="528" t="s">
        <v>2790</v>
      </c>
      <c r="C116" s="529" t="str">
        <f>C117&amp;"(含)"&amp;"-"&amp;D117</f>
        <v>0(含)-30000</v>
      </c>
      <c r="D116" s="529" t="str">
        <f t="shared" ref="D116:M116" si="25">D117&amp;"(含)"&amp;"-"&amp;E117</f>
        <v>30000(含)-60000</v>
      </c>
      <c r="E116" s="529" t="str">
        <f t="shared" si="25"/>
        <v>60000(含)-90000</v>
      </c>
      <c r="F116" s="529" t="str">
        <f t="shared" si="25"/>
        <v>90000(含)-1200000</v>
      </c>
      <c r="G116" s="529" t="str">
        <f t="shared" si="25"/>
        <v>1200000(含)-1500000</v>
      </c>
      <c r="H116" s="529" t="str">
        <f t="shared" si="25"/>
        <v>1500000(含)-1800000</v>
      </c>
      <c r="I116" s="529" t="str">
        <f t="shared" si="25"/>
        <v>1800000(含)-2100000</v>
      </c>
      <c r="J116" s="529" t="str">
        <f t="shared" si="25"/>
        <v>2100000(含)-240000</v>
      </c>
      <c r="K116" s="529" t="str">
        <f t="shared" si="25"/>
        <v>240000(含)-2700000</v>
      </c>
      <c r="L116" s="529" t="str">
        <f t="shared" si="25"/>
        <v>2700000(含)-</v>
      </c>
      <c r="M116" s="529" t="str">
        <f t="shared" si="25"/>
        <v>(含)-</v>
      </c>
      <c r="N116" s="1152"/>
      <c r="O116" s="1152"/>
      <c r="P116" s="44"/>
      <c r="Q116" s="504"/>
    </row>
    <row r="117" spans="1:17" ht="15">
      <c r="A117" s="534"/>
      <c r="B117" s="546"/>
      <c r="C117" s="595">
        <v>0</v>
      </c>
      <c r="D117" s="595">
        <v>30000</v>
      </c>
      <c r="E117" s="595">
        <v>60000</v>
      </c>
      <c r="F117" s="595">
        <v>90000</v>
      </c>
      <c r="G117" s="595">
        <v>1200000</v>
      </c>
      <c r="H117" s="595">
        <v>1500000</v>
      </c>
      <c r="I117" s="595">
        <v>1800000</v>
      </c>
      <c r="J117" s="596">
        <v>2100000</v>
      </c>
      <c r="K117" s="596">
        <v>240000</v>
      </c>
      <c r="L117" s="597">
        <v>2700000</v>
      </c>
      <c r="M117" s="598"/>
      <c r="N117" s="1152"/>
      <c r="O117" s="1152"/>
      <c r="P117" s="44"/>
      <c r="Q117" s="504"/>
    </row>
    <row r="118" spans="1:17" ht="15.75" thickBot="1">
      <c r="A118" s="534"/>
      <c r="B118" s="543"/>
      <c r="C118" s="570">
        <v>92</v>
      </c>
      <c r="D118" s="591">
        <v>93</v>
      </c>
      <c r="E118" s="591">
        <v>94</v>
      </c>
      <c r="F118" s="591">
        <v>95</v>
      </c>
      <c r="G118" s="591">
        <v>96</v>
      </c>
      <c r="H118" s="591">
        <v>97</v>
      </c>
      <c r="I118" s="591">
        <v>98</v>
      </c>
      <c r="J118" s="591">
        <v>99</v>
      </c>
      <c r="K118" s="591">
        <v>100</v>
      </c>
      <c r="L118" s="591">
        <v>101</v>
      </c>
      <c r="M118" s="592"/>
      <c r="N118" s="1153"/>
      <c r="O118" s="1153"/>
      <c r="P118" s="44"/>
      <c r="Q118" s="504"/>
    </row>
    <row r="119" spans="1:17" ht="15" thickTop="1">
      <c r="A119" s="599"/>
      <c r="B119" s="538" t="s">
        <v>2791</v>
      </c>
      <c r="C119" s="2965" t="s">
        <v>3107</v>
      </c>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2792</v>
      </c>
      <c r="C121" s="2964" t="s">
        <v>3109</v>
      </c>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2793</v>
      </c>
      <c r="C123" s="2964" t="s">
        <v>3110</v>
      </c>
      <c r="D123" s="2964" t="s">
        <v>3143</v>
      </c>
      <c r="E123" s="2964" t="s">
        <v>3144</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2964" t="s">
        <v>3111</v>
      </c>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94"/>
  <sheetViews>
    <sheetView topLeftCell="J34" workbookViewId="0">
      <selection activeCell="I53" sqref="I53:U53"/>
    </sheetView>
  </sheetViews>
  <sheetFormatPr defaultRowHeight="13.5"/>
  <cols>
    <col min="1" max="1" width="21.25" customWidth="1"/>
    <col min="2" max="2" width="23.125" customWidth="1"/>
    <col min="3" max="4" width="10.5" bestFit="1" customWidth="1"/>
    <col min="5" max="5" width="13.25" customWidth="1"/>
    <col min="6" max="6" width="14.125" style="2931" customWidth="1"/>
    <col min="7" max="7" width="23.875" customWidth="1"/>
    <col min="8" max="8" width="12.875" customWidth="1"/>
    <col min="10" max="10" width="11.625" bestFit="1" customWidth="1"/>
  </cols>
  <sheetData>
    <row r="4" spans="4:11">
      <c r="D4" s="2948" t="s">
        <v>3086</v>
      </c>
      <c r="E4" s="2948" t="s">
        <v>3080</v>
      </c>
      <c r="F4" s="2949" t="s">
        <v>3089</v>
      </c>
      <c r="G4" s="2948" t="s">
        <v>3087</v>
      </c>
      <c r="H4" s="2948" t="s">
        <v>3088</v>
      </c>
      <c r="I4" s="2929" t="s">
        <v>3047</v>
      </c>
      <c r="J4" s="2929" t="s">
        <v>3048</v>
      </c>
    </row>
    <row r="5" spans="4:11" ht="18.75" customHeight="1">
      <c r="D5" s="3226" t="s">
        <v>3046</v>
      </c>
      <c r="E5" s="3229" t="s">
        <v>3157</v>
      </c>
      <c r="F5" s="2949" t="s">
        <v>3090</v>
      </c>
      <c r="G5" s="3217">
        <v>9380</v>
      </c>
      <c r="H5" s="2946">
        <v>9794.1299999999992</v>
      </c>
      <c r="I5" s="2929" t="s">
        <v>3051</v>
      </c>
      <c r="J5" s="2930">
        <v>55041</v>
      </c>
    </row>
    <row r="6" spans="4:11">
      <c r="D6" s="3227"/>
      <c r="E6" s="3230"/>
      <c r="F6" s="2947">
        <v>1</v>
      </c>
      <c r="G6" s="3218"/>
      <c r="H6" s="2946">
        <v>370.1</v>
      </c>
    </row>
    <row r="7" spans="4:11">
      <c r="D7" s="3227"/>
      <c r="E7" s="3230"/>
      <c r="F7" s="2949" t="s">
        <v>3091</v>
      </c>
      <c r="G7" s="3218"/>
      <c r="H7" s="2946">
        <v>437.37</v>
      </c>
    </row>
    <row r="8" spans="4:11">
      <c r="D8" s="3228"/>
      <c r="E8" s="3231"/>
      <c r="F8" s="2949" t="s">
        <v>3091</v>
      </c>
      <c r="G8" s="3219"/>
      <c r="H8" s="2946">
        <v>437.37</v>
      </c>
    </row>
    <row r="9" spans="4:11">
      <c r="D9" s="3220" t="s">
        <v>3049</v>
      </c>
      <c r="E9" s="3221"/>
      <c r="F9" s="3222"/>
      <c r="G9" s="2950">
        <f>G5</f>
        <v>9380</v>
      </c>
      <c r="H9" s="2950">
        <f>SUM(H5:H8)</f>
        <v>11038.970000000001</v>
      </c>
      <c r="K9" s="2929" t="s">
        <v>3055</v>
      </c>
    </row>
    <row r="10" spans="4:11" ht="40.5" customHeight="1">
      <c r="D10" s="3229" t="s">
        <v>3052</v>
      </c>
      <c r="E10" s="3229" t="s">
        <v>3081</v>
      </c>
      <c r="F10" s="2949" t="s">
        <v>3053</v>
      </c>
      <c r="G10" s="3217">
        <v>33561.699999999997</v>
      </c>
      <c r="H10" s="2946">
        <v>1882.84</v>
      </c>
      <c r="I10" s="2929" t="s">
        <v>3051</v>
      </c>
      <c r="J10" s="2930">
        <v>53309</v>
      </c>
    </row>
    <row r="11" spans="4:11">
      <c r="D11" s="3230"/>
      <c r="E11" s="3230"/>
      <c r="F11" s="2949" t="s">
        <v>3053</v>
      </c>
      <c r="G11" s="3218"/>
      <c r="H11" s="2946">
        <v>1251.8399999999999</v>
      </c>
    </row>
    <row r="12" spans="4:11">
      <c r="D12" s="3230"/>
      <c r="E12" s="3230"/>
      <c r="F12" s="2949" t="s">
        <v>3054</v>
      </c>
      <c r="G12" s="3218"/>
      <c r="H12" s="2946">
        <v>1312.11</v>
      </c>
    </row>
    <row r="13" spans="4:11">
      <c r="D13" s="3231"/>
      <c r="E13" s="3231"/>
      <c r="F13" s="2949" t="s">
        <v>3054</v>
      </c>
      <c r="G13" s="3219"/>
      <c r="H13" s="2946">
        <v>1571.25</v>
      </c>
    </row>
    <row r="14" spans="4:11">
      <c r="D14" s="3220" t="s">
        <v>3049</v>
      </c>
      <c r="E14" s="3221"/>
      <c r="F14" s="3222"/>
      <c r="G14" s="2950">
        <f>G10</f>
        <v>33561.699999999997</v>
      </c>
      <c r="H14" s="2950">
        <f>SUM(H10:H13)</f>
        <v>6018.04</v>
      </c>
    </row>
    <row r="15" spans="4:11" ht="40.5" customHeight="1">
      <c r="D15" s="3226" t="s">
        <v>3078</v>
      </c>
      <c r="E15" s="3229" t="s">
        <v>3082</v>
      </c>
      <c r="F15" s="2949" t="s">
        <v>3054</v>
      </c>
      <c r="G15" s="3217">
        <v>11730</v>
      </c>
      <c r="H15" s="2946">
        <v>9900.82</v>
      </c>
      <c r="J15" s="2930">
        <v>55041</v>
      </c>
      <c r="K15" s="2929" t="s">
        <v>3056</v>
      </c>
    </row>
    <row r="16" spans="4:11">
      <c r="D16" s="3227"/>
      <c r="E16" s="3230"/>
      <c r="F16" s="2949" t="s">
        <v>3053</v>
      </c>
      <c r="G16" s="3218"/>
      <c r="H16" s="2946">
        <v>470.71</v>
      </c>
      <c r="K16" s="2929" t="s">
        <v>3057</v>
      </c>
    </row>
    <row r="17" spans="4:11">
      <c r="D17" s="3228"/>
      <c r="E17" s="3231"/>
      <c r="F17" s="2949" t="s">
        <v>3053</v>
      </c>
      <c r="G17" s="3219"/>
      <c r="H17" s="2946">
        <v>312.95999999999998</v>
      </c>
      <c r="K17" s="2929" t="s">
        <v>3057</v>
      </c>
    </row>
    <row r="18" spans="4:11">
      <c r="D18" s="3220" t="s">
        <v>3049</v>
      </c>
      <c r="E18" s="3221"/>
      <c r="F18" s="3222"/>
      <c r="G18" s="2950">
        <f>G15</f>
        <v>11730</v>
      </c>
      <c r="H18" s="2950">
        <f>H17+H16+H15</f>
        <v>10684.49</v>
      </c>
    </row>
    <row r="19" spans="4:11" ht="40.5" customHeight="1">
      <c r="D19" s="3226" t="s">
        <v>3079</v>
      </c>
      <c r="E19" s="3229" t="s">
        <v>3083</v>
      </c>
      <c r="F19" s="2949" t="s">
        <v>3053</v>
      </c>
      <c r="G19" s="3217">
        <v>51869.4</v>
      </c>
      <c r="H19" s="2946">
        <v>771.54</v>
      </c>
      <c r="J19" s="2930">
        <v>53309</v>
      </c>
    </row>
    <row r="20" spans="4:11">
      <c r="D20" s="3227"/>
      <c r="E20" s="3230"/>
      <c r="F20" s="2949" t="s">
        <v>3053</v>
      </c>
      <c r="G20" s="3218"/>
      <c r="H20" s="2946">
        <v>771.54</v>
      </c>
    </row>
    <row r="21" spans="4:11">
      <c r="D21" s="3227"/>
      <c r="E21" s="3230"/>
      <c r="F21" s="2949" t="s">
        <v>3053</v>
      </c>
      <c r="G21" s="3218"/>
      <c r="H21" s="2946">
        <v>771.54</v>
      </c>
    </row>
    <row r="22" spans="4:11">
      <c r="D22" s="3227"/>
      <c r="E22" s="3230"/>
      <c r="F22" s="2949" t="s">
        <v>3053</v>
      </c>
      <c r="G22" s="3218"/>
      <c r="H22" s="2946">
        <v>753.14</v>
      </c>
    </row>
    <row r="23" spans="4:11">
      <c r="D23" s="3227"/>
      <c r="E23" s="3230"/>
      <c r="F23" s="2949" t="s">
        <v>3053</v>
      </c>
      <c r="G23" s="3218"/>
      <c r="H23" s="2946">
        <v>1320.86</v>
      </c>
    </row>
    <row r="24" spans="4:11">
      <c r="D24" s="3227"/>
      <c r="E24" s="3230"/>
      <c r="F24" s="2949" t="s">
        <v>3059</v>
      </c>
      <c r="G24" s="3218"/>
      <c r="H24" s="2946">
        <v>18350.21</v>
      </c>
    </row>
    <row r="25" spans="4:11">
      <c r="D25" s="3227"/>
      <c r="E25" s="3230"/>
      <c r="F25" s="2949" t="s">
        <v>3059</v>
      </c>
      <c r="G25" s="3218"/>
      <c r="H25" s="2946">
        <v>5966.13</v>
      </c>
    </row>
    <row r="26" spans="4:11">
      <c r="D26" s="3228"/>
      <c r="E26" s="3231"/>
      <c r="F26" s="2949" t="s">
        <v>3058</v>
      </c>
      <c r="G26" s="3219"/>
      <c r="H26" s="2946">
        <v>2755.78</v>
      </c>
    </row>
    <row r="27" spans="4:11">
      <c r="D27" s="3223" t="s">
        <v>3049</v>
      </c>
      <c r="E27" s="3224"/>
      <c r="F27" s="3225"/>
      <c r="G27" s="2951">
        <f>G19</f>
        <v>51869.4</v>
      </c>
      <c r="H27" s="2951">
        <f>SUM(H19:H26)</f>
        <v>31460.739999999998</v>
      </c>
    </row>
    <row r="28" spans="4:11" ht="40.5">
      <c r="D28" s="2948" t="s">
        <v>3060</v>
      </c>
      <c r="E28" s="2955" t="s">
        <v>3084</v>
      </c>
      <c r="F28" s="2949" t="s">
        <v>3053</v>
      </c>
      <c r="G28" s="2946">
        <v>3659.1</v>
      </c>
      <c r="H28" s="2946">
        <v>758.7</v>
      </c>
      <c r="J28" s="2930">
        <v>53309</v>
      </c>
    </row>
    <row r="29" spans="4:11" ht="40.5">
      <c r="D29" s="2952" t="s">
        <v>3061</v>
      </c>
      <c r="E29" s="2956" t="s">
        <v>3085</v>
      </c>
      <c r="F29" s="2953" t="s">
        <v>3054</v>
      </c>
      <c r="G29" s="2954">
        <v>27945</v>
      </c>
      <c r="H29" s="2954">
        <v>56983.21</v>
      </c>
      <c r="J29" s="2930">
        <v>53309</v>
      </c>
    </row>
    <row r="30" spans="4:11">
      <c r="D30" s="2946"/>
      <c r="E30" s="2946"/>
      <c r="F30" s="2947"/>
      <c r="G30" s="2946"/>
      <c r="H30" s="2946"/>
    </row>
    <row r="31" spans="4:11">
      <c r="D31" s="2948" t="s">
        <v>3062</v>
      </c>
      <c r="E31" s="2948"/>
      <c r="F31" s="2947"/>
      <c r="G31" s="2946">
        <f>G29+G28+G27+G18+G14+G9</f>
        <v>138145.20000000001</v>
      </c>
      <c r="H31" s="2946">
        <f>H29+H28+H27+H18+H14+H9</f>
        <v>116944.15</v>
      </c>
      <c r="J31">
        <f>H31/G31</f>
        <v>0.84653067931422865</v>
      </c>
    </row>
    <row r="33" spans="1:12" s="1634" customFormat="1" ht="27.75" customHeight="1">
      <c r="A33" s="1634" t="s">
        <v>3128</v>
      </c>
      <c r="B33" s="1634" t="s">
        <v>3129</v>
      </c>
      <c r="C33" s="1634" t="s">
        <v>3130</v>
      </c>
      <c r="D33" s="1634" t="s">
        <v>3131</v>
      </c>
      <c r="E33" s="1634" t="s">
        <v>3132</v>
      </c>
      <c r="F33" s="1634" t="s">
        <v>3133</v>
      </c>
      <c r="G33" s="1634" t="s">
        <v>3134</v>
      </c>
      <c r="H33" s="1634" t="s">
        <v>3135</v>
      </c>
      <c r="I33" s="1634" t="s">
        <v>3136</v>
      </c>
      <c r="J33" s="1634" t="s">
        <v>3137</v>
      </c>
      <c r="K33" s="1634" t="s">
        <v>3138</v>
      </c>
      <c r="L33" s="1634" t="s">
        <v>3139</v>
      </c>
    </row>
    <row r="35" spans="1:12" s="2978" customFormat="1" ht="27.75" customHeight="1">
      <c r="A35" s="2978" t="s">
        <v>3065</v>
      </c>
      <c r="B35" s="2978" t="s">
        <v>3125</v>
      </c>
      <c r="C35" s="2978" t="s">
        <v>3126</v>
      </c>
      <c r="D35" s="2978">
        <v>19125.5</v>
      </c>
      <c r="E35" s="2978">
        <v>47813.75</v>
      </c>
      <c r="F35" s="2978" t="s">
        <v>3063</v>
      </c>
      <c r="G35" s="2978" t="s">
        <v>3127</v>
      </c>
      <c r="H35" s="2978" t="s">
        <v>3066</v>
      </c>
      <c r="I35" s="2978">
        <v>418.29</v>
      </c>
      <c r="J35" s="2978">
        <v>2509.73</v>
      </c>
      <c r="K35" s="2978">
        <v>163.74</v>
      </c>
      <c r="L35" s="2978" t="s">
        <v>1332</v>
      </c>
    </row>
    <row r="36" spans="1:12" s="2978" customFormat="1" ht="27.75" customHeight="1">
      <c r="A36" s="2978" t="s">
        <v>3158</v>
      </c>
      <c r="B36" s="2978" t="s">
        <v>3125</v>
      </c>
      <c r="C36" s="2978" t="s">
        <v>3126</v>
      </c>
      <c r="D36" s="2978">
        <v>7728.5</v>
      </c>
      <c r="E36" s="2978">
        <v>19321.25</v>
      </c>
      <c r="F36" s="2978" t="s">
        <v>3063</v>
      </c>
      <c r="G36" s="2978" t="s">
        <v>3127</v>
      </c>
      <c r="H36" s="2978" t="s">
        <v>3159</v>
      </c>
      <c r="I36" s="2978">
        <v>621.08000000000004</v>
      </c>
      <c r="J36" s="2978">
        <v>3726.46</v>
      </c>
      <c r="K36" s="2978">
        <v>55.17</v>
      </c>
      <c r="L36" s="2978" t="s">
        <v>3064</v>
      </c>
    </row>
    <row r="37" spans="1:12" s="2978" customFormat="1" ht="27.75" customHeight="1">
      <c r="A37" s="2978" t="s">
        <v>3160</v>
      </c>
      <c r="B37" s="2978" t="s">
        <v>3125</v>
      </c>
      <c r="C37" s="2978" t="s">
        <v>3126</v>
      </c>
      <c r="D37" s="2978">
        <v>97172.1</v>
      </c>
      <c r="E37" s="2978">
        <v>97172.1</v>
      </c>
      <c r="F37" s="2978" t="s">
        <v>3161</v>
      </c>
      <c r="G37" s="2978" t="s">
        <v>3162</v>
      </c>
      <c r="H37" s="2978" t="s">
        <v>3163</v>
      </c>
      <c r="I37" s="2978">
        <v>277.86</v>
      </c>
      <c r="J37" s="2978">
        <v>4167.8500000000004</v>
      </c>
      <c r="K37" s="2978">
        <v>110.94</v>
      </c>
      <c r="L37" s="2978" t="s">
        <v>3064</v>
      </c>
    </row>
    <row r="38" spans="1:12">
      <c r="G38" s="2930"/>
    </row>
    <row r="39" spans="1:12">
      <c r="G39" s="2930"/>
    </row>
    <row r="43" spans="1:12">
      <c r="G43" s="2933"/>
    </row>
    <row r="60" spans="1:7" ht="22.5">
      <c r="A60" s="2932"/>
    </row>
    <row r="61" spans="1:7">
      <c r="G61" s="2930"/>
    </row>
    <row r="62" spans="1:7">
      <c r="G62" s="2930"/>
    </row>
    <row r="63" spans="1:7">
      <c r="G63" s="2930"/>
    </row>
    <row r="64" spans="1:7">
      <c r="G64" s="2930"/>
    </row>
    <row r="68" spans="1:7">
      <c r="G68" s="2933"/>
    </row>
    <row r="77" spans="1:7">
      <c r="B77" s="2930">
        <v>42278</v>
      </c>
      <c r="C77" s="2930">
        <v>44104</v>
      </c>
      <c r="D77" s="2930">
        <v>44105</v>
      </c>
      <c r="E77" s="2930">
        <v>45930</v>
      </c>
    </row>
    <row r="78" spans="1:7">
      <c r="A78">
        <v>3586.5</v>
      </c>
      <c r="C78">
        <v>180</v>
      </c>
      <c r="E78">
        <v>198</v>
      </c>
    </row>
    <row r="79" spans="1:7">
      <c r="A79">
        <v>5406.67</v>
      </c>
      <c r="B79" s="2930">
        <v>41334</v>
      </c>
      <c r="C79" s="2930">
        <v>43159</v>
      </c>
      <c r="D79" s="2930">
        <v>43160</v>
      </c>
      <c r="E79" s="2930">
        <v>44985</v>
      </c>
      <c r="F79" s="2981" t="s">
        <v>3146</v>
      </c>
      <c r="G79" s="2930">
        <v>45716</v>
      </c>
    </row>
    <row r="80" spans="1:7">
      <c r="A80">
        <f>SUM(A78:A79)</f>
        <v>8993.17</v>
      </c>
      <c r="C80">
        <v>240</v>
      </c>
      <c r="E80">
        <v>256.8</v>
      </c>
      <c r="G80">
        <v>274.77999999999997</v>
      </c>
    </row>
    <row r="81" spans="1:7">
      <c r="A81">
        <f>C78+E78+C80+E80+G80</f>
        <v>1149.58</v>
      </c>
    </row>
    <row r="86" spans="1:7" ht="22.5">
      <c r="A86" s="2932" t="s">
        <v>3150</v>
      </c>
    </row>
    <row r="87" spans="1:7">
      <c r="G87" s="2930"/>
    </row>
    <row r="88" spans="1:7">
      <c r="G88" s="2930"/>
    </row>
    <row r="89" spans="1:7">
      <c r="G89" s="2930"/>
    </row>
    <row r="90" spans="1:7">
      <c r="G90" s="2930"/>
    </row>
    <row r="94" spans="1:7">
      <c r="G94" s="2933"/>
    </row>
  </sheetData>
  <mergeCells count="16">
    <mergeCell ref="G5:G8"/>
    <mergeCell ref="D9:F9"/>
    <mergeCell ref="D14:F14"/>
    <mergeCell ref="D18:F18"/>
    <mergeCell ref="D27:F27"/>
    <mergeCell ref="G10:G13"/>
    <mergeCell ref="G15:G17"/>
    <mergeCell ref="G19:G26"/>
    <mergeCell ref="D19:D26"/>
    <mergeCell ref="E19:E26"/>
    <mergeCell ref="D5:D8"/>
    <mergeCell ref="D10:D13"/>
    <mergeCell ref="E5:E8"/>
    <mergeCell ref="E15:E17"/>
    <mergeCell ref="E10:E13"/>
    <mergeCell ref="D15:D17"/>
  </mergeCells>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B3"/>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137395</v>
      </c>
      <c r="C2" s="2568" t="s">
        <v>2520</v>
      </c>
      <c r="D2" s="2569" t="s">
        <v>2521</v>
      </c>
      <c r="E2" s="2570">
        <f>SUM(E6:E13)</f>
        <v>116944.15</v>
      </c>
    </row>
    <row r="3" spans="1:6" ht="15.75">
      <c r="A3" s="2566" t="s">
        <v>1396</v>
      </c>
      <c r="B3" s="2567">
        <f ca="1">ROUND(B2*10000/E2,0)</f>
        <v>11749</v>
      </c>
      <c r="C3" s="2568" t="s">
        <v>2528</v>
      </c>
      <c r="D3" s="2571"/>
      <c r="E3" s="2572"/>
    </row>
    <row r="4" spans="1:6" ht="15.75">
      <c r="A4" s="2573"/>
      <c r="B4" s="2571"/>
      <c r="C4" s="2571"/>
      <c r="D4" s="2571"/>
      <c r="E4" s="2572"/>
    </row>
    <row r="5" spans="1:6" ht="15">
      <c r="A5" s="2574" t="s">
        <v>2522</v>
      </c>
      <c r="B5" s="3232" t="s">
        <v>2523</v>
      </c>
      <c r="C5" s="3232"/>
      <c r="D5" s="2575"/>
      <c r="E5" s="2576" t="s">
        <v>2524</v>
      </c>
      <c r="F5" s="2577" t="s">
        <v>2525</v>
      </c>
    </row>
    <row r="6" spans="1:6">
      <c r="A6" s="2578" t="str">
        <f>'数据-取费表'!AN6</f>
        <v>收益法-主楼</v>
      </c>
      <c r="B6" s="2577">
        <f ca="1">IF(F6="是",'数据-取费表'!AO6,0)</f>
        <v>34886</v>
      </c>
      <c r="C6" s="2568" t="s">
        <v>2520</v>
      </c>
      <c r="D6" s="2571"/>
      <c r="E6" s="2579">
        <f>IF(OR(A6=0,F6="否"),0,'数据-取费表'!K6+'数据-取费表'!S6)</f>
        <v>21723.46</v>
      </c>
      <c r="F6" s="2580" t="s">
        <v>2526</v>
      </c>
    </row>
    <row r="7" spans="1:6">
      <c r="A7" s="2578" t="str">
        <f>'数据-取费表'!AN7</f>
        <v>收益法-别墅</v>
      </c>
      <c r="B7" s="2577">
        <f ca="1">IF(F8="是",'数据-取费表'!AO7,0)</f>
        <v>56567</v>
      </c>
      <c r="C7" s="2568" t="s">
        <v>2520</v>
      </c>
      <c r="D7" s="2571"/>
      <c r="E7" s="2579">
        <f>IF(OR(A7=0,F7="否"),0,'数据-取费表'!K7+'数据-取费表'!S7)</f>
        <v>38237.479999999996</v>
      </c>
      <c r="F7" s="2580" t="s">
        <v>2526</v>
      </c>
    </row>
    <row r="8" spans="1:6">
      <c r="A8" s="2578" t="str">
        <f>'数据-取费表'!AN8</f>
        <v>收益法三期</v>
      </c>
      <c r="B8" s="2577">
        <f ca="1">IF(F8="是",'数据-取费表'!AO8,0)</f>
        <v>45942</v>
      </c>
      <c r="C8" s="2568" t="s">
        <v>2520</v>
      </c>
      <c r="D8" s="2571"/>
      <c r="E8" s="2579">
        <f>IF(OR(A8=0,F8="否"),0,'数据-取费表'!K8+'数据-取费表'!S8)</f>
        <v>56983.21</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3119</v>
      </c>
      <c r="D1" s="1819" t="s">
        <v>70</v>
      </c>
      <c r="E1" s="1820" t="s">
        <v>1388</v>
      </c>
      <c r="F1" s="1283">
        <f ca="1">J53</f>
        <v>32.79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34886</v>
      </c>
      <c r="C2" s="1844" t="s">
        <v>1518</v>
      </c>
      <c r="D2" s="1844"/>
      <c r="E2" s="1845"/>
      <c r="F2" s="1846"/>
      <c r="G2" s="1847"/>
      <c r="H2" s="1839"/>
      <c r="I2" s="1839"/>
      <c r="J2" s="1839"/>
      <c r="K2" s="1840"/>
      <c r="L2" s="1839"/>
      <c r="M2" s="1839"/>
    </row>
    <row r="3" spans="1:37" ht="18" customHeight="1" thickBot="1">
      <c r="A3" s="1848" t="s">
        <v>1519</v>
      </c>
      <c r="B3" s="1849">
        <f ca="1">IF(ISERROR(B2*10000/F43),0,ROUND(B2*10000/F43,0))</f>
        <v>16059</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2878</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2878</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1298" t="s">
        <v>1407</v>
      </c>
      <c r="F7" s="348">
        <f ca="1">IF(INDIRECT("'数据-取费表'!ah"&amp;$G$1)="",INDIRECT("'数据-取费表'!k"&amp;$G$1),INDIRECT("'数据-取费表'!ah"&amp;$G$1))</f>
        <v>21723.46</v>
      </c>
      <c r="G7" s="1850"/>
      <c r="H7" s="349"/>
      <c r="I7" s="3236"/>
      <c r="J7" s="351"/>
      <c r="K7" s="352"/>
      <c r="L7" s="347" t="s">
        <v>1407</v>
      </c>
      <c r="M7" s="348">
        <f ca="1">F7</f>
        <v>21723.46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12728</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9776</v>
      </c>
      <c r="D14" s="1799" t="s">
        <v>1420</v>
      </c>
      <c r="E14" s="1793"/>
      <c r="F14" s="364"/>
      <c r="G14" s="1850"/>
      <c r="H14" s="1201" t="s">
        <v>1035</v>
      </c>
      <c r="I14" s="347" t="s">
        <v>1421</v>
      </c>
      <c r="J14" s="23">
        <f ca="1">C29</f>
        <v>15428</v>
      </c>
      <c r="K14" s="14"/>
      <c r="L14" s="979"/>
      <c r="M14" s="980"/>
    </row>
    <row r="15" spans="1:37" s="1857" customFormat="1" ht="18" customHeight="1" thickBot="1">
      <c r="A15" s="1201" t="s">
        <v>1036</v>
      </c>
      <c r="B15" s="347" t="s">
        <v>1422</v>
      </c>
      <c r="C15" s="23">
        <f ca="1">ROUND(C14*F15,0)</f>
        <v>293</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596</v>
      </c>
      <c r="K16" s="1337" t="s">
        <v>1427</v>
      </c>
      <c r="L16" s="1338"/>
      <c r="M16" s="1294"/>
    </row>
    <row r="17" spans="1:37" s="1857" customFormat="1" ht="18" customHeight="1">
      <c r="A17" s="1201" t="s">
        <v>1391</v>
      </c>
      <c r="B17" s="347" t="s">
        <v>1428</v>
      </c>
      <c r="C17" s="23">
        <f ca="1">ROUND(F17*(F43+INDIRECT("'数据-取费表'!S"&amp;$G$1))/10000,0)</f>
        <v>434</v>
      </c>
      <c r="D17" s="347" t="s">
        <v>1429</v>
      </c>
      <c r="E17" s="347" t="s">
        <v>1430</v>
      </c>
      <c r="F17" s="25">
        <f>'数据-取费表'!B35</f>
        <v>200</v>
      </c>
      <c r="G17" s="1853"/>
      <c r="H17" s="1201" t="s">
        <v>1035</v>
      </c>
      <c r="I17" s="347" t="s">
        <v>1431</v>
      </c>
      <c r="J17" s="23">
        <f ca="1">ROUND(IF(项目基本情况!B11="自然人",J5*M17,J18+J19+J20),1)</f>
        <v>133.5</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147</v>
      </c>
      <c r="D18" s="347" t="s">
        <v>1423</v>
      </c>
      <c r="E18" s="347" t="s">
        <v>1424</v>
      </c>
      <c r="F18" s="367">
        <f>'数据-取费表'!B36</f>
        <v>1.4999999999999999E-2</v>
      </c>
      <c r="G18" s="1853"/>
      <c r="H18" s="1201" t="s">
        <v>1034</v>
      </c>
      <c r="I18" s="347" t="s">
        <v>1435</v>
      </c>
      <c r="J18" s="23">
        <f ca="1">ROUND(J5*M18/(1+'数据-取费表'!C42),2)</f>
        <v>0</v>
      </c>
      <c r="K18" s="1797"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10650</v>
      </c>
      <c r="D19" s="139" t="s">
        <v>1438</v>
      </c>
      <c r="E19" s="1817"/>
      <c r="F19" s="25"/>
      <c r="G19" s="1850"/>
      <c r="H19" s="1201" t="s">
        <v>1036</v>
      </c>
      <c r="I19" s="347" t="s">
        <v>1439</v>
      </c>
      <c r="J19" s="23">
        <f ca="1">IF(K19="按租金收入计税",ROUND(J5*M19,2),ROUND(C29*M19*0.7,2))</f>
        <v>129.6</v>
      </c>
      <c r="K19" s="1827" t="s">
        <v>1440</v>
      </c>
      <c r="L19" s="347" t="s">
        <v>1424</v>
      </c>
      <c r="M19" s="367">
        <f>IF(K19="按租金收入计税",'数据-取费表'!B51,'数据-取费表'!B50)</f>
        <v>1.2E-2</v>
      </c>
    </row>
    <row r="20" spans="1:37" s="1857" customFormat="1" ht="18" customHeight="1">
      <c r="A20" s="1201" t="s">
        <v>1039</v>
      </c>
      <c r="B20" s="347" t="s">
        <v>1441</v>
      </c>
      <c r="C20" s="23">
        <f ca="1">ROUND(C19*F20,0)</f>
        <v>320</v>
      </c>
      <c r="D20" s="369" t="s">
        <v>1442</v>
      </c>
      <c r="E20" s="347" t="s">
        <v>1424</v>
      </c>
      <c r="F20" s="367">
        <f>'数据-取费表'!B37</f>
        <v>0.03</v>
      </c>
      <c r="G20" s="1853"/>
      <c r="H20" s="1201" t="s">
        <v>1390</v>
      </c>
      <c r="I20" s="164" t="s">
        <v>1443</v>
      </c>
      <c r="J20" s="24">
        <f ca="1">ROUND(M20*M21/10000,2)</f>
        <v>3.85</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25661.75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ROUND(J14*M22,1)</f>
        <v>462.8</v>
      </c>
      <c r="K22" s="1797"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791</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1797" t="s">
        <v>1456</v>
      </c>
      <c r="L23" s="347" t="s">
        <v>1457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1817"/>
      <c r="F25" s="25"/>
      <c r="G25" s="1850"/>
      <c r="H25" s="1329" t="s">
        <v>1031</v>
      </c>
      <c r="I25" s="1344" t="s">
        <v>1465</v>
      </c>
      <c r="J25" s="355">
        <f ca="1">J5-J16</f>
        <v>-596</v>
      </c>
      <c r="K25" s="1345" t="s">
        <v>1466</v>
      </c>
      <c r="L25" s="1346"/>
      <c r="M25" s="1347"/>
    </row>
    <row r="26" spans="1:37">
      <c r="A26" s="1201" t="s">
        <v>1034</v>
      </c>
      <c r="B26" s="347" t="s">
        <v>1467</v>
      </c>
      <c r="C26" s="23">
        <f ca="1">ROUND((C19+C20)*F26,0)</f>
        <v>2194</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15428</v>
      </c>
      <c r="D29" s="1342"/>
      <c r="E29" s="1340"/>
      <c r="F29" s="1343"/>
      <c r="G29" s="1853"/>
      <c r="H29" s="380" t="s">
        <v>1033</v>
      </c>
      <c r="I29" s="381" t="s">
        <v>1481</v>
      </c>
      <c r="J29" s="382">
        <f ca="1">ROUND(J26/(1+F40)^F41,0)</f>
        <v>0</v>
      </c>
      <c r="K29" s="383" t="s">
        <v>1482</v>
      </c>
      <c r="L29" s="384"/>
      <c r="M29" s="385">
        <f ca="1">INDIRECT("'数据-取费表'!k"&amp;$G$1)</f>
        <v>21723.46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931</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ROUND(IF(项目基本情况!B11="自然人",C5*F31,C32+C33+C34),1)</f>
        <v>298.5</v>
      </c>
      <c r="D31" s="1799" t="s">
        <v>1432</v>
      </c>
      <c r="E31" s="1797"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165.04</v>
      </c>
      <c r="D32" s="1797"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129.6</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3.85</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25661.75</v>
      </c>
      <c r="G35" s="1850"/>
      <c r="H35" s="745"/>
      <c r="I35" s="1859"/>
      <c r="J35" s="1860"/>
      <c r="K35" s="1861"/>
      <c r="L35" s="1858"/>
      <c r="M35" s="1858"/>
    </row>
    <row r="36" spans="1:18" ht="18" customHeight="1">
      <c r="A36" s="1352" t="s">
        <v>1039</v>
      </c>
      <c r="B36" s="347" t="s">
        <v>1451</v>
      </c>
      <c r="C36" s="23">
        <f ca="1">ROUND(C29*F36,1)</f>
        <v>462.8</v>
      </c>
      <c r="D36" s="1797"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25.5</v>
      </c>
      <c r="D37" s="1797" t="s">
        <v>1456</v>
      </c>
      <c r="E37" s="347" t="s">
        <v>1457</v>
      </c>
      <c r="F37" s="376">
        <f ca="1">INDIRECT("'数据-取费表'!Al"&amp;$G$1)</f>
        <v>2E-3</v>
      </c>
      <c r="G37" s="1850"/>
      <c r="H37" s="1858"/>
      <c r="I37" s="1859"/>
      <c r="J37" s="1860"/>
      <c r="K37" s="751"/>
      <c r="L37" s="1858"/>
      <c r="M37" s="1858"/>
    </row>
    <row r="38" spans="1:18" ht="18" customHeight="1" thickBot="1">
      <c r="A38" s="1339" t="s">
        <v>1394</v>
      </c>
      <c r="B38" s="1340" t="s">
        <v>1441</v>
      </c>
      <c r="C38" s="1341">
        <f ca="1">ROUND(C5*F38,1)</f>
        <v>143.9</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1485</v>
      </c>
      <c r="C39" s="355">
        <f ca="1">C5-C30</f>
        <v>1947</v>
      </c>
      <c r="D39" s="1345" t="s">
        <v>1486</v>
      </c>
      <c r="E39" s="1346"/>
      <c r="F39" s="1347"/>
      <c r="G39" s="1850"/>
      <c r="H39" s="1858"/>
      <c r="I39" s="1859"/>
      <c r="J39" s="1860"/>
      <c r="K39" s="1864"/>
      <c r="L39" s="1858"/>
      <c r="M39" s="1858"/>
    </row>
    <row r="40" spans="1:18" ht="18" customHeight="1">
      <c r="A40" s="344" t="s">
        <v>1032</v>
      </c>
      <c r="B40" s="345" t="s">
        <v>1487</v>
      </c>
      <c r="C40" s="346">
        <f ca="1">ROUND(C39*(1-((1+F42)/(1+F40))^F41)/(F40-F42),0)</f>
        <v>34886</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32.79</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16059</v>
      </c>
      <c r="D43" s="383" t="s">
        <v>1490</v>
      </c>
      <c r="E43" s="384" t="s">
        <v>1491</v>
      </c>
      <c r="F43" s="385">
        <f ca="1">INDIRECT("'数据-取费表'!k"&amp;$G$1)</f>
        <v>21723.46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-43719</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50</v>
      </c>
      <c r="M47" s="1837" t="str">
        <f>IF(ISNUMBER(FIND("住宅",C1)),"住宅","非住宅")</f>
        <v>非住宅</v>
      </c>
      <c r="O47" s="1883" t="s">
        <v>1040</v>
      </c>
      <c r="P47" s="1884" t="s">
        <v>1530</v>
      </c>
      <c r="Q47" s="1885">
        <f ca="1">C40+J29</f>
        <v>34886</v>
      </c>
      <c r="R47" s="1885" t="s">
        <v>1531</v>
      </c>
    </row>
    <row r="48" spans="1:18" s="1841" customFormat="1" ht="28.5" thickBot="1">
      <c r="A48" s="1360" t="s">
        <v>1135</v>
      </c>
      <c r="B48" s="345" t="s">
        <v>1402</v>
      </c>
      <c r="C48" s="1816">
        <f ca="1">C49+C53+C55</f>
        <v>0</v>
      </c>
      <c r="D48" s="1362"/>
      <c r="E48" s="1363"/>
      <c r="F48" s="1181"/>
      <c r="G48" s="792"/>
      <c r="H48" s="793"/>
      <c r="I48" s="1886" t="s">
        <v>1532</v>
      </c>
      <c r="J48" s="1887" t="s">
        <v>3073</v>
      </c>
      <c r="K48" s="1888" t="s">
        <v>1533</v>
      </c>
      <c r="L48" s="1889">
        <f ca="1">INDIRECT("'数据-取费表'!f"&amp;$G$1)</f>
        <v>32.79</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15428</v>
      </c>
      <c r="R49" s="1885" t="s">
        <v>1531</v>
      </c>
    </row>
    <row r="50" spans="1:18" s="1841" customFormat="1" ht="13.5" thickBot="1">
      <c r="A50" s="1195"/>
      <c r="B50" s="1198"/>
      <c r="C50" s="1368"/>
      <c r="D50" s="1172"/>
      <c r="E50" s="1277" t="s">
        <v>1407</v>
      </c>
      <c r="F50" s="1278">
        <f ca="1">F7</f>
        <v>21723.46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13968</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32.79</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32.79</v>
      </c>
      <c r="K53" s="3233" t="s">
        <v>1550</v>
      </c>
      <c r="L53" s="3234"/>
      <c r="O53" s="1883" t="s">
        <v>1046</v>
      </c>
      <c r="P53" s="1884" t="s">
        <v>1551</v>
      </c>
      <c r="Q53" s="1885">
        <f ca="1">Q47+Q48</f>
        <v>34886</v>
      </c>
      <c r="R53" s="1885" t="s">
        <v>1047</v>
      </c>
    </row>
    <row r="54" spans="1:18" s="1841" customFormat="1" ht="13.5" thickBot="1">
      <c r="A54" s="1405"/>
      <c r="B54" s="1824" t="s">
        <v>1389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12728</v>
      </c>
      <c r="D56" s="1913"/>
      <c r="E56" s="1914"/>
      <c r="F56" s="1906"/>
      <c r="I56" s="1915" t="s">
        <v>1556</v>
      </c>
      <c r="J56" s="1916" t="s">
        <v>3044</v>
      </c>
      <c r="K56" s="1886" t="s">
        <v>1557</v>
      </c>
      <c r="L56" s="1889" t="str">
        <f ca="1">IF(L48&lt;J51,"——",L48-J53)</f>
        <v>——</v>
      </c>
      <c r="O56" s="1883" t="s">
        <v>1040</v>
      </c>
      <c r="P56" s="1884" t="s">
        <v>1530</v>
      </c>
      <c r="Q56" s="1885">
        <f ca="1">C40+J29</f>
        <v>34886</v>
      </c>
      <c r="R56" s="1885" t="s">
        <v>1531</v>
      </c>
    </row>
    <row r="57" spans="1:18" s="1841" customFormat="1" ht="24.75" thickBot="1">
      <c r="A57" s="1917"/>
      <c r="B57" s="1169" t="s">
        <v>1480</v>
      </c>
      <c r="C57" s="282">
        <f ca="1">C29</f>
        <v>15428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622</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133.5</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129.6</v>
      </c>
      <c r="D61" s="1827" t="s">
        <v>1440</v>
      </c>
      <c r="E61" s="1169" t="s">
        <v>1496</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3.85</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34886</v>
      </c>
      <c r="R62" s="1885" t="s">
        <v>1047</v>
      </c>
    </row>
    <row r="63" spans="1:18" s="1841" customFormat="1" ht="13.5" thickBot="1">
      <c r="A63" s="372"/>
      <c r="B63" s="1175"/>
      <c r="C63" s="28"/>
      <c r="D63" s="1185"/>
      <c r="E63" s="1169" t="s">
        <v>1501</v>
      </c>
      <c r="F63" s="348">
        <f t="shared" ca="1" si="0"/>
        <v>25661.75</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ROUND(C57*F64,1)</f>
        <v>462.8</v>
      </c>
      <c r="D64" s="1183" t="s">
        <v>1504</v>
      </c>
      <c r="E64" s="1169" t="s">
        <v>1496</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25.5</v>
      </c>
      <c r="D65" s="1183" t="s">
        <v>1456</v>
      </c>
      <c r="E65" s="1169" t="s">
        <v>1457</v>
      </c>
      <c r="F65" s="376">
        <f t="shared" ca="1" si="0"/>
        <v>2E-3</v>
      </c>
      <c r="I65" s="1928" t="s">
        <v>1581</v>
      </c>
      <c r="J65" s="1929">
        <v>40</v>
      </c>
      <c r="K65" s="1929">
        <v>30</v>
      </c>
      <c r="L65" s="1929">
        <v>50</v>
      </c>
      <c r="M65" s="1931">
        <v>0.02</v>
      </c>
      <c r="O65" s="1883" t="s">
        <v>1040</v>
      </c>
      <c r="P65" s="1884" t="s">
        <v>1582</v>
      </c>
      <c r="Q65" s="1885">
        <f ca="1">C40+J29</f>
        <v>34886</v>
      </c>
      <c r="R65" s="1885" t="s">
        <v>1531</v>
      </c>
    </row>
    <row r="66" spans="1:18" s="1841" customFormat="1" ht="16.5" thickBot="1">
      <c r="A66" s="1201" t="s">
        <v>1506</v>
      </c>
      <c r="B66" s="1169" t="s">
        <v>1441</v>
      </c>
      <c r="C66" s="23">
        <f ca="1">ROUND(C48*F66,1)</f>
        <v>0</v>
      </c>
      <c r="D66" s="1183" t="s">
        <v>1507</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-622</v>
      </c>
      <c r="D67" s="1182" t="s">
        <v>1466</v>
      </c>
      <c r="E67" s="1187"/>
      <c r="F67" s="1188"/>
      <c r="O67" s="1893" t="s">
        <v>1042</v>
      </c>
      <c r="P67" s="1884" t="s">
        <v>1564</v>
      </c>
      <c r="Q67" s="1932">
        <f ca="1">L51</f>
        <v>13968</v>
      </c>
      <c r="R67" s="1885" t="s">
        <v>1584</v>
      </c>
    </row>
    <row r="68" spans="1:18" s="1841" customFormat="1" ht="16.5" thickBot="1">
      <c r="A68" s="1166" t="s">
        <v>1032</v>
      </c>
      <c r="B68" s="1167" t="s">
        <v>1487</v>
      </c>
      <c r="C68" s="346">
        <f ca="1">ROUND(C67*(1-((1+F70)/(1+F68))^F69)/(F68-F70),0)</f>
        <v>-8833</v>
      </c>
      <c r="D68" s="1184" t="s">
        <v>1471</v>
      </c>
      <c r="E68" s="1169" t="s">
        <v>1472</v>
      </c>
      <c r="F68" s="357">
        <f ca="1">F40</f>
        <v>0.06</v>
      </c>
      <c r="O68" s="1893" t="s">
        <v>1043</v>
      </c>
      <c r="P68" s="1933" t="s">
        <v>1585</v>
      </c>
      <c r="Q68" s="1885">
        <f ca="1">ROUND(Q69-Q70*Q71,0)</f>
        <v>929</v>
      </c>
      <c r="R68" s="1885" t="s">
        <v>1051</v>
      </c>
    </row>
    <row r="69" spans="1:18" s="1841" customFormat="1" ht="13.5" thickBot="1">
      <c r="A69" s="1170"/>
      <c r="B69" s="1171"/>
      <c r="C69" s="351"/>
      <c r="D69" s="1189" t="s">
        <v>1475</v>
      </c>
      <c r="E69" s="1169" t="s">
        <v>1476</v>
      </c>
      <c r="F69" s="379">
        <f ca="1">F41</f>
        <v>32.79</v>
      </c>
      <c r="O69" s="1893" t="s">
        <v>1048</v>
      </c>
      <c r="P69" s="1933" t="s">
        <v>1586</v>
      </c>
      <c r="Q69" s="1885">
        <f ca="1">C39</f>
        <v>1947</v>
      </c>
      <c r="R69" s="1885" t="s">
        <v>1531</v>
      </c>
    </row>
    <row r="70" spans="1:18" s="1841" customFormat="1" ht="13.5" thickBot="1">
      <c r="A70" s="1173"/>
      <c r="B70" s="1174"/>
      <c r="C70" s="355"/>
      <c r="D70" s="1185"/>
      <c r="E70" s="1169" t="s">
        <v>1479</v>
      </c>
      <c r="F70" s="1275"/>
      <c r="O70" s="1893" t="s">
        <v>1049</v>
      </c>
      <c r="P70" s="1933" t="s">
        <v>1587</v>
      </c>
      <c r="Q70" s="1885">
        <f ca="1">C13</f>
        <v>12728</v>
      </c>
      <c r="R70" s="1885" t="s">
        <v>1531</v>
      </c>
    </row>
    <row r="71" spans="1:18" s="1841" customFormat="1" ht="13.5" thickBot="1">
      <c r="A71" s="1190" t="s">
        <v>1033</v>
      </c>
      <c r="B71" s="1191" t="s">
        <v>1489</v>
      </c>
      <c r="C71" s="382">
        <f ca="1">ROUND(C68*10000/F71,0)</f>
        <v>-4066</v>
      </c>
      <c r="D71" s="1192" t="s">
        <v>1490</v>
      </c>
      <c r="E71" s="1193" t="s">
        <v>1491</v>
      </c>
      <c r="F71" s="385">
        <f ca="1">F43</f>
        <v>21723.46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1018</v>
      </c>
      <c r="D75" s="1841"/>
      <c r="E75" s="1841"/>
      <c r="F75" s="1841"/>
      <c r="K75" s="1867"/>
      <c r="L75" s="1841"/>
      <c r="O75" s="1883" t="s">
        <v>1046</v>
      </c>
      <c r="P75" s="1884" t="s">
        <v>1551</v>
      </c>
      <c r="Q75" s="1885">
        <f ca="1">Q65+Q66</f>
        <v>34886</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0.47699999999999998</v>
      </c>
    </row>
    <row r="80" spans="1:18">
      <c r="B80" s="386" t="s">
        <v>1513</v>
      </c>
      <c r="C80" s="318">
        <f ca="1">ROUND(C75/C39,3)</f>
        <v>0.52300000000000002</v>
      </c>
    </row>
    <row r="81" spans="2:3">
      <c r="B81" s="314" t="s">
        <v>1514</v>
      </c>
      <c r="C81" s="282"/>
    </row>
    <row r="82" spans="2:3">
      <c r="B82" s="317" t="s">
        <v>1515</v>
      </c>
      <c r="C82" s="319">
        <f ca="1">1-C83</f>
        <v>0.63500000000000001</v>
      </c>
    </row>
    <row r="83" spans="2:3">
      <c r="B83" s="317" t="s">
        <v>1516</v>
      </c>
      <c r="C83" s="318">
        <f ca="1">ROUND(C13/C40,3)</f>
        <v>0.36499999999999999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2">
        <f ca="1">C6+C10+C12</f>
        <v>0</v>
      </c>
      <c r="D5" s="1821" t="s">
        <v>1603</v>
      </c>
      <c r="E5" s="1293"/>
      <c r="F5" s="1294"/>
      <c r="G5" s="1850"/>
      <c r="H5" s="344">
        <v>1</v>
      </c>
      <c r="I5" s="345" t="s">
        <v>1602</v>
      </c>
      <c r="J5" s="1292">
        <f ca="1">J6+J10+J12</f>
        <v>0</v>
      </c>
      <c r="K5" s="1821" t="s">
        <v>1603</v>
      </c>
      <c r="L5" s="1293"/>
      <c r="M5" s="1294"/>
    </row>
    <row r="6" spans="1:37" ht="18" customHeight="1">
      <c r="A6" s="1291" t="s">
        <v>1035</v>
      </c>
      <c r="B6" s="3235" t="s">
        <v>1404</v>
      </c>
      <c r="C6" s="1296">
        <f ca="1">ROUND(F6*F8*F7*(1-F9),0)</f>
        <v>0</v>
      </c>
      <c r="D6" s="164" t="s">
        <v>3030</v>
      </c>
      <c r="E6" s="347" t="s">
        <v>1406</v>
      </c>
      <c r="F6" s="348">
        <f ca="1">INDIRECT("'数据-取费表'!u"&amp;$G$1)</f>
        <v>0</v>
      </c>
      <c r="G6" s="1850"/>
      <c r="H6" s="1291" t="s">
        <v>1035</v>
      </c>
      <c r="I6" s="3235" t="s">
        <v>1404</v>
      </c>
      <c r="J6" s="346">
        <f ca="1">ROUND(M6*M8*M7*(1-M9),0)</f>
        <v>0</v>
      </c>
      <c r="K6" s="1833" t="s">
        <v>3033</v>
      </c>
      <c r="L6" s="347" t="s">
        <v>1406</v>
      </c>
      <c r="M6" s="348">
        <f ca="1">INDIRECT("'数据-取费表'!z"&amp;$G$1)</f>
        <v>0</v>
      </c>
    </row>
    <row r="7" spans="1:37" ht="18" customHeight="1">
      <c r="A7" s="1295"/>
      <c r="B7" s="3236"/>
      <c r="C7" s="1297"/>
      <c r="D7" s="352"/>
      <c r="E7" s="1298" t="s">
        <v>1407</v>
      </c>
      <c r="F7" s="348">
        <f ca="1">IF(INDIRECT("'数据-取费表'!ah"&amp;$G$1)="",INDIRECT("'数据-取费表'!k"&amp;$G$1),INDIRECT("'数据-取费表'!ah"&amp;$G$1))</f>
        <v>0</v>
      </c>
      <c r="G7" s="1850"/>
      <c r="H7" s="349"/>
      <c r="I7" s="3236"/>
      <c r="J7" s="351"/>
      <c r="K7" s="352"/>
      <c r="L7" s="347" t="s">
        <v>1407</v>
      </c>
      <c r="M7" s="348">
        <f ca="1">F7</f>
        <v>0</v>
      </c>
    </row>
    <row r="8" spans="1:37" ht="18" customHeight="1">
      <c r="A8" s="349"/>
      <c r="B8" s="3236"/>
      <c r="C8" s="351"/>
      <c r="D8" s="352"/>
      <c r="E8" s="347" t="s">
        <v>1408</v>
      </c>
      <c r="F8" s="348">
        <f ca="1">INDIRECT("'数据-取费表'!ai"&amp;$G$1)</f>
        <v>0</v>
      </c>
      <c r="G8" s="1850"/>
      <c r="H8" s="349"/>
      <c r="I8" s="3236"/>
      <c r="J8" s="351"/>
      <c r="K8" s="352"/>
      <c r="L8" s="347" t="s">
        <v>1408</v>
      </c>
      <c r="M8" s="348">
        <f ca="1">INDIRECT("'数据-取费表'!ai"&amp;$G$1)</f>
        <v>0</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ROUND(IF(F10="押一",F6*F8*F7/12*F11,IF(F10="押二",F6*F8*F7/12*2*F11,IF(F10="押三",F6*F8*F7/12*3*F11,C11*F11))),0)</f>
        <v>0</v>
      </c>
      <c r="D10" s="1823" t="s">
        <v>3031</v>
      </c>
      <c r="E10" s="358" t="s">
        <v>1412</v>
      </c>
      <c r="F10" s="1366"/>
      <c r="G10" s="1850"/>
      <c r="H10" s="1291" t="s">
        <v>1039</v>
      </c>
      <c r="I10" s="1822" t="s">
        <v>1410</v>
      </c>
      <c r="J10" s="346">
        <f ca="1">ROUND(IF(M10="押一",M6*M8*M7/12*M11,IF(M10="押二",M6*M8*M7/12*2*M11,IF(M10="押三",M6*M8*M7/12*3*M11,J11*M11))),0)</f>
        <v>0</v>
      </c>
      <c r="K10" s="1834" t="s">
        <v>3032</v>
      </c>
      <c r="L10" s="358" t="s">
        <v>1412</v>
      </c>
      <c r="M10" s="1366"/>
    </row>
    <row r="11" spans="1:37" ht="18" customHeight="1">
      <c r="A11" s="353"/>
      <c r="B11" s="1824" t="s">
        <v>1604</v>
      </c>
      <c r="C11" s="1178"/>
      <c r="D11" s="352"/>
      <c r="E11" s="358" t="s">
        <v>1414</v>
      </c>
      <c r="F11" s="359">
        <f ca="1">'数据-取费表'!B39</f>
        <v>1.4999999999999999E-2</v>
      </c>
      <c r="G11" s="1850"/>
      <c r="H11" s="1299"/>
      <c r="I11" s="1824" t="s">
        <v>1605</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0"/>
      <c r="H13" s="1329">
        <v>2</v>
      </c>
      <c r="I13" s="1330" t="s">
        <v>1416</v>
      </c>
      <c r="J13" s="1290">
        <f ca="1">ROUND(J14*J15,0)</f>
        <v>0</v>
      </c>
      <c r="K13" s="1337" t="s">
        <v>1417</v>
      </c>
      <c r="L13" s="1851"/>
      <c r="M13" s="1852"/>
    </row>
    <row r="14" spans="1:37" ht="18" customHeight="1">
      <c r="A14" s="1201" t="s">
        <v>1034</v>
      </c>
      <c r="B14" s="347" t="s">
        <v>1419</v>
      </c>
      <c r="C14" s="363">
        <f ca="1">ROUND(INDIRECT("'数据-取费表'!l"&amp;$G$1)*F43+'数据-取费表'!L14*INDIRECT("'数据-取费表'!S"&amp;$G$1),0)</f>
        <v>0</v>
      </c>
      <c r="D14" s="1799" t="s">
        <v>1420</v>
      </c>
      <c r="E14" s="1793"/>
      <c r="F14" s="364"/>
      <c r="G14" s="1850"/>
      <c r="H14" s="1201" t="s">
        <v>1035</v>
      </c>
      <c r="I14" s="347" t="s">
        <v>1421</v>
      </c>
      <c r="J14" s="23">
        <f ca="1">C29</f>
        <v>0</v>
      </c>
      <c r="K14" s="14"/>
      <c r="L14" s="979"/>
      <c r="M14" s="980"/>
    </row>
    <row r="15" spans="1:37" s="1857" customFormat="1" ht="18" customHeight="1" thickBot="1">
      <c r="A15" s="1201" t="s">
        <v>1036</v>
      </c>
      <c r="B15" s="347" t="s">
        <v>1422</v>
      </c>
      <c r="C15" s="23">
        <f ca="1">ROUND(C14*F15,0)</f>
        <v>0</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0"/>
      <c r="H16" s="1329" t="s">
        <v>1030</v>
      </c>
      <c r="I16" s="1330" t="s">
        <v>1426</v>
      </c>
      <c r="J16" s="355">
        <f ca="1">ROUND(J17+J22+J23+J24,0)</f>
        <v>0</v>
      </c>
      <c r="K16" s="1337" t="s">
        <v>1427</v>
      </c>
      <c r="L16" s="1338"/>
      <c r="M16" s="1294"/>
    </row>
    <row r="17" spans="1:37" s="1857" customFormat="1" ht="18" customHeight="1">
      <c r="A17" s="1201" t="s">
        <v>1391</v>
      </c>
      <c r="B17" s="347" t="s">
        <v>1428</v>
      </c>
      <c r="C17" s="23">
        <f ca="1">ROUND(F17*(F43+INDIRECT("'数据-取费表'!S"&amp;$G$1)),0)</f>
        <v>0</v>
      </c>
      <c r="D17" s="347" t="s">
        <v>1429</v>
      </c>
      <c r="E17" s="347" t="s">
        <v>1430</v>
      </c>
      <c r="F17" s="25">
        <f>'数据-取费表'!B35</f>
        <v>200</v>
      </c>
      <c r="G17" s="1853"/>
      <c r="H17" s="1201" t="s">
        <v>1035</v>
      </c>
      <c r="I17" s="347" t="s">
        <v>1431</v>
      </c>
      <c r="J17" s="23">
        <f ca="1">ROUND(IF(项目基本情况!B11="自然人",J5*M17,J18+J19+J20),0)</f>
        <v>0</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0</v>
      </c>
      <c r="D18" s="347" t="s">
        <v>1423</v>
      </c>
      <c r="E18" s="347" t="s">
        <v>1424</v>
      </c>
      <c r="F18" s="367">
        <f>'数据-取费表'!B36</f>
        <v>1.4999999999999999E-2</v>
      </c>
      <c r="G18" s="1853"/>
      <c r="H18" s="1201" t="s">
        <v>1034</v>
      </c>
      <c r="I18" s="347" t="s">
        <v>1435</v>
      </c>
      <c r="J18" s="23">
        <f ca="1">ROUND(J5*M18/(1+'数据-取费表'!C42),0)</f>
        <v>0</v>
      </c>
      <c r="K18" s="1797"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0</v>
      </c>
      <c r="D19" s="139" t="s">
        <v>1438</v>
      </c>
      <c r="E19" s="1817"/>
      <c r="F19" s="25"/>
      <c r="G19" s="1850"/>
      <c r="H19" s="1201" t="s">
        <v>1036</v>
      </c>
      <c r="I19" s="347" t="s">
        <v>1439</v>
      </c>
      <c r="J19" s="23">
        <f ca="1">IF(K19="按租金收入计税",ROUND(J5*M19,0),ROUND(C29*M19*0.7,0))</f>
        <v>0</v>
      </c>
      <c r="K19" s="1827" t="s">
        <v>1440</v>
      </c>
      <c r="L19" s="347" t="s">
        <v>1424</v>
      </c>
      <c r="M19" s="367">
        <f>IF(K19="按租金收入计税",'数据-取费表'!B51,'数据-取费表'!B50)</f>
        <v>1.2E-2</v>
      </c>
    </row>
    <row r="20" spans="1:37" s="1857" customFormat="1" ht="18" customHeight="1">
      <c r="A20" s="1201" t="s">
        <v>1039</v>
      </c>
      <c r="B20" s="347" t="s">
        <v>1441</v>
      </c>
      <c r="C20" s="23">
        <f ca="1">ROUND(C19*F20,0)</f>
        <v>0</v>
      </c>
      <c r="D20" s="369" t="s">
        <v>1442</v>
      </c>
      <c r="E20" s="347" t="s">
        <v>1424</v>
      </c>
      <c r="F20" s="367">
        <f>'数据-取费表'!B37</f>
        <v>0.03</v>
      </c>
      <c r="G20" s="1853"/>
      <c r="H20" s="1201" t="s">
        <v>1390</v>
      </c>
      <c r="I20" s="164" t="s">
        <v>1443</v>
      </c>
      <c r="J20" s="24">
        <f ca="1">ROUND(M20*M21,0)</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v>
      </c>
      <c r="D21" s="369" t="s">
        <v>1447</v>
      </c>
      <c r="E21" s="347" t="s">
        <v>1448</v>
      </c>
      <c r="F21" s="367">
        <f>'数据-取费表'!B38</f>
        <v>0.03</v>
      </c>
      <c r="G21" s="1853"/>
      <c r="H21" s="372"/>
      <c r="I21" s="356"/>
      <c r="J21" s="28"/>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ROUND(J14*M22,0)</f>
        <v>0</v>
      </c>
      <c r="K22" s="1797" t="s">
        <v>1452</v>
      </c>
      <c r="L22" s="347" t="s">
        <v>1424</v>
      </c>
      <c r="M22" s="374">
        <f ca="1">INDIRECT("'数据-取费表'!Ak"&amp;$G$1)</f>
        <v>0</v>
      </c>
    </row>
    <row r="23" spans="1:37" s="1857"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ROUND(J5*M24,0)</f>
        <v>0</v>
      </c>
      <c r="K24" s="1342" t="s">
        <v>1461</v>
      </c>
      <c r="L24" s="1340" t="s">
        <v>1457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1462</v>
      </c>
      <c r="B25" s="347" t="s">
        <v>1463</v>
      </c>
      <c r="C25" s="23"/>
      <c r="D25" s="139" t="s">
        <v>1464</v>
      </c>
      <c r="E25" s="1817"/>
      <c r="F25" s="25"/>
      <c r="G25" s="1850"/>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0</v>
      </c>
      <c r="D29" s="1342"/>
      <c r="E29" s="1340"/>
      <c r="F29" s="1343"/>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0</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ROUND(IF(项目基本情况!B11="自然人",C5*F31,C32+C33+C34),0)</f>
        <v>0</v>
      </c>
      <c r="D31" s="1799" t="s">
        <v>1432</v>
      </c>
      <c r="E31" s="1797"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IF(项目基本情况!B11="自然人","——",ROUND(C5*F32/(1+'数据-取费表'!C42),0))</f>
        <v>0</v>
      </c>
      <c r="D32" s="1797"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f>
        <v>0</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0</v>
      </c>
      <c r="G35" s="1850"/>
      <c r="H35" s="745"/>
      <c r="I35" s="1859"/>
      <c r="J35" s="1860"/>
      <c r="K35" s="1861"/>
      <c r="L35" s="1858"/>
      <c r="M35" s="1858"/>
    </row>
    <row r="36" spans="1:18" ht="18" customHeight="1">
      <c r="A36" s="1352" t="s">
        <v>1039</v>
      </c>
      <c r="B36" s="347" t="s">
        <v>1451</v>
      </c>
      <c r="C36" s="23">
        <f ca="1">ROUND(C29*F36,0)</f>
        <v>0</v>
      </c>
      <c r="D36" s="1797" t="s">
        <v>1484</v>
      </c>
      <c r="E36" s="347" t="s">
        <v>1424</v>
      </c>
      <c r="F36" s="374">
        <f ca="1">INDIRECT("'数据-取费表'!Ak"&amp;$G$1)</f>
        <v>0</v>
      </c>
      <c r="G36" s="1850"/>
      <c r="H36" s="1858"/>
      <c r="I36" s="1859"/>
      <c r="J36" s="1860"/>
      <c r="K36" s="751"/>
      <c r="L36" s="1858"/>
      <c r="M36" s="1858"/>
    </row>
    <row r="37" spans="1:18" ht="18" customHeight="1">
      <c r="A37" s="1201" t="s">
        <v>1075</v>
      </c>
      <c r="B37" s="347" t="s">
        <v>1455</v>
      </c>
      <c r="C37" s="23">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9" t="s">
        <v>1394</v>
      </c>
      <c r="B38" s="1340" t="s">
        <v>1441</v>
      </c>
      <c r="C38" s="1341">
        <f ca="1">ROUND(C5*F38,1)</f>
        <v>0</v>
      </c>
      <c r="D38" s="1342" t="s">
        <v>1461</v>
      </c>
      <c r="E38" s="1340" t="s">
        <v>1457</v>
      </c>
      <c r="F38" s="1336">
        <f ca="1">INDIRECT("'数据-取费表'!Am"&amp;$G$1)</f>
        <v>0</v>
      </c>
      <c r="G38" s="1850"/>
      <c r="H38" s="1858"/>
      <c r="I38" s="1859"/>
      <c r="J38" s="1860"/>
      <c r="K38" s="1864"/>
      <c r="L38" s="1858"/>
      <c r="M38" s="1858"/>
    </row>
    <row r="39" spans="1:18" ht="24.6" customHeight="1" thickTop="1">
      <c r="A39" s="1329" t="s">
        <v>1031</v>
      </c>
      <c r="B39" s="1344" t="s">
        <v>1485</v>
      </c>
      <c r="C39" s="355">
        <f ca="1">C5-C30</f>
        <v>0</v>
      </c>
      <c r="D39" s="1345" t="s">
        <v>1486</v>
      </c>
      <c r="E39" s="1346"/>
      <c r="F39" s="1347"/>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197" t="s">
        <v>1399</v>
      </c>
      <c r="D47" s="1197" t="s">
        <v>1400</v>
      </c>
      <c r="E47" s="1279" t="s">
        <v>1401</v>
      </c>
      <c r="F47" s="1280"/>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60" t="s">
        <v>1135</v>
      </c>
      <c r="B48" s="345" t="s">
        <v>1402</v>
      </c>
      <c r="C48" s="1816">
        <f ca="1">C49+C53+C55</f>
        <v>0</v>
      </c>
      <c r="D48" s="1362"/>
      <c r="E48" s="1363"/>
      <c r="F48" s="1181"/>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4">
        <f ca="1">ROUND(F49*F51*F50*(1-F52),0)</f>
        <v>0</v>
      </c>
      <c r="D49" s="1276" t="s">
        <v>1405</v>
      </c>
      <c r="E49" s="1829" t="s">
        <v>1493</v>
      </c>
      <c r="F49" s="1281"/>
      <c r="G49" s="1890"/>
      <c r="H49" s="793"/>
      <c r="I49" s="1886" t="s">
        <v>1536</v>
      </c>
      <c r="J49" s="1891"/>
      <c r="K49" s="1888" t="s">
        <v>1537</v>
      </c>
      <c r="L49" s="1892"/>
      <c r="O49" s="1893" t="s">
        <v>1042</v>
      </c>
      <c r="P49" s="1884" t="s">
        <v>1538</v>
      </c>
      <c r="Q49" s="1885">
        <f ca="1">C29</f>
        <v>0</v>
      </c>
      <c r="R49" s="1885" t="s">
        <v>1531</v>
      </c>
    </row>
    <row r="50" spans="1:18" s="1841" customFormat="1" ht="13.5" thickBot="1">
      <c r="A50" s="1195"/>
      <c r="B50" s="1198"/>
      <c r="C50" s="1199"/>
      <c r="D50" s="1172"/>
      <c r="E50" s="1277" t="s">
        <v>1407</v>
      </c>
      <c r="F50" s="1278">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5"/>
      <c r="I52" s="1902" t="s">
        <v>1545</v>
      </c>
      <c r="J52" s="1903"/>
      <c r="K52" s="1902" t="s">
        <v>1546</v>
      </c>
      <c r="L52" s="1903"/>
      <c r="O52" s="1893" t="s">
        <v>1045</v>
      </c>
      <c r="P52" s="1884" t="s">
        <v>1547</v>
      </c>
      <c r="Q52" s="1885" t="b">
        <f>J53</f>
        <v>0</v>
      </c>
      <c r="R52" s="1885" t="s">
        <v>1548</v>
      </c>
    </row>
    <row r="53" spans="1:18" s="1841" customFormat="1" ht="30.75" customHeight="1" thickBot="1">
      <c r="A53" s="1361" t="s">
        <v>1137</v>
      </c>
      <c r="B53" s="369" t="s">
        <v>1410</v>
      </c>
      <c r="C53" s="361">
        <f ca="1">ROUND(IF(F53="押一",F49*F51*F50/12*F11,IF(F53="押二",F49*F51*F50/12*2*F11,IF(F53="押三",F49*F51*F50/12*3*F11,C54*F11))),0)</f>
        <v>0</v>
      </c>
      <c r="D53" s="1823" t="s">
        <v>1411</v>
      </c>
      <c r="E53" s="358" t="s">
        <v>1412</v>
      </c>
      <c r="F53" s="1366"/>
      <c r="I53" s="1904" t="s">
        <v>1549</v>
      </c>
      <c r="J53" s="1905" t="b">
        <f>IF(M47="住宅",J51,IF(D1="——",MIN(J51,L48),IF(D1="在建（套用方法）",MIN(J51,L48-'数据-取费表'!B24),IF(D1="土地（套用方法）",MIN(J51,L48-'数据-取费表'!B20)))))</f>
        <v>0</v>
      </c>
      <c r="K53" s="3233" t="s">
        <v>1550</v>
      </c>
      <c r="L53" s="3234"/>
      <c r="O53" s="1883" t="s">
        <v>1046</v>
      </c>
      <c r="P53" s="1884" t="s">
        <v>1551</v>
      </c>
      <c r="Q53" s="1885" t="e">
        <f ca="1">Q47+Q48</f>
        <v>#DIV/0!</v>
      </c>
      <c r="R53" s="1885" t="s">
        <v>1047</v>
      </c>
    </row>
    <row r="54" spans="1:18" s="1841" customFormat="1" ht="13.5" thickBot="1">
      <c r="A54" s="1194"/>
      <c r="B54" s="1940" t="s">
        <v>1605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6">
        <v>2</v>
      </c>
      <c r="B56" s="1177"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9"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7" t="s">
        <v>1426</v>
      </c>
      <c r="C58" s="361">
        <f ca="1">ROUND(C59+C64+C65+C66,0)</f>
        <v>0</v>
      </c>
      <c r="D58" s="1179" t="s">
        <v>1427</v>
      </c>
      <c r="E58" s="1180"/>
      <c r="F58" s="1181"/>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ROUND(IF(项目基本情况!B11="自然人",C48*F59,C60+C61+C62),0)</f>
        <v>0</v>
      </c>
      <c r="D59" s="1182" t="s">
        <v>1432</v>
      </c>
      <c r="E59" s="1183" t="s">
        <v>1433</v>
      </c>
      <c r="F59" s="368">
        <f ca="1">IF(项目基本情况!B11="企业","",IF(INDIRECT("'数据-取费表'!c"&amp;$G$1)="住宅",5%,IF(F49*F50*F51/12/(1+'数据-取费表'!C42)&gt;20000,12%,7%)))</f>
        <v>7.0000000000000007E-2</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IF(项目基本情况!B11="自然人","——",ROUND(C48*F60/(1+'数据-取费表'!C42),0))</f>
        <v>0</v>
      </c>
      <c r="D60" s="1183" t="s">
        <v>1436</v>
      </c>
      <c r="E60" s="1169" t="s">
        <v>1424</v>
      </c>
      <c r="F60" s="377">
        <f t="shared" ref="F60:F66" si="0">F32</f>
        <v>6.0499999999999998E-2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IF(项目基本情况!B11="自然人","——",IF(D61="按租金收入计税",ROUND(C48*F61,0),IF(D61="按房产原值计税",ROUND(C57*F61*0.7,0),INDIRECT("'数据-取费表'!Aj"&amp;$G$1))))</f>
        <v>0</v>
      </c>
      <c r="D61" s="1827" t="s">
        <v>1440</v>
      </c>
      <c r="E61" s="1169"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4">
        <f ca="1">IF(项目基本情况!B11="自然人","——",ROUND(F62*F63,0))</f>
        <v>0</v>
      </c>
      <c r="D62" s="1184" t="s">
        <v>1499</v>
      </c>
      <c r="E62" s="1169"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5"/>
      <c r="C63" s="28"/>
      <c r="D63" s="1185"/>
      <c r="E63" s="1169"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ROUND(C57*F64,0)</f>
        <v>0</v>
      </c>
      <c r="D64" s="1183" t="s">
        <v>1504</v>
      </c>
      <c r="E64" s="1169"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ROUND(C56*F65,0)</f>
        <v>0</v>
      </c>
      <c r="D65" s="1183" t="s">
        <v>1456</v>
      </c>
      <c r="E65" s="1169"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3">
        <f ca="1">ROUND(C48*F66,0)</f>
        <v>0</v>
      </c>
      <c r="D66" s="1183" t="s">
        <v>1507</v>
      </c>
      <c r="E66" s="1169" t="s">
        <v>1424</v>
      </c>
      <c r="F66" s="357">
        <f t="shared" ca="1" si="0"/>
        <v>0</v>
      </c>
      <c r="O66" s="1883" t="s">
        <v>1041</v>
      </c>
      <c r="P66" s="1884" t="s">
        <v>1560</v>
      </c>
      <c r="Q66" s="1885" t="e">
        <f ca="1">L60</f>
        <v>#DIV/0!</v>
      </c>
      <c r="R66" s="1885" t="s">
        <v>1583</v>
      </c>
    </row>
    <row r="67" spans="1:18" s="1841" customFormat="1" ht="16.5" thickBot="1">
      <c r="A67" s="1176" t="s">
        <v>1031</v>
      </c>
      <c r="B67" s="1186" t="s">
        <v>1465</v>
      </c>
      <c r="C67" s="361">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6" t="e">
        <f ca="1">ROUND(C67*(1-((1+F70)/(1+F68))^F69)/(F68-F70),0)</f>
        <v>#DIV/0!</v>
      </c>
      <c r="D68" s="1184" t="s">
        <v>1471</v>
      </c>
      <c r="E68" s="1169" t="s">
        <v>1472</v>
      </c>
      <c r="F68" s="357">
        <f ca="1">F40</f>
        <v>0</v>
      </c>
      <c r="O68" s="1893" t="s">
        <v>1043</v>
      </c>
      <c r="P68" s="1933" t="s">
        <v>1585</v>
      </c>
      <c r="Q68" s="1885">
        <f ca="1">ROUND(Q69-Q70*Q71,0)</f>
        <v>0</v>
      </c>
      <c r="R68" s="1885" t="s">
        <v>1051</v>
      </c>
    </row>
    <row r="69" spans="1:18" s="1841" customFormat="1" ht="13.5" thickBot="1">
      <c r="A69" s="1170"/>
      <c r="B69" s="1171"/>
      <c r="C69" s="351"/>
      <c r="D69" s="1189" t="s">
        <v>1475</v>
      </c>
      <c r="E69" s="1169" t="s">
        <v>1476</v>
      </c>
      <c r="F69" s="379">
        <f ca="1">F41</f>
        <v>0</v>
      </c>
      <c r="O69" s="1893" t="s">
        <v>1048</v>
      </c>
      <c r="P69" s="1933" t="s">
        <v>1586</v>
      </c>
      <c r="Q69" s="1885">
        <f ca="1">C39</f>
        <v>0</v>
      </c>
      <c r="R69" s="1885" t="s">
        <v>1531</v>
      </c>
    </row>
    <row r="70" spans="1:18" s="1841" customFormat="1" ht="13.5" thickBot="1">
      <c r="A70" s="1173"/>
      <c r="B70" s="1174"/>
      <c r="C70" s="355"/>
      <c r="D70" s="1185"/>
      <c r="E70" s="1169" t="s">
        <v>1479</v>
      </c>
      <c r="F70" s="1275">
        <f ca="1">F42</f>
        <v>0</v>
      </c>
      <c r="O70" s="1893" t="s">
        <v>1049</v>
      </c>
      <c r="P70" s="1933" t="s">
        <v>1587</v>
      </c>
      <c r="Q70" s="1885">
        <f ca="1">C13</f>
        <v>0</v>
      </c>
      <c r="R70" s="1885" t="s">
        <v>1531</v>
      </c>
    </row>
    <row r="71" spans="1:18" s="1841" customFormat="1" ht="13.5" thickBot="1">
      <c r="A71" s="1190" t="s">
        <v>1033</v>
      </c>
      <c r="B71" s="1191" t="s">
        <v>1489</v>
      </c>
      <c r="C71" s="382" t="e">
        <f ca="1">ROUND(C68/F71,0)</f>
        <v>#DIV/0!</v>
      </c>
      <c r="D71" s="1192" t="s">
        <v>1490</v>
      </c>
      <c r="E71" s="1193"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40" sqref="C40"/>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3116</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5066</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2971" t="s">
        <v>1407</v>
      </c>
      <c r="F7" s="348">
        <f ca="1">IF(INDIRECT("'数据-取费表'!ah"&amp;$G$1)="",INDIRECT("'数据-取费表'!k"&amp;$G$1),INDIRECT("'数据-取费表'!ah"&amp;$G$1))</f>
        <v>38237.479999999996</v>
      </c>
      <c r="G7" s="1850"/>
      <c r="H7" s="349"/>
      <c r="I7" s="3236"/>
      <c r="J7" s="351"/>
      <c r="K7" s="352"/>
      <c r="L7" s="347" t="s">
        <v>1407</v>
      </c>
      <c r="M7" s="348">
        <f ca="1">F7</f>
        <v>38237.479999999996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22403</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17207</v>
      </c>
      <c r="D14" s="2974" t="s">
        <v>1420</v>
      </c>
      <c r="E14" s="2973"/>
      <c r="F14" s="364"/>
      <c r="G14" s="1850"/>
      <c r="H14" s="1201" t="s">
        <v>1035</v>
      </c>
      <c r="I14" s="347" t="s">
        <v>1421</v>
      </c>
      <c r="J14" s="23">
        <f ca="1">C29</f>
        <v>27155</v>
      </c>
      <c r="K14" s="2970"/>
      <c r="L14" s="979"/>
      <c r="M14" s="980"/>
    </row>
    <row r="15" spans="1:37" s="1857" customFormat="1" ht="18" customHeight="1" thickBot="1">
      <c r="A15" s="1201" t="s">
        <v>1036</v>
      </c>
      <c r="B15" s="347" t="s">
        <v>1422</v>
      </c>
      <c r="C15" s="23">
        <f ca="1">ROUND(C14*F15,0)</f>
        <v>516</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1050</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234.9</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258</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18746</v>
      </c>
      <c r="D19" s="139" t="s">
        <v>1438</v>
      </c>
      <c r="E19" s="2969"/>
      <c r="F19" s="25"/>
      <c r="G19" s="1850"/>
      <c r="H19" s="1201" t="s">
        <v>1036</v>
      </c>
      <c r="I19" s="347" t="s">
        <v>1439</v>
      </c>
      <c r="J19" s="23">
        <f ca="1">IF(K19="按租金收入计税",ROUND(J5*M19,2),ROUND(C29*M19*0.7,2))</f>
        <v>228.1</v>
      </c>
      <c r="K19" s="1827" t="s">
        <v>1440</v>
      </c>
      <c r="L19" s="347" t="s">
        <v>1424</v>
      </c>
      <c r="M19" s="367">
        <f>IF(K19="按租金收入计税",'数据-取费表'!B51,'数据-取费表'!B50)</f>
        <v>1.2E-2</v>
      </c>
    </row>
    <row r="20" spans="1:37" s="1857" customFormat="1" ht="18" customHeight="1">
      <c r="A20" s="1201" t="s">
        <v>1039</v>
      </c>
      <c r="B20" s="347" t="s">
        <v>1441</v>
      </c>
      <c r="C20" s="23">
        <f ca="1">ROUND(C19*F20,0)</f>
        <v>562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814.7</v>
      </c>
      <c r="K22" s="2975"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1392</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1424</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0</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-1050</v>
      </c>
      <c r="K25" s="1345" t="s">
        <v>1466</v>
      </c>
      <c r="L25" s="1346"/>
      <c r="M25" s="1347"/>
    </row>
    <row r="26" spans="1:37">
      <c r="A26" s="1201" t="s">
        <v>1034</v>
      </c>
      <c r="B26" s="347" t="s">
        <v>1467</v>
      </c>
      <c r="C26" s="23">
        <f ca="1">ROUND((C19+C20)*F26,0)</f>
        <v>3862</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27155</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1638</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525.4</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290.51</v>
      </c>
      <c r="D32" s="2975"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228.1</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814.7</v>
      </c>
      <c r="D36" s="2975"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44.8</v>
      </c>
      <c r="D37" s="2975" t="s">
        <v>1456</v>
      </c>
      <c r="E37" s="347" t="s">
        <v>1424</v>
      </c>
      <c r="F37" s="376">
        <f ca="1">INDIRECT("'数据-取费表'!Al"&amp;$G$1)</f>
        <v>2E-3</v>
      </c>
      <c r="G37" s="1850"/>
      <c r="H37" s="1858"/>
      <c r="I37" s="1859"/>
      <c r="J37" s="1860"/>
      <c r="K37" s="751"/>
      <c r="L37" s="1858"/>
      <c r="M37" s="1858"/>
    </row>
    <row r="38" spans="1:18" ht="18" customHeight="1" thickBot="1">
      <c r="A38" s="1339" t="s">
        <v>1393</v>
      </c>
      <c r="B38" s="1340" t="s">
        <v>1441</v>
      </c>
      <c r="C38" s="1341">
        <f ca="1">ROUND(C5*F38,1)</f>
        <v>253.3</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3428</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-14677</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0</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27155</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23117</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0</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22403</v>
      </c>
      <c r="D56" s="1913"/>
      <c r="E56" s="1914"/>
      <c r="F56" s="1906"/>
      <c r="I56" s="1915" t="s">
        <v>1556</v>
      </c>
      <c r="J56" s="1916" t="s">
        <v>3044</v>
      </c>
      <c r="K56" s="1886" t="s">
        <v>1557</v>
      </c>
      <c r="L56" s="1889" t="str">
        <f ca="1">IF(L48&lt;J51,"——",L48-J53)</f>
        <v>——</v>
      </c>
      <c r="O56" s="1883" t="s">
        <v>1040</v>
      </c>
      <c r="P56" s="1884" t="s">
        <v>1530</v>
      </c>
      <c r="Q56" s="1885">
        <f ca="1">C40+J29</f>
        <v>0</v>
      </c>
      <c r="R56" s="1885" t="s">
        <v>1531</v>
      </c>
    </row>
    <row r="57" spans="1:18" s="1841" customFormat="1" ht="24.75" thickBot="1">
      <c r="A57" s="1917"/>
      <c r="B57" s="1169" t="s">
        <v>1480</v>
      </c>
      <c r="C57" s="282">
        <f ca="1">C29</f>
        <v>27155</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1094</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234.9</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228.1</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6.78</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0</v>
      </c>
      <c r="R62" s="1885" t="s">
        <v>1047</v>
      </c>
    </row>
    <row r="63" spans="1:18" s="1841" customFormat="1" ht="13.5" thickBot="1">
      <c r="A63" s="372"/>
      <c r="B63" s="1175"/>
      <c r="C63" s="28"/>
      <c r="D63" s="1185"/>
      <c r="E63" s="1169" t="s">
        <v>1449</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814.7</v>
      </c>
      <c r="D64" s="1183" t="s">
        <v>1484</v>
      </c>
      <c r="E64" s="1169" t="s">
        <v>1424</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44.8</v>
      </c>
      <c r="D65" s="1183" t="s">
        <v>1456</v>
      </c>
      <c r="E65" s="1169" t="s">
        <v>1424</v>
      </c>
      <c r="F65" s="376">
        <f t="shared" ca="1" si="0"/>
        <v>2E-3</v>
      </c>
      <c r="I65" s="1928" t="s">
        <v>1581</v>
      </c>
      <c r="J65" s="1929">
        <v>40</v>
      </c>
      <c r="K65" s="1929">
        <v>30</v>
      </c>
      <c r="L65" s="1929">
        <v>50</v>
      </c>
      <c r="M65" s="1931">
        <v>0.02</v>
      </c>
      <c r="O65" s="1883" t="s">
        <v>1040</v>
      </c>
      <c r="P65" s="1884" t="s">
        <v>1530</v>
      </c>
      <c r="Q65" s="1885">
        <f ca="1">C40+J29</f>
        <v>0</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-1094</v>
      </c>
      <c r="D67" s="1182" t="s">
        <v>1466</v>
      </c>
      <c r="E67" s="1187"/>
      <c r="F67" s="1188"/>
      <c r="O67" s="1893" t="s">
        <v>1042</v>
      </c>
      <c r="P67" s="1884" t="s">
        <v>1564</v>
      </c>
      <c r="Q67" s="1932">
        <f ca="1">L51</f>
        <v>23117</v>
      </c>
      <c r="R67" s="1885" t="s">
        <v>1584</v>
      </c>
    </row>
    <row r="68" spans="1:18" s="1841" customFormat="1" ht="16.5" thickBot="1">
      <c r="A68" s="1166" t="s">
        <v>1032</v>
      </c>
      <c r="B68" s="1167" t="s">
        <v>1487</v>
      </c>
      <c r="C68" s="346">
        <f ca="1">ROUND(C67*(1-((1+F70)/(1+F68))^F69)/(F68-F70),0)</f>
        <v>-14677</v>
      </c>
      <c r="D68" s="1184" t="s">
        <v>1471</v>
      </c>
      <c r="E68" s="1169" t="s">
        <v>1472</v>
      </c>
      <c r="F68" s="357">
        <f ca="1">F40</f>
        <v>0.06</v>
      </c>
      <c r="O68" s="1893" t="s">
        <v>1043</v>
      </c>
      <c r="P68" s="1933" t="s">
        <v>1585</v>
      </c>
      <c r="Q68" s="1885">
        <f ca="1">ROUND(Q69-Q70*Q71,0)</f>
        <v>1636</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3428</v>
      </c>
      <c r="R69" s="1885" t="s">
        <v>1531</v>
      </c>
    </row>
    <row r="70" spans="1:18" s="1841" customFormat="1" ht="13.5" thickBot="1">
      <c r="A70" s="1173"/>
      <c r="B70" s="1174"/>
      <c r="C70" s="355"/>
      <c r="D70" s="1185"/>
      <c r="E70" s="1169" t="s">
        <v>1479</v>
      </c>
      <c r="F70" s="1275"/>
      <c r="O70" s="1893" t="s">
        <v>1049</v>
      </c>
      <c r="P70" s="1933" t="s">
        <v>1587</v>
      </c>
      <c r="Q70" s="1885">
        <f ca="1">C13</f>
        <v>22403</v>
      </c>
      <c r="R70" s="1885" t="s">
        <v>1531</v>
      </c>
    </row>
    <row r="71" spans="1:18" s="1841" customFormat="1" ht="13.5" thickBot="1">
      <c r="A71" s="1190" t="s">
        <v>1033</v>
      </c>
      <c r="B71" s="1191" t="s">
        <v>1489</v>
      </c>
      <c r="C71" s="382">
        <f ca="1">ROUND(C68*10000/F71,0)</f>
        <v>-3838</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1792</v>
      </c>
      <c r="D75" s="1841"/>
      <c r="E75" s="1841"/>
      <c r="F75" s="1841"/>
      <c r="K75" s="1867"/>
      <c r="L75" s="1841"/>
      <c r="O75" s="1883" t="s">
        <v>1046</v>
      </c>
      <c r="P75" s="1884" t="s">
        <v>1551</v>
      </c>
      <c r="Q75" s="1885">
        <f ca="1">Q65+Q66</f>
        <v>0</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0.47699999999999998</v>
      </c>
    </row>
    <row r="80" spans="1:18">
      <c r="B80" s="386" t="s">
        <v>1513</v>
      </c>
      <c r="C80" s="318">
        <f ca="1">ROUND(C75/C39,3)</f>
        <v>0.52300000000000002</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zoomScale="90" zoomScaleNormal="90" zoomScaleSheetLayoutView="90" workbookViewId="0">
      <selection activeCell="F36" sqref="F36:F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3116</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56567</v>
      </c>
      <c r="C2" s="1844" t="s">
        <v>1518</v>
      </c>
      <c r="D2" s="1844"/>
      <c r="E2" s="1845"/>
      <c r="F2" s="1846"/>
      <c r="G2" s="1847"/>
      <c r="H2" s="1839"/>
      <c r="I2" s="1839"/>
      <c r="J2" s="1839"/>
      <c r="K2" s="1840"/>
      <c r="L2" s="1839"/>
      <c r="M2" s="1839"/>
    </row>
    <row r="3" spans="1:37" ht="18" customHeight="1" thickBot="1">
      <c r="A3" s="1848" t="s">
        <v>1519</v>
      </c>
      <c r="B3" s="1849">
        <f ca="1">IF(ISERROR(B2*10000/F43),0,ROUND(B2*10000/F43,0))</f>
        <v>14794</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5066</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2971" t="s">
        <v>1407</v>
      </c>
      <c r="F7" s="348">
        <f ca="1">IF(INDIRECT("'数据-取费表'!ah"&amp;$G$1)="",INDIRECT("'数据-取费表'!k"&amp;$G$1),INDIRECT("'数据-取费表'!ah"&amp;$G$1))</f>
        <v>38237.479999999996</v>
      </c>
      <c r="G7" s="1850"/>
      <c r="H7" s="349"/>
      <c r="I7" s="3236"/>
      <c r="J7" s="351"/>
      <c r="K7" s="352"/>
      <c r="L7" s="347" t="s">
        <v>1407</v>
      </c>
      <c r="M7" s="348">
        <f ca="1">F7</f>
        <v>38237.479999999996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22403</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17207</v>
      </c>
      <c r="D14" s="2974" t="s">
        <v>1420</v>
      </c>
      <c r="E14" s="2973"/>
      <c r="F14" s="364"/>
      <c r="G14" s="1850"/>
      <c r="H14" s="1201" t="s">
        <v>1035</v>
      </c>
      <c r="I14" s="347" t="s">
        <v>1421</v>
      </c>
      <c r="J14" s="23">
        <f ca="1">C29</f>
        <v>27155</v>
      </c>
      <c r="K14" s="2970"/>
      <c r="L14" s="979"/>
      <c r="M14" s="980"/>
    </row>
    <row r="15" spans="1:37" s="1857" customFormat="1" ht="18" customHeight="1" thickBot="1">
      <c r="A15" s="1201" t="s">
        <v>1036</v>
      </c>
      <c r="B15" s="347" t="s">
        <v>1422</v>
      </c>
      <c r="C15" s="23">
        <f ca="1">ROUND(C14*F15,0)</f>
        <v>516</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1050</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234.9</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258</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18746</v>
      </c>
      <c r="D19" s="139" t="s">
        <v>1438</v>
      </c>
      <c r="E19" s="2969"/>
      <c r="F19" s="25"/>
      <c r="G19" s="1850"/>
      <c r="H19" s="1201" t="s">
        <v>1036</v>
      </c>
      <c r="I19" s="347" t="s">
        <v>1439</v>
      </c>
      <c r="J19" s="23">
        <f ca="1">IF(K19="按租金收入计税",ROUND(J5*M19,2),ROUND(C29*M19*0.7,2))</f>
        <v>228.1</v>
      </c>
      <c r="K19" s="1827" t="s">
        <v>1440</v>
      </c>
      <c r="L19" s="347" t="s">
        <v>1424</v>
      </c>
      <c r="M19" s="367">
        <f>IF(K19="按租金收入计税",'数据-取费表'!B51,'数据-取费表'!B50)</f>
        <v>1.2E-2</v>
      </c>
    </row>
    <row r="20" spans="1:37" s="1857" customFormat="1" ht="18" customHeight="1">
      <c r="A20" s="1201" t="s">
        <v>1039</v>
      </c>
      <c r="B20" s="347" t="s">
        <v>1441</v>
      </c>
      <c r="C20" s="23">
        <f ca="1">ROUND(C19*F20,0)</f>
        <v>562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814.7</v>
      </c>
      <c r="K22" s="2975"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1392</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1457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-1050</v>
      </c>
      <c r="K25" s="1345" t="s">
        <v>1466</v>
      </c>
      <c r="L25" s="1346"/>
      <c r="M25" s="1347"/>
    </row>
    <row r="26" spans="1:37">
      <c r="A26" s="1201" t="s">
        <v>1034</v>
      </c>
      <c r="B26" s="347" t="s">
        <v>1467</v>
      </c>
      <c r="C26" s="23">
        <f ca="1">ROUND((C19+C20)*F26,0)</f>
        <v>3862</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27155</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1638</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525.4</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290.51</v>
      </c>
      <c r="D32" s="2975"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228.1</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814.7</v>
      </c>
      <c r="D36" s="2975"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44.8</v>
      </c>
      <c r="D37" s="2975" t="s">
        <v>1456</v>
      </c>
      <c r="E37" s="347" t="s">
        <v>1457</v>
      </c>
      <c r="F37" s="376">
        <f ca="1">INDIRECT("'数据-取费表'!Al"&amp;$G$1)</f>
        <v>2E-3</v>
      </c>
      <c r="G37" s="1850"/>
      <c r="H37" s="1858"/>
      <c r="I37" s="1859"/>
      <c r="J37" s="1860"/>
      <c r="K37" s="751"/>
      <c r="L37" s="1858"/>
      <c r="M37" s="1858"/>
    </row>
    <row r="38" spans="1:18" ht="18" customHeight="1" thickBot="1">
      <c r="A38" s="1339" t="s">
        <v>1394</v>
      </c>
      <c r="B38" s="1340" t="s">
        <v>1441</v>
      </c>
      <c r="C38" s="1341">
        <f ca="1">ROUND(C5*F38,1)</f>
        <v>253.3</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3428</v>
      </c>
      <c r="D39" s="1345" t="s">
        <v>1466</v>
      </c>
      <c r="E39" s="1346"/>
      <c r="F39" s="1347"/>
      <c r="G39" s="1850"/>
      <c r="H39" s="1858"/>
      <c r="I39" s="1859"/>
      <c r="J39" s="1860"/>
      <c r="K39" s="1864"/>
      <c r="L39" s="1858"/>
      <c r="M39" s="1858"/>
    </row>
    <row r="40" spans="1:18" ht="18" customHeight="1">
      <c r="A40" s="344" t="s">
        <v>1032</v>
      </c>
      <c r="B40" s="345" t="s">
        <v>1487</v>
      </c>
      <c r="C40" s="346">
        <f ca="1">ROUND(C39*(1-((1+F42)/(1+F40))^F41)/(F40-F42),0)</f>
        <v>56567</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14794</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-71244</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40</v>
      </c>
      <c r="M47" s="1837" t="str">
        <f>IF(ISNUMBER(FIND("住宅",C1)),"住宅","非住宅")</f>
        <v>非住宅</v>
      </c>
      <c r="O47" s="1883" t="s">
        <v>1040</v>
      </c>
      <c r="P47" s="1884" t="s">
        <v>1530</v>
      </c>
      <c r="Q47" s="1885">
        <f ca="1">C40+J29</f>
        <v>56567</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27155</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23117</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56567</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22403</v>
      </c>
      <c r="D56" s="1913"/>
      <c r="E56" s="1914"/>
      <c r="F56" s="1906"/>
      <c r="I56" s="1915" t="s">
        <v>1556</v>
      </c>
      <c r="J56" s="1916" t="s">
        <v>3044</v>
      </c>
      <c r="K56" s="1886" t="s">
        <v>1557</v>
      </c>
      <c r="L56" s="1889" t="str">
        <f ca="1">IF(L48&lt;J51,"——",L48-J53)</f>
        <v>——</v>
      </c>
      <c r="O56" s="1883" t="s">
        <v>1040</v>
      </c>
      <c r="P56" s="1884" t="s">
        <v>1530</v>
      </c>
      <c r="Q56" s="1885">
        <f ca="1">C40+J29</f>
        <v>56567</v>
      </c>
      <c r="R56" s="1885" t="s">
        <v>1531</v>
      </c>
    </row>
    <row r="57" spans="1:18" s="1841" customFormat="1" ht="24.75" thickBot="1">
      <c r="A57" s="1917"/>
      <c r="B57" s="1169" t="s">
        <v>1480</v>
      </c>
      <c r="C57" s="282">
        <f ca="1">C29</f>
        <v>27155</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1094</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234.9</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228.1</v>
      </c>
      <c r="D61" s="1827" t="s">
        <v>1440</v>
      </c>
      <c r="E61" s="1169" t="s">
        <v>1457</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6.78</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56567</v>
      </c>
      <c r="R62" s="1885" t="s">
        <v>1047</v>
      </c>
    </row>
    <row r="63" spans="1:18" s="1841" customFormat="1" ht="13.5" thickBot="1">
      <c r="A63" s="372"/>
      <c r="B63" s="1175"/>
      <c r="C63" s="28"/>
      <c r="D63" s="1185"/>
      <c r="E63" s="1169" t="s">
        <v>1501</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1503</v>
      </c>
      <c r="C64" s="23">
        <f ca="1">ROUND(C57*F64,1)</f>
        <v>814.7</v>
      </c>
      <c r="D64" s="1183" t="s">
        <v>1484</v>
      </c>
      <c r="E64" s="1169" t="s">
        <v>1457</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44.8</v>
      </c>
      <c r="D65" s="1183" t="s">
        <v>1456</v>
      </c>
      <c r="E65" s="1169" t="s">
        <v>1457</v>
      </c>
      <c r="F65" s="376">
        <f t="shared" ca="1" si="0"/>
        <v>2E-3</v>
      </c>
      <c r="I65" s="1928" t="s">
        <v>1581</v>
      </c>
      <c r="J65" s="1929">
        <v>40</v>
      </c>
      <c r="K65" s="1929">
        <v>30</v>
      </c>
      <c r="L65" s="1929">
        <v>50</v>
      </c>
      <c r="M65" s="1931">
        <v>0.02</v>
      </c>
      <c r="O65" s="1883" t="s">
        <v>1040</v>
      </c>
      <c r="P65" s="1884" t="s">
        <v>1530</v>
      </c>
      <c r="Q65" s="1885">
        <f ca="1">C40+J29</f>
        <v>56567</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-1094</v>
      </c>
      <c r="D67" s="1182" t="s">
        <v>1466</v>
      </c>
      <c r="E67" s="1187"/>
      <c r="F67" s="1188"/>
      <c r="O67" s="1893" t="s">
        <v>1042</v>
      </c>
      <c r="P67" s="1884" t="s">
        <v>1564</v>
      </c>
      <c r="Q67" s="1932">
        <f ca="1">L51</f>
        <v>23117</v>
      </c>
      <c r="R67" s="1885" t="s">
        <v>1584</v>
      </c>
    </row>
    <row r="68" spans="1:18" s="1841" customFormat="1" ht="16.5" thickBot="1">
      <c r="A68" s="1166" t="s">
        <v>1032</v>
      </c>
      <c r="B68" s="1167" t="s">
        <v>1487</v>
      </c>
      <c r="C68" s="346">
        <f ca="1">ROUND(C67*(1-((1+F70)/(1+F68))^F69)/(F68-F70),0)</f>
        <v>-14677</v>
      </c>
      <c r="D68" s="1184" t="s">
        <v>1471</v>
      </c>
      <c r="E68" s="1169" t="s">
        <v>1472</v>
      </c>
      <c r="F68" s="357">
        <f ca="1">F40</f>
        <v>0.06</v>
      </c>
      <c r="O68" s="1893" t="s">
        <v>1043</v>
      </c>
      <c r="P68" s="1933" t="s">
        <v>1585</v>
      </c>
      <c r="Q68" s="1885">
        <f ca="1">ROUND(Q69-Q70*Q71,0)</f>
        <v>1636</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3428</v>
      </c>
      <c r="R69" s="1885" t="s">
        <v>1531</v>
      </c>
    </row>
    <row r="70" spans="1:18" s="1841" customFormat="1" ht="13.5" thickBot="1">
      <c r="A70" s="1173"/>
      <c r="B70" s="1174"/>
      <c r="C70" s="355"/>
      <c r="D70" s="1185"/>
      <c r="E70" s="1169" t="s">
        <v>1479</v>
      </c>
      <c r="F70" s="1275"/>
      <c r="O70" s="1893" t="s">
        <v>1049</v>
      </c>
      <c r="P70" s="1933" t="s">
        <v>1587</v>
      </c>
      <c r="Q70" s="1885">
        <f ca="1">C13</f>
        <v>22403</v>
      </c>
      <c r="R70" s="1885" t="s">
        <v>1531</v>
      </c>
    </row>
    <row r="71" spans="1:18" s="1841" customFormat="1" ht="13.5" thickBot="1">
      <c r="A71" s="1190" t="s">
        <v>1033</v>
      </c>
      <c r="B71" s="1191" t="s">
        <v>1489</v>
      </c>
      <c r="C71" s="382">
        <f ca="1">ROUND(C68*10000/F71,0)</f>
        <v>-3838</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1792</v>
      </c>
      <c r="D75" s="1841"/>
      <c r="E75" s="1841"/>
      <c r="F75" s="1841"/>
      <c r="K75" s="1867"/>
      <c r="L75" s="1841"/>
      <c r="O75" s="1883" t="s">
        <v>1046</v>
      </c>
      <c r="P75" s="1884" t="s">
        <v>1551</v>
      </c>
      <c r="Q75" s="1885">
        <f ca="1">Q65+Q66</f>
        <v>56567</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0.47699999999999998</v>
      </c>
    </row>
    <row r="80" spans="1:18">
      <c r="B80" s="386" t="s">
        <v>1513</v>
      </c>
      <c r="C80" s="318">
        <f ca="1">ROUND(C75/C39,3)</f>
        <v>0.52300000000000002</v>
      </c>
    </row>
    <row r="81" spans="2:3">
      <c r="B81" s="314" t="s">
        <v>1514</v>
      </c>
      <c r="C81" s="282"/>
    </row>
    <row r="82" spans="2:3">
      <c r="B82" s="317" t="s">
        <v>1515</v>
      </c>
      <c r="C82" s="319">
        <f ca="1">1-C83</f>
        <v>0.60399999999999998</v>
      </c>
    </row>
    <row r="83" spans="2:3">
      <c r="B83" s="317" t="s">
        <v>1516</v>
      </c>
      <c r="C83" s="318">
        <f ca="1">ROUND(C13/C40,3)</f>
        <v>0.39600000000000002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9" sqref="C19"/>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3112</v>
      </c>
      <c r="D1" s="1819" t="s">
        <v>70</v>
      </c>
      <c r="E1" s="1820" t="s">
        <v>1388</v>
      </c>
      <c r="F1" s="1283">
        <f ca="1">J53</f>
        <v>28.05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45942</v>
      </c>
      <c r="C2" s="1844" t="s">
        <v>1518</v>
      </c>
      <c r="D2" s="1844"/>
      <c r="E2" s="1845"/>
      <c r="F2" s="1846"/>
      <c r="G2" s="1847"/>
      <c r="H2" s="1839"/>
      <c r="I2" s="1839"/>
      <c r="J2" s="1839"/>
      <c r="K2" s="1840"/>
      <c r="L2" s="1839"/>
      <c r="M2" s="1839"/>
    </row>
    <row r="3" spans="1:37" ht="18" customHeight="1" thickBot="1">
      <c r="A3" s="1848" t="s">
        <v>1519</v>
      </c>
      <c r="B3" s="1849">
        <f ca="1">IF(ISERROR(B2*10000/F43),0,ROUND(B2*10000/F43,0))</f>
        <v>8062</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0</v>
      </c>
      <c r="D5" s="1821" t="s">
        <v>1403</v>
      </c>
      <c r="E5" s="1293"/>
      <c r="F5" s="1294"/>
      <c r="G5" s="1850"/>
      <c r="H5" s="344">
        <v>1</v>
      </c>
      <c r="I5" s="345" t="s">
        <v>1402</v>
      </c>
      <c r="J5" s="1292">
        <f ca="1">J6+J10+J12</f>
        <v>5200</v>
      </c>
      <c r="K5" s="1821" t="s">
        <v>1403</v>
      </c>
      <c r="L5" s="1293"/>
      <c r="M5" s="1294"/>
    </row>
    <row r="6" spans="1:37" ht="18" customHeight="1">
      <c r="A6" s="1291" t="s">
        <v>1035</v>
      </c>
      <c r="B6" s="3235" t="s">
        <v>1404</v>
      </c>
      <c r="C6" s="1296">
        <f ca="1">ROUND(F6*F8*F7*(1-F9)/10000,0)</f>
        <v>0</v>
      </c>
      <c r="D6" s="164" t="s">
        <v>3035</v>
      </c>
      <c r="E6" s="347" t="s">
        <v>1406</v>
      </c>
      <c r="F6" s="348">
        <f ca="1">INDIRECT("'数据-取费表'!u"&amp;$G$1)</f>
        <v>0</v>
      </c>
      <c r="G6" s="1850"/>
      <c r="H6" s="1291" t="s">
        <v>1035</v>
      </c>
      <c r="I6" s="3235" t="s">
        <v>1404</v>
      </c>
      <c r="J6" s="346">
        <f ca="1">ROUND(M6*M8*M7*(1-M9)/10000,0)</f>
        <v>5200</v>
      </c>
      <c r="K6" s="164" t="s">
        <v>3034</v>
      </c>
      <c r="L6" s="347" t="s">
        <v>1406</v>
      </c>
      <c r="M6" s="348">
        <f ca="1">INDIRECT("'数据-取费表'!z"&amp;$G$1)</f>
        <v>2.5</v>
      </c>
    </row>
    <row r="7" spans="1:37" ht="18" customHeight="1">
      <c r="A7" s="1295"/>
      <c r="B7" s="3236"/>
      <c r="C7" s="1297"/>
      <c r="D7" s="352"/>
      <c r="E7" s="2943" t="s">
        <v>1407</v>
      </c>
      <c r="F7" s="348">
        <f ca="1">IF(INDIRECT("'数据-取费表'!ah"&amp;$G$1)="",INDIRECT("'数据-取费表'!k"&amp;$G$1),INDIRECT("'数据-取费表'!ah"&amp;$G$1))</f>
        <v>56983.21</v>
      </c>
      <c r="G7" s="1850"/>
      <c r="H7" s="349"/>
      <c r="I7" s="3236"/>
      <c r="J7" s="351"/>
      <c r="K7" s="352"/>
      <c r="L7" s="347" t="s">
        <v>1407</v>
      </c>
      <c r="M7" s="348">
        <f ca="1">F7</f>
        <v>56983.21</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0.15</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33386</v>
      </c>
      <c r="D13" s="1331" t="s">
        <v>1417</v>
      </c>
      <c r="E13" s="1331" t="s">
        <v>1418</v>
      </c>
      <c r="F13" s="1332">
        <f ca="1">INDIRECT("'数据-取费表'!y"&amp;$G$1)</f>
        <v>0.82499999999999996</v>
      </c>
      <c r="G13" s="1850"/>
      <c r="H13" s="1329">
        <v>2</v>
      </c>
      <c r="I13" s="1330" t="s">
        <v>1416</v>
      </c>
      <c r="J13" s="1290">
        <f ca="1">ROUND(J14*J15,0)</f>
        <v>33042</v>
      </c>
      <c r="K13" s="1337" t="s">
        <v>1417</v>
      </c>
      <c r="L13" s="1851"/>
      <c r="M13" s="1852"/>
    </row>
    <row r="14" spans="1:37" ht="18" customHeight="1">
      <c r="A14" s="1201" t="s">
        <v>1034</v>
      </c>
      <c r="B14" s="347" t="s">
        <v>1419</v>
      </c>
      <c r="C14" s="363">
        <f ca="1">INDIRECT("'数据-取费表'!m"&amp;$G$1)+INDIRECT("'数据-取费表'!t"&amp;$G$1)</f>
        <v>25642</v>
      </c>
      <c r="D14" s="2937" t="s">
        <v>1420</v>
      </c>
      <c r="E14" s="2935"/>
      <c r="F14" s="364"/>
      <c r="G14" s="1850"/>
      <c r="H14" s="1201" t="s">
        <v>1035</v>
      </c>
      <c r="I14" s="347" t="s">
        <v>1421</v>
      </c>
      <c r="J14" s="23">
        <f ca="1">C29</f>
        <v>40468</v>
      </c>
      <c r="K14" s="2942"/>
      <c r="L14" s="979"/>
      <c r="M14" s="980"/>
    </row>
    <row r="15" spans="1:37" s="1857" customFormat="1" ht="18" customHeight="1" thickBot="1">
      <c r="A15" s="1201" t="s">
        <v>1036</v>
      </c>
      <c r="B15" s="347" t="s">
        <v>1422</v>
      </c>
      <c r="C15" s="23">
        <f ca="1">ROUND(C14*F15,0)</f>
        <v>769</v>
      </c>
      <c r="D15" s="365" t="s">
        <v>1423</v>
      </c>
      <c r="E15" s="365" t="s">
        <v>1424</v>
      </c>
      <c r="F15" s="366">
        <f>'数据-取费表'!B33</f>
        <v>0.03</v>
      </c>
      <c r="G15" s="1853"/>
      <c r="H15" s="1339" t="s">
        <v>1039</v>
      </c>
      <c r="I15" s="1340" t="s">
        <v>1418</v>
      </c>
      <c r="J15" s="1349">
        <f ca="1">INDIRECT("'数据-取费表'!ad"&amp;$G$1)</f>
        <v>0.8165</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2188</v>
      </c>
      <c r="K16" s="1337" t="s">
        <v>1427</v>
      </c>
      <c r="L16" s="2938"/>
      <c r="M16" s="1294"/>
    </row>
    <row r="17" spans="1:37" s="1857" customFormat="1" ht="18" customHeight="1">
      <c r="A17" s="1201" t="s">
        <v>1391</v>
      </c>
      <c r="B17" s="347" t="s">
        <v>1428</v>
      </c>
      <c r="C17" s="23">
        <f ca="1">ROUND(F17*(F43+INDIRECT("'数据-取费表'!S"&amp;$G$1))/10000,0)</f>
        <v>1140</v>
      </c>
      <c r="D17" s="347" t="s">
        <v>1429</v>
      </c>
      <c r="E17" s="347" t="s">
        <v>1430</v>
      </c>
      <c r="F17" s="25">
        <f>'数据-取费表'!B35</f>
        <v>200</v>
      </c>
      <c r="G17" s="1853"/>
      <c r="H17" s="1201" t="s">
        <v>1035</v>
      </c>
      <c r="I17" s="347" t="s">
        <v>1431</v>
      </c>
      <c r="J17" s="23">
        <f ca="1">ROUND(IF(项目基本情况!B11="自然人",J5*M17,J18+J19+J20),1)</f>
        <v>648.20000000000005</v>
      </c>
      <c r="K17" s="2937" t="s">
        <v>1432</v>
      </c>
      <c r="L17" s="2936" t="s">
        <v>1433</v>
      </c>
      <c r="M17" s="368">
        <f ca="1">IF(项目基本情况!B11="企业","",IF(INDIRECT("'数据-取费表'!c"&amp;$G$1)="住宅",5%,IF(M6*M7*M8/12/(1+'数据-取费表'!C42)&gt;20000,12%,7%)))</f>
        <v>0.12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385</v>
      </c>
      <c r="D18" s="347" t="s">
        <v>1423</v>
      </c>
      <c r="E18" s="347" t="s">
        <v>1424</v>
      </c>
      <c r="F18" s="367">
        <f>'数据-取费表'!B36</f>
        <v>1.4999999999999999E-2</v>
      </c>
      <c r="G18" s="1853"/>
      <c r="H18" s="1201" t="s">
        <v>1034</v>
      </c>
      <c r="I18" s="347" t="s">
        <v>1435</v>
      </c>
      <c r="J18" s="23">
        <f ca="1">ROUND(J5*M18/(1+'数据-取费表'!C42),2)</f>
        <v>298.2</v>
      </c>
      <c r="K18" s="2936"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27936</v>
      </c>
      <c r="D19" s="139" t="s">
        <v>1438</v>
      </c>
      <c r="E19" s="2941"/>
      <c r="F19" s="25"/>
      <c r="G19" s="1850"/>
      <c r="H19" s="1201" t="s">
        <v>1036</v>
      </c>
      <c r="I19" s="347" t="s">
        <v>1439</v>
      </c>
      <c r="J19" s="23">
        <f ca="1">IF(K19="按租金收入计税",ROUND(J5*M19,2),ROUND(C29*M19*0.7,2))</f>
        <v>339.93</v>
      </c>
      <c r="K19" s="1827" t="s">
        <v>1440</v>
      </c>
      <c r="L19" s="347" t="s">
        <v>1424</v>
      </c>
      <c r="M19" s="367">
        <f>IF(K19="按租金收入计税",'数据-取费表'!B51,'数据-取费表'!B50)</f>
        <v>1.2E-2</v>
      </c>
    </row>
    <row r="20" spans="1:37" s="1857" customFormat="1" ht="18" customHeight="1">
      <c r="A20" s="1201" t="s">
        <v>1039</v>
      </c>
      <c r="B20" s="347" t="s">
        <v>1441</v>
      </c>
      <c r="C20" s="23">
        <f ca="1">ROUND(C19*F20,0)</f>
        <v>838</v>
      </c>
      <c r="D20" s="369" t="s">
        <v>1442</v>
      </c>
      <c r="E20" s="347" t="s">
        <v>1424</v>
      </c>
      <c r="F20" s="367">
        <f>'数据-取费表'!B37</f>
        <v>0.03</v>
      </c>
      <c r="G20" s="1853"/>
      <c r="H20" s="1201" t="s">
        <v>1390</v>
      </c>
      <c r="I20" s="164" t="s">
        <v>1443</v>
      </c>
      <c r="J20" s="24">
        <f ca="1">ROUND(M20*M21/10000,2)</f>
        <v>10.1</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67313.820000000007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41"/>
      <c r="F22" s="25"/>
      <c r="G22" s="1850"/>
      <c r="H22" s="1201" t="s">
        <v>1039</v>
      </c>
      <c r="I22" s="347" t="s">
        <v>1451</v>
      </c>
      <c r="J22" s="23">
        <f ca="1">ROUND(J14*M22,1)</f>
        <v>1214</v>
      </c>
      <c r="K22" s="2936"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2074</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66.099999999999994</v>
      </c>
      <c r="K23" s="2936" t="s">
        <v>1456</v>
      </c>
      <c r="L23" s="347" t="s">
        <v>1424</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260</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41"/>
      <c r="F25" s="25"/>
      <c r="G25" s="1850"/>
      <c r="H25" s="1329" t="s">
        <v>1031</v>
      </c>
      <c r="I25" s="1344" t="s">
        <v>1465</v>
      </c>
      <c r="J25" s="355">
        <f ca="1">J5-J16</f>
        <v>3012</v>
      </c>
      <c r="K25" s="1345" t="s">
        <v>1466</v>
      </c>
      <c r="L25" s="1346"/>
      <c r="M25" s="1347"/>
    </row>
    <row r="26" spans="1:37">
      <c r="A26" s="1201" t="s">
        <v>1034</v>
      </c>
      <c r="B26" s="347" t="s">
        <v>1467</v>
      </c>
      <c r="C26" s="23">
        <f ca="1">ROUND((C19+C20)*F26,0)</f>
        <v>5755</v>
      </c>
      <c r="D26" s="369" t="s">
        <v>1468</v>
      </c>
      <c r="E26" s="358" t="s">
        <v>1469</v>
      </c>
      <c r="F26" s="357">
        <f ca="1">INDIRECT("'数据-取费表'!q"&amp;$G$1)</f>
        <v>0.2</v>
      </c>
      <c r="G26" s="1850"/>
      <c r="H26" s="344" t="s">
        <v>1032</v>
      </c>
      <c r="I26" s="345" t="s">
        <v>1470</v>
      </c>
      <c r="J26" s="346">
        <f ca="1">IF(J5&lt;&gt;0,ROUND(J25*(1-((1+M28)/(1+M26))^M27)/(M26-M28),0),0)</f>
        <v>48699</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27.05</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0.02</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40468</v>
      </c>
      <c r="D29" s="1342"/>
      <c r="E29" s="1340"/>
      <c r="F29" s="1343"/>
      <c r="G29" s="1853"/>
      <c r="H29" s="380" t="s">
        <v>1033</v>
      </c>
      <c r="I29" s="381" t="s">
        <v>1481</v>
      </c>
      <c r="J29" s="382">
        <f ca="1">ROUND(J26/(1+F40)^F41,0)</f>
        <v>45942</v>
      </c>
      <c r="K29" s="383" t="s">
        <v>1482</v>
      </c>
      <c r="L29" s="384"/>
      <c r="M29" s="385">
        <f ca="1">INDIRECT("'数据-取费表'!k"&amp;$G$1)</f>
        <v>56983.21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1631</v>
      </c>
      <c r="D30" s="1337" t="s">
        <v>1427</v>
      </c>
      <c r="E30" s="2938"/>
      <c r="F30" s="1294"/>
      <c r="G30" s="1850"/>
      <c r="H30" s="745"/>
      <c r="I30" s="746"/>
      <c r="J30" s="747"/>
      <c r="K30" s="748"/>
      <c r="L30" s="749"/>
      <c r="M30" s="750"/>
    </row>
    <row r="31" spans="1:37" ht="18" customHeight="1">
      <c r="A31" s="1201" t="s">
        <v>1035</v>
      </c>
      <c r="B31" s="347" t="s">
        <v>1431</v>
      </c>
      <c r="C31" s="23">
        <f ca="1">ROUND(IF(项目基本情况!B11="自然人",C5*F31,C32+C33+C34),1)</f>
        <v>350</v>
      </c>
      <c r="D31" s="2937" t="s">
        <v>1432</v>
      </c>
      <c r="E31" s="2936"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IF(项目基本情况!B11="自然人","——",ROUND(C5*F32/(1+'数据-取费表'!C42),2))</f>
        <v>0</v>
      </c>
      <c r="D32" s="2936"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339.93</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10.1</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67313.820000000007</v>
      </c>
      <c r="G35" s="1850"/>
      <c r="H35" s="745"/>
      <c r="I35" s="1859"/>
      <c r="J35" s="1860"/>
      <c r="K35" s="1861"/>
      <c r="L35" s="1858"/>
      <c r="M35" s="1858"/>
    </row>
    <row r="36" spans="1:18" ht="18" customHeight="1">
      <c r="A36" s="1352" t="s">
        <v>1039</v>
      </c>
      <c r="B36" s="347" t="s">
        <v>1451</v>
      </c>
      <c r="C36" s="23">
        <f ca="1">ROUND(C29*F36,1)</f>
        <v>1214</v>
      </c>
      <c r="D36" s="2936"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66.8</v>
      </c>
      <c r="D37" s="2936" t="s">
        <v>1456</v>
      </c>
      <c r="E37" s="347" t="s">
        <v>1424</v>
      </c>
      <c r="F37" s="376">
        <f ca="1">INDIRECT("'数据-取费表'!Al"&amp;$G$1)</f>
        <v>2E-3</v>
      </c>
      <c r="G37" s="1850"/>
      <c r="H37" s="1858"/>
      <c r="I37" s="1859"/>
      <c r="J37" s="1860"/>
      <c r="K37" s="751"/>
      <c r="L37" s="1858"/>
      <c r="M37" s="1858"/>
    </row>
    <row r="38" spans="1:18" ht="18" customHeight="1" thickBot="1">
      <c r="A38" s="1339" t="s">
        <v>1393</v>
      </c>
      <c r="B38" s="1340" t="s">
        <v>1441</v>
      </c>
      <c r="C38" s="1341">
        <f ca="1">ROUND(C5*F38,1)</f>
        <v>0</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-1631</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1</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56983.21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-1539</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45942</v>
      </c>
      <c r="R47" s="1885" t="s">
        <v>1531</v>
      </c>
    </row>
    <row r="48" spans="1:18" s="1841" customFormat="1" ht="28.5" thickBot="1">
      <c r="A48" s="1360" t="s">
        <v>1135</v>
      </c>
      <c r="B48" s="345" t="s">
        <v>1402</v>
      </c>
      <c r="C48" s="2940">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40468</v>
      </c>
      <c r="R49" s="1885" t="s">
        <v>1531</v>
      </c>
    </row>
    <row r="50" spans="1:18" s="1841" customFormat="1" ht="13.5" thickBot="1">
      <c r="A50" s="1195"/>
      <c r="B50" s="1198"/>
      <c r="C50" s="1368"/>
      <c r="D50" s="1172"/>
      <c r="E50" s="1277" t="s">
        <v>1407</v>
      </c>
      <c r="F50" s="1278">
        <f ca="1">F7</f>
        <v>56983.21</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-60795</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45942</v>
      </c>
      <c r="R53" s="1885" t="s">
        <v>1047</v>
      </c>
    </row>
    <row r="54" spans="1:18" s="1841" customFormat="1" ht="13.5" thickBot="1">
      <c r="A54" s="1405"/>
      <c r="B54" s="1824" t="s">
        <v>1389</v>
      </c>
      <c r="C54" s="1178"/>
      <c r="D54" s="1823"/>
      <c r="E54" s="293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39"/>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33386</v>
      </c>
      <c r="D56" s="1913"/>
      <c r="E56" s="1914"/>
      <c r="F56" s="1906"/>
      <c r="I56" s="1915" t="s">
        <v>1556</v>
      </c>
      <c r="J56" s="1916" t="s">
        <v>3044</v>
      </c>
      <c r="K56" s="1886" t="s">
        <v>1557</v>
      </c>
      <c r="L56" s="1889" t="str">
        <f ca="1">IF(L48&lt;J51,"——",L48-J53)</f>
        <v>——</v>
      </c>
      <c r="O56" s="1883" t="s">
        <v>1040</v>
      </c>
      <c r="P56" s="1884" t="s">
        <v>1530</v>
      </c>
      <c r="Q56" s="1885">
        <f ca="1">C40+J29</f>
        <v>45942</v>
      </c>
      <c r="R56" s="1885" t="s">
        <v>1531</v>
      </c>
    </row>
    <row r="57" spans="1:18" s="1841" customFormat="1" ht="24.75" thickBot="1">
      <c r="A57" s="1917"/>
      <c r="B57" s="1169" t="s">
        <v>1480</v>
      </c>
      <c r="C57" s="282">
        <f ca="1">C29</f>
        <v>40468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1631</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350</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339.93</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10.1</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45942</v>
      </c>
      <c r="R62" s="1885" t="s">
        <v>1047</v>
      </c>
    </row>
    <row r="63" spans="1:18" s="1841" customFormat="1" ht="13.5" thickBot="1">
      <c r="A63" s="372"/>
      <c r="B63" s="1175"/>
      <c r="C63" s="28"/>
      <c r="D63" s="1185"/>
      <c r="E63" s="1169" t="s">
        <v>1449</v>
      </c>
      <c r="F63" s="348">
        <f t="shared" ca="1" si="0"/>
        <v>67313.820000000007</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1214</v>
      </c>
      <c r="D64" s="1183" t="s">
        <v>1484</v>
      </c>
      <c r="E64" s="1169" t="s">
        <v>1424</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66.8</v>
      </c>
      <c r="D65" s="1183" t="s">
        <v>1456</v>
      </c>
      <c r="E65" s="1169" t="s">
        <v>1424</v>
      </c>
      <c r="F65" s="376">
        <f t="shared" ca="1" si="0"/>
        <v>2E-3</v>
      </c>
      <c r="I65" s="1928" t="s">
        <v>1581</v>
      </c>
      <c r="J65" s="1929">
        <v>40</v>
      </c>
      <c r="K65" s="1929">
        <v>30</v>
      </c>
      <c r="L65" s="1929">
        <v>50</v>
      </c>
      <c r="M65" s="1931">
        <v>0.02</v>
      </c>
      <c r="O65" s="1883" t="s">
        <v>1040</v>
      </c>
      <c r="P65" s="1884" t="s">
        <v>1530</v>
      </c>
      <c r="Q65" s="1885">
        <f ca="1">C40+J29</f>
        <v>45942</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-1631</v>
      </c>
      <c r="D67" s="1182" t="s">
        <v>1466</v>
      </c>
      <c r="E67" s="1187"/>
      <c r="F67" s="1188"/>
      <c r="O67" s="1893" t="s">
        <v>1042</v>
      </c>
      <c r="P67" s="1884" t="s">
        <v>1564</v>
      </c>
      <c r="Q67" s="1932">
        <f ca="1">L51</f>
        <v>-60795</v>
      </c>
      <c r="R67" s="1885" t="s">
        <v>1584</v>
      </c>
    </row>
    <row r="68" spans="1:18" s="1841" customFormat="1" ht="16.5" thickBot="1">
      <c r="A68" s="1166" t="s">
        <v>1032</v>
      </c>
      <c r="B68" s="1167" t="s">
        <v>1487</v>
      </c>
      <c r="C68" s="346">
        <f ca="1">ROUND(C67*(1-((1+F70)/(1+F68))^F69)/(F68-F70),0)</f>
        <v>-1539</v>
      </c>
      <c r="D68" s="1184" t="s">
        <v>1471</v>
      </c>
      <c r="E68" s="1169" t="s">
        <v>1472</v>
      </c>
      <c r="F68" s="357">
        <f ca="1">F40</f>
        <v>0.06</v>
      </c>
      <c r="O68" s="1893" t="s">
        <v>1043</v>
      </c>
      <c r="P68" s="1933" t="s">
        <v>1585</v>
      </c>
      <c r="Q68" s="1885">
        <f ca="1">ROUND(Q69-Q70*Q71,0)</f>
        <v>-4302</v>
      </c>
      <c r="R68" s="1885" t="s">
        <v>1051</v>
      </c>
    </row>
    <row r="69" spans="1:18" s="1841" customFormat="1" ht="13.5" thickBot="1">
      <c r="A69" s="1170"/>
      <c r="B69" s="1171"/>
      <c r="C69" s="351"/>
      <c r="D69" s="1189" t="s">
        <v>1475</v>
      </c>
      <c r="E69" s="1169" t="s">
        <v>1476</v>
      </c>
      <c r="F69" s="379">
        <f ca="1">F41</f>
        <v>1</v>
      </c>
      <c r="O69" s="1893" t="s">
        <v>1048</v>
      </c>
      <c r="P69" s="1933" t="s">
        <v>1586</v>
      </c>
      <c r="Q69" s="1885">
        <f ca="1">C39</f>
        <v>-1631</v>
      </c>
      <c r="R69" s="1885" t="s">
        <v>1531</v>
      </c>
    </row>
    <row r="70" spans="1:18" s="1841" customFormat="1" ht="13.5" thickBot="1">
      <c r="A70" s="1173"/>
      <c r="B70" s="1174"/>
      <c r="C70" s="355"/>
      <c r="D70" s="1185"/>
      <c r="E70" s="1169" t="s">
        <v>1479</v>
      </c>
      <c r="F70" s="1275"/>
      <c r="O70" s="1893" t="s">
        <v>1049</v>
      </c>
      <c r="P70" s="1933" t="s">
        <v>1587</v>
      </c>
      <c r="Q70" s="1885">
        <f ca="1">C13</f>
        <v>33386</v>
      </c>
      <c r="R70" s="1885" t="s">
        <v>1531</v>
      </c>
    </row>
    <row r="71" spans="1:18" s="1841" customFormat="1" ht="13.5" thickBot="1">
      <c r="A71" s="1190" t="s">
        <v>1033</v>
      </c>
      <c r="B71" s="1191" t="s">
        <v>1489</v>
      </c>
      <c r="C71" s="382">
        <f ca="1">ROUND(C68*10000/F71,0)</f>
        <v>-270</v>
      </c>
      <c r="D71" s="1192" t="s">
        <v>1490</v>
      </c>
      <c r="E71" s="1193" t="s">
        <v>1491</v>
      </c>
      <c r="F71" s="385">
        <f ca="1">F43</f>
        <v>56983.21</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2671</v>
      </c>
      <c r="D75" s="1841"/>
      <c r="E75" s="1841"/>
      <c r="F75" s="1841"/>
      <c r="K75" s="1867"/>
      <c r="L75" s="1841"/>
      <c r="O75" s="1883" t="s">
        <v>1046</v>
      </c>
      <c r="P75" s="1884" t="s">
        <v>1551</v>
      </c>
      <c r="Q75" s="1885">
        <f ca="1">Q65+Q66</f>
        <v>45942</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2.6379999999999999</v>
      </c>
    </row>
    <row r="80" spans="1:18">
      <c r="B80" s="386" t="s">
        <v>1513</v>
      </c>
      <c r="C80" s="318">
        <f ca="1">ROUND(C75/C39,3)</f>
        <v>-1.6379999999999999</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v>
      </c>
    </row>
    <row r="4" spans="1:1" ht="18">
      <c r="A4" s="1947" t="str">
        <f>"受贵公司委托，我公司对"&amp;项目基本情况!S1&amp;"进行了预评估。"</f>
        <v>受贵公司委托，我公司对进行了预评估。</v>
      </c>
    </row>
    <row r="5" spans="1:1" ht="18.75">
      <c r="A5" s="1948" t="s">
        <v>1614</v>
      </c>
    </row>
    <row r="6" spans="1:1" ht="18.75">
      <c r="A6" s="1949" t="s">
        <v>1615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估价对象为房地产，为所有。根据《国有土地使用证》[]，估价对象（分摊）出让国有建设用地使用权面积为138145.2平方米，建筑面积为116944.15平方米。</v>
      </c>
    </row>
    <row r="8" spans="1:1" ht="57.75">
      <c r="A8" s="1950" t="s">
        <v>1616</v>
      </c>
    </row>
    <row r="9" spans="1:1" ht="18.75">
      <c r="A9" s="1949" t="s">
        <v>1617</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估价对象为房地产,属开发建设的，该项目尚在开发建设中。根据《国有土地使用证》[]，估价对象（分摊）出让国有建设用地使用权面积为138145.2平方米，规划建筑面积为116944.15平方米。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1620</v>
      </c>
    </row>
    <row r="15" spans="1:1" ht="18">
      <c r="A15" s="1953" t="str">
        <f>TEXT(项目基本情况!D3,"yyyy年m月d日;;")&amp;IF(项目基本情况!D3=项目基本情况!B3,"（评估专业人员实地查勘之日）","")</f>
        <v>2017年12月1日（评估专业人员实地查勘之日）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topLeftCell="A7" workbookViewId="0">
      <selection activeCell="F25" sqref="F25"/>
    </sheetView>
  </sheetViews>
  <sheetFormatPr defaultRowHeight="13.5"/>
  <cols>
    <col min="1" max="1" width="10.5" customWidth="1"/>
    <col min="2" max="2" width="12.875" customWidth="1"/>
    <col min="3" max="3" width="8.75" customWidth="1"/>
    <col min="6" max="6" width="10.625" customWidth="1"/>
    <col min="13" max="13" width="10.5" bestFit="1" customWidth="1"/>
  </cols>
  <sheetData>
    <row r="1" spans="1:9" ht="14.25">
      <c r="A1" s="3254" t="s">
        <v>1076</v>
      </c>
      <c r="B1" s="3255"/>
      <c r="C1" s="3256"/>
      <c r="D1" s="3257">
        <f>SUM(I10,I15,I20,I21,I23)</f>
        <v>0</v>
      </c>
      <c r="E1" s="3257"/>
      <c r="F1" s="3257"/>
      <c r="G1" s="3257"/>
      <c r="H1" s="3257"/>
      <c r="I1" s="3258"/>
    </row>
    <row r="2" spans="1:9">
      <c r="A2" s="3244" t="s">
        <v>1077</v>
      </c>
      <c r="B2" s="3245" t="s">
        <v>1078</v>
      </c>
      <c r="C2" s="3245"/>
      <c r="D2" s="1301" t="s">
        <v>1079</v>
      </c>
      <c r="E2" s="1301" t="s">
        <v>1080</v>
      </c>
      <c r="F2" s="1301" t="s">
        <v>1081</v>
      </c>
      <c r="G2" s="1301" t="s">
        <v>1082</v>
      </c>
      <c r="H2" s="1301" t="s">
        <v>1083</v>
      </c>
      <c r="I2" s="1302" t="s">
        <v>1084</v>
      </c>
    </row>
    <row r="3" spans="1:9">
      <c r="A3" s="3244"/>
      <c r="B3" s="3245" t="s">
        <v>1085</v>
      </c>
      <c r="C3" s="3245"/>
      <c r="D3" s="1303"/>
      <c r="E3" s="1301"/>
      <c r="F3" s="1304"/>
      <c r="G3" s="1304"/>
      <c r="H3" s="1305"/>
      <c r="I3" s="1306">
        <f>ROUND(D3*E3*F3*G3*H3/10000,0)</f>
        <v>0</v>
      </c>
    </row>
    <row r="4" spans="1:9">
      <c r="A4" s="3244"/>
      <c r="B4" s="3245" t="s">
        <v>1086</v>
      </c>
      <c r="C4" s="3245"/>
      <c r="D4" s="1303"/>
      <c r="E4" s="1301"/>
      <c r="F4" s="1304"/>
      <c r="G4" s="1304"/>
      <c r="H4" s="1305"/>
      <c r="I4" s="1306">
        <f t="shared" ref="I4:I9" si="0">ROUND(D4*E4*F4*G4*H4/10000,0)</f>
        <v>0</v>
      </c>
    </row>
    <row r="5" spans="1:9">
      <c r="A5" s="3244"/>
      <c r="B5" s="3245" t="s">
        <v>1087</v>
      </c>
      <c r="C5" s="3245"/>
      <c r="D5" s="1303"/>
      <c r="E5" s="1301"/>
      <c r="F5" s="1304"/>
      <c r="G5" s="1304"/>
      <c r="H5" s="1305"/>
      <c r="I5" s="1306">
        <f t="shared" si="0"/>
        <v>0</v>
      </c>
    </row>
    <row r="6" spans="1:9">
      <c r="A6" s="3244"/>
      <c r="B6" s="3245" t="s">
        <v>1088</v>
      </c>
      <c r="C6" s="3245"/>
      <c r="D6" s="1303"/>
      <c r="E6" s="1301"/>
      <c r="F6" s="1304"/>
      <c r="G6" s="1304"/>
      <c r="H6" s="1305"/>
      <c r="I6" s="1306">
        <f t="shared" si="0"/>
        <v>0</v>
      </c>
    </row>
    <row r="7" spans="1:9">
      <c r="A7" s="3244"/>
      <c r="B7" s="3245" t="s">
        <v>1089</v>
      </c>
      <c r="C7" s="3245"/>
      <c r="D7" s="1303"/>
      <c r="E7" s="1301"/>
      <c r="F7" s="1304"/>
      <c r="G7" s="1304"/>
      <c r="H7" s="1305"/>
      <c r="I7" s="1306">
        <f t="shared" si="0"/>
        <v>0</v>
      </c>
    </row>
    <row r="8" spans="1:9">
      <c r="A8" s="3244"/>
      <c r="B8" s="3245" t="s">
        <v>1090</v>
      </c>
      <c r="C8" s="3245"/>
      <c r="D8" s="1303"/>
      <c r="E8" s="1301"/>
      <c r="F8" s="1304"/>
      <c r="G8" s="1304"/>
      <c r="H8" s="1305"/>
      <c r="I8" s="1306">
        <f t="shared" si="0"/>
        <v>0</v>
      </c>
    </row>
    <row r="9" spans="1:9">
      <c r="A9" s="3244"/>
      <c r="B9" s="3245" t="s">
        <v>1091</v>
      </c>
      <c r="C9" s="3245"/>
      <c r="D9" s="1303"/>
      <c r="E9" s="1301"/>
      <c r="F9" s="1304"/>
      <c r="G9" s="1304"/>
      <c r="H9" s="1305"/>
      <c r="I9" s="1306">
        <f t="shared" si="0"/>
        <v>0</v>
      </c>
    </row>
    <row r="10" spans="1:9">
      <c r="A10" s="3244"/>
      <c r="B10" s="3246" t="s">
        <v>1092</v>
      </c>
      <c r="C10" s="3246"/>
      <c r="D10" s="1307"/>
      <c r="E10" s="1307" t="e">
        <f>ROUND(D1*10000/D10/H9,0)</f>
        <v>#DIV/0!</v>
      </c>
      <c r="F10" s="1308"/>
      <c r="G10" s="1308"/>
      <c r="H10" s="1309"/>
      <c r="I10" s="1310">
        <f>SUM(I3:I9)</f>
        <v>0</v>
      </c>
    </row>
    <row r="11" spans="1:9" ht="14.25">
      <c r="A11" s="3244" t="s">
        <v>1093</v>
      </c>
      <c r="B11" s="3245" t="s">
        <v>1094</v>
      </c>
      <c r="C11" s="3245"/>
      <c r="D11" s="1303" t="s">
        <v>1095</v>
      </c>
      <c r="E11" s="1303" t="s">
        <v>1096</v>
      </c>
      <c r="F11" s="1304" t="s">
        <v>1097</v>
      </c>
      <c r="G11" s="1304" t="s">
        <v>1083</v>
      </c>
      <c r="H11" s="1311" t="s">
        <v>1098</v>
      </c>
      <c r="I11" s="1302" t="s">
        <v>1084</v>
      </c>
    </row>
    <row r="12" spans="1:9">
      <c r="A12" s="3244"/>
      <c r="B12" s="3245" t="s">
        <v>1099</v>
      </c>
      <c r="C12" s="3245"/>
      <c r="D12" s="1303"/>
      <c r="E12" s="1303"/>
      <c r="F12" s="1304"/>
      <c r="G12" s="1305"/>
      <c r="H12" s="1312"/>
      <c r="I12" s="1302">
        <f>ROUND(D12*E12*F12*G12/10000,0)</f>
        <v>0</v>
      </c>
    </row>
    <row r="13" spans="1:9">
      <c r="A13" s="3244"/>
      <c r="B13" s="3245" t="s">
        <v>1100</v>
      </c>
      <c r="C13" s="3245"/>
      <c r="D13" s="1303"/>
      <c r="E13" s="1303"/>
      <c r="F13" s="1304"/>
      <c r="G13" s="1305"/>
      <c r="H13" s="1312"/>
      <c r="I13" s="1302">
        <f>ROUND(D13*E13*F13*G13/10000,0)</f>
        <v>0</v>
      </c>
    </row>
    <row r="14" spans="1:9">
      <c r="A14" s="3244"/>
      <c r="B14" s="3245" t="s">
        <v>1101</v>
      </c>
      <c r="C14" s="3245"/>
      <c r="D14" s="1303"/>
      <c r="E14" s="1303"/>
      <c r="F14" s="1304"/>
      <c r="G14" s="1305"/>
      <c r="H14" s="1312"/>
      <c r="I14" s="1302">
        <f>ROUND(D14*E14*F14*G14/10000,0)</f>
        <v>0</v>
      </c>
    </row>
    <row r="15" spans="1:9">
      <c r="A15" s="3244"/>
      <c r="B15" s="3246" t="s">
        <v>1092</v>
      </c>
      <c r="C15" s="3246"/>
      <c r="D15" s="1307"/>
      <c r="E15" s="1307">
        <f>SUM(E12:E14)</f>
        <v>0</v>
      </c>
      <c r="F15" s="1308"/>
      <c r="G15" s="1305"/>
      <c r="H15" s="1312"/>
      <c r="I15" s="1313">
        <f>SUM(I12:I14)</f>
        <v>0</v>
      </c>
    </row>
    <row r="16" spans="1:9" ht="24">
      <c r="A16" s="3244" t="s">
        <v>1102</v>
      </c>
      <c r="B16" s="3245" t="s">
        <v>1103</v>
      </c>
      <c r="C16" s="3245"/>
      <c r="D16" s="1303" t="s">
        <v>1079</v>
      </c>
      <c r="E16" s="1314" t="s">
        <v>1104</v>
      </c>
      <c r="F16" s="1304" t="s">
        <v>1105</v>
      </c>
      <c r="G16" s="1305" t="s">
        <v>1083</v>
      </c>
      <c r="H16" s="1311" t="s">
        <v>1098</v>
      </c>
      <c r="I16" s="1302" t="s">
        <v>1084</v>
      </c>
    </row>
    <row r="17" spans="1:13" ht="14.25">
      <c r="A17" s="3244"/>
      <c r="B17" s="3245" t="s">
        <v>1106</v>
      </c>
      <c r="C17" s="3245"/>
      <c r="D17" s="1303"/>
      <c r="E17" s="1303"/>
      <c r="F17" s="1304"/>
      <c r="G17" s="1305"/>
      <c r="H17" s="1315"/>
      <c r="I17" s="1316">
        <f>ROUND(D17*E17*F17*G17/10000,0)</f>
        <v>0</v>
      </c>
    </row>
    <row r="18" spans="1:13" ht="14.25">
      <c r="A18" s="3244"/>
      <c r="B18" s="3245" t="s">
        <v>1107</v>
      </c>
      <c r="C18" s="3245"/>
      <c r="D18" s="1303"/>
      <c r="E18" s="1303"/>
      <c r="F18" s="1304"/>
      <c r="G18" s="1305"/>
      <c r="H18" s="1315"/>
      <c r="I18" s="1316">
        <f>ROUND(D18*E18*F18*G18/10000,0)</f>
        <v>0</v>
      </c>
    </row>
    <row r="19" spans="1:13" ht="14.25">
      <c r="A19" s="3244"/>
      <c r="B19" s="3245" t="s">
        <v>1108</v>
      </c>
      <c r="C19" s="3245"/>
      <c r="D19" s="1303"/>
      <c r="E19" s="1303"/>
      <c r="F19" s="1304"/>
      <c r="G19" s="1305"/>
      <c r="H19" s="1315"/>
      <c r="I19" s="1316">
        <f>ROUND(D19*E19*F19*G19/10000,0)</f>
        <v>0</v>
      </c>
    </row>
    <row r="20" spans="1:13">
      <c r="A20" s="3244"/>
      <c r="B20" s="3246" t="s">
        <v>1092</v>
      </c>
      <c r="C20" s="3246"/>
      <c r="D20" s="1307">
        <f>SUM(D17:D19)</f>
        <v>0</v>
      </c>
      <c r="E20" s="1307"/>
      <c r="F20" s="1308"/>
      <c r="G20" s="1305"/>
      <c r="H20" s="1312"/>
      <c r="I20" s="1313">
        <f>SUM(I17:I19)</f>
        <v>0</v>
      </c>
    </row>
    <row r="21" spans="1:13">
      <c r="A21" s="3244" t="s">
        <v>1109</v>
      </c>
      <c r="B21" s="3247"/>
      <c r="C21" s="3247"/>
      <c r="D21" s="3247"/>
      <c r="E21" s="3247"/>
      <c r="F21" s="3247"/>
      <c r="G21" s="3247"/>
      <c r="H21" s="1764">
        <v>0.1</v>
      </c>
      <c r="I21" s="1310">
        <f>ROUND(I10*H21,0)</f>
        <v>0</v>
      </c>
    </row>
    <row r="22" spans="1:13" ht="14.25">
      <c r="A22" s="3248" t="s">
        <v>1110</v>
      </c>
      <c r="B22" s="3249"/>
      <c r="C22" s="3250"/>
      <c r="D22" s="1317" t="s">
        <v>1111</v>
      </c>
      <c r="E22" s="1317" t="s">
        <v>1112</v>
      </c>
      <c r="F22" s="1318" t="s">
        <v>1113</v>
      </c>
      <c r="G22" s="1318" t="s">
        <v>1114</v>
      </c>
      <c r="H22" s="1311" t="s">
        <v>1115</v>
      </c>
      <c r="I22" s="1302" t="s">
        <v>1116</v>
      </c>
    </row>
    <row r="23" spans="1:13" ht="14.25" thickBot="1">
      <c r="A23" s="3251"/>
      <c r="B23" s="3252"/>
      <c r="C23" s="3253"/>
      <c r="D23" s="1319"/>
      <c r="E23" s="1319"/>
      <c r="F23" s="1319"/>
      <c r="G23" s="1320"/>
      <c r="H23" s="1321"/>
      <c r="I23" s="1322">
        <f>ROUND(E23*D23*F23*(1-G23)/10000,0)</f>
        <v>0</v>
      </c>
    </row>
    <row r="25" spans="1:13">
      <c r="F25">
        <f>ROUND(E26*10000/('数据-汇总表'!F19+'数据-汇总表'!F20)/365,2)</f>
        <v>3.63</v>
      </c>
    </row>
    <row r="26" spans="1:13">
      <c r="A26" s="1323" t="s">
        <v>1117</v>
      </c>
      <c r="B26" s="1323"/>
      <c r="C26" s="1323"/>
      <c r="D26" s="1323"/>
      <c r="E26" s="3241">
        <f>C27-C30-C31-C32</f>
        <v>7938.1499999999987</v>
      </c>
      <c r="F26" s="3241"/>
      <c r="G26" s="3241"/>
      <c r="H26" s="1736" t="s">
        <v>1341</v>
      </c>
      <c r="M26">
        <v>131925847.18000001</v>
      </c>
    </row>
    <row r="27" spans="1:13">
      <c r="A27" s="1324">
        <v>1</v>
      </c>
      <c r="B27" s="1325" t="s">
        <v>1118</v>
      </c>
      <c r="C27" s="1325">
        <f>M29</f>
        <v>14433</v>
      </c>
      <c r="D27" s="1325"/>
      <c r="E27" s="3242"/>
      <c r="F27" s="3242"/>
      <c r="G27" s="3242"/>
      <c r="M27">
        <v>156734882.27000001</v>
      </c>
    </row>
    <row r="28" spans="1:13">
      <c r="A28" s="1326" t="s">
        <v>1119</v>
      </c>
      <c r="B28" s="1325" t="s">
        <v>1120</v>
      </c>
      <c r="C28" s="1325"/>
      <c r="D28" s="1325"/>
      <c r="E28" s="3242"/>
      <c r="F28" s="3242"/>
      <c r="G28" s="3242"/>
      <c r="M28">
        <f>M27+M26</f>
        <v>288660729.45000005</v>
      </c>
    </row>
    <row r="29" spans="1:13">
      <c r="A29" s="1326" t="s">
        <v>1121</v>
      </c>
      <c r="B29" s="1325" t="s">
        <v>1122</v>
      </c>
      <c r="C29" s="1325"/>
      <c r="D29" s="1325"/>
      <c r="E29" s="1325" t="s">
        <v>1123</v>
      </c>
      <c r="F29" s="1325"/>
      <c r="G29" s="1325"/>
      <c r="M29">
        <f>ROUND(M28/2/10000,0)</f>
        <v>14433</v>
      </c>
    </row>
    <row r="30" spans="1:13">
      <c r="A30" s="1324">
        <v>2</v>
      </c>
      <c r="B30" s="1325" t="s">
        <v>1124</v>
      </c>
      <c r="C30" s="1325">
        <f>C27*D30</f>
        <v>2164.9499999999998</v>
      </c>
      <c r="D30" s="1327">
        <v>0.15</v>
      </c>
      <c r="E30" s="1325" t="s">
        <v>1125</v>
      </c>
      <c r="F30" s="1325"/>
      <c r="G30" s="1325"/>
    </row>
    <row r="31" spans="1:13">
      <c r="A31" s="1324">
        <v>3</v>
      </c>
      <c r="B31" s="1325" t="s">
        <v>1126</v>
      </c>
      <c r="C31" s="1325">
        <f>C27*D31</f>
        <v>2164.9499999999998</v>
      </c>
      <c r="D31" s="1327">
        <v>0.15</v>
      </c>
      <c r="E31" s="1325" t="s">
        <v>1127</v>
      </c>
      <c r="F31" s="1325"/>
      <c r="G31" s="1325"/>
    </row>
    <row r="32" spans="1:13">
      <c r="A32" s="1324">
        <v>4</v>
      </c>
      <c r="B32" s="1325" t="s">
        <v>1128</v>
      </c>
      <c r="C32" s="1325">
        <f>C27*D32</f>
        <v>2164.9499999999998</v>
      </c>
      <c r="D32" s="1327">
        <v>0.15</v>
      </c>
      <c r="E32" s="3243"/>
      <c r="F32" s="3243"/>
      <c r="G32" s="3243"/>
    </row>
    <row r="33" spans="1:7" hidden="1">
      <c r="A33" s="3238" t="s">
        <v>1129</v>
      </c>
      <c r="B33" s="3239"/>
      <c r="C33" s="3239"/>
      <c r="D33" s="3240"/>
      <c r="E33" s="3241"/>
      <c r="F33" s="3241"/>
      <c r="G33" s="3241"/>
    </row>
    <row r="34" spans="1:7" hidden="1">
      <c r="A34" s="1328">
        <v>1</v>
      </c>
      <c r="B34" s="1325" t="s">
        <v>1130</v>
      </c>
      <c r="C34" s="1325"/>
      <c r="D34" s="1325"/>
      <c r="E34" s="3242"/>
      <c r="F34" s="3242"/>
      <c r="G34" s="3242"/>
    </row>
    <row r="35" spans="1:7" hidden="1">
      <c r="A35" s="1328">
        <v>2</v>
      </c>
      <c r="B35" s="1325" t="s">
        <v>1131</v>
      </c>
      <c r="C35" s="1325"/>
      <c r="D35" s="1325"/>
      <c r="E35" s="3242"/>
      <c r="F35" s="3242"/>
      <c r="G35" s="3242"/>
    </row>
    <row r="36" spans="1:7" hidden="1">
      <c r="A36" s="1328">
        <v>3</v>
      </c>
      <c r="B36" s="1325" t="s">
        <v>1132</v>
      </c>
      <c r="C36" s="1325"/>
      <c r="D36" s="1325"/>
      <c r="E36" s="3242"/>
      <c r="F36" s="3242"/>
      <c r="G36" s="3242"/>
    </row>
    <row r="37" spans="1:7" hidden="1">
      <c r="A37" s="1328">
        <v>4</v>
      </c>
      <c r="B37" s="1325" t="s">
        <v>1133</v>
      </c>
      <c r="C37" s="1325"/>
      <c r="D37" s="1325"/>
      <c r="E37" s="3242"/>
      <c r="F37" s="3242"/>
      <c r="G37" s="3242"/>
    </row>
    <row r="38" spans="1:7" hidden="1">
      <c r="A38" s="3238" t="s">
        <v>1134</v>
      </c>
      <c r="B38" s="3239"/>
      <c r="C38" s="3239"/>
      <c r="D38" s="3240"/>
      <c r="E38" s="3241"/>
      <c r="F38" s="3241"/>
      <c r="G38" s="32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1395</v>
      </c>
      <c r="B2" s="1417" t="e">
        <f ca="1">IF(C2="——",ROUND(C49*D3/10000,0),ROUND(C49*D3/10000,0)-D2)</f>
        <v>#DIV/0!</v>
      </c>
      <c r="C2" s="2588"/>
      <c r="D2" s="1365" t="e">
        <f ca="1">SUMIF(INDIRECT("'"&amp;F2&amp;"'"&amp;"!A:A"),"承租人权益价值",INDIRECT("'"&amp;F2&amp;"'"&amp;"!c:c"))</f>
        <v>#REF!</v>
      </c>
      <c r="E2" s="2589" t="s">
        <v>2534</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2535</v>
      </c>
      <c r="D3" s="399">
        <f>IF(D1="",'数据-汇总表'!E3,SUMIF('数据-汇总表'!$C19:$C33,D1,'数据-汇总表'!$E19:$E33))</f>
        <v>116944.15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2536</v>
      </c>
      <c r="B4" s="402"/>
      <c r="C4" s="3178" t="s">
        <v>2537</v>
      </c>
      <c r="D4" s="3191"/>
      <c r="E4" s="3192" t="s">
        <v>2538</v>
      </c>
      <c r="F4" s="3193"/>
      <c r="G4" s="3178" t="s">
        <v>2539</v>
      </c>
      <c r="H4" s="3191"/>
      <c r="I4" s="3178" t="s">
        <v>2540</v>
      </c>
      <c r="J4" s="3191"/>
      <c r="K4" s="2598" t="s">
        <v>2541</v>
      </c>
      <c r="L4" s="1130"/>
      <c r="M4" s="1131"/>
      <c r="N4" s="1131"/>
      <c r="O4" s="1131"/>
      <c r="P4" s="3194" t="s">
        <v>2542</v>
      </c>
      <c r="Q4" s="3195"/>
      <c r="R4" s="3200" t="s">
        <v>2538</v>
      </c>
      <c r="S4" s="3201"/>
      <c r="T4" s="3200" t="s">
        <v>2539</v>
      </c>
      <c r="U4" s="3201"/>
      <c r="V4" s="3187" t="s">
        <v>2540</v>
      </c>
      <c r="W4" s="3187"/>
      <c r="X4" s="1812"/>
      <c r="Y4" s="3200" t="s">
        <v>2542</v>
      </c>
      <c r="Z4" s="3201"/>
      <c r="AA4" s="3188" t="s">
        <v>2538</v>
      </c>
      <c r="AB4" s="3188" t="s">
        <v>2539</v>
      </c>
      <c r="AC4" s="3188" t="s">
        <v>2540</v>
      </c>
    </row>
    <row r="5" spans="1:29" ht="15">
      <c r="A5" s="404"/>
      <c r="B5" s="405"/>
      <c r="C5" s="3208" t="s">
        <v>2543</v>
      </c>
      <c r="D5" s="3209"/>
      <c r="E5" s="3215" t="s">
        <v>2544</v>
      </c>
      <c r="F5" s="3216"/>
      <c r="G5" s="3208" t="s">
        <v>2545</v>
      </c>
      <c r="H5" s="3209"/>
      <c r="I5" s="3208" t="s">
        <v>2546</v>
      </c>
      <c r="J5" s="3209"/>
      <c r="K5" s="2599"/>
      <c r="L5" s="1130"/>
      <c r="M5" s="1131"/>
      <c r="N5" s="1131"/>
      <c r="O5" s="1131"/>
      <c r="P5" s="3196"/>
      <c r="Q5" s="3197"/>
      <c r="R5" s="3202"/>
      <c r="S5" s="3203"/>
      <c r="T5" s="3202"/>
      <c r="U5" s="3203"/>
      <c r="V5" s="3187"/>
      <c r="W5" s="3187"/>
      <c r="X5" s="1812"/>
      <c r="Y5" s="3202"/>
      <c r="Z5" s="3203"/>
      <c r="AA5" s="3189"/>
      <c r="AB5" s="3189"/>
      <c r="AC5" s="3189"/>
    </row>
    <row r="6" spans="1:29" ht="15.75" thickBot="1">
      <c r="A6" s="406"/>
      <c r="B6" s="407"/>
      <c r="C6" s="3206" t="s">
        <v>2547</v>
      </c>
      <c r="D6" s="3207"/>
      <c r="E6" s="3213" t="s">
        <v>2547</v>
      </c>
      <c r="F6" s="3214"/>
      <c r="G6" s="3206" t="s">
        <v>2547</v>
      </c>
      <c r="H6" s="3207"/>
      <c r="I6" s="3206" t="s">
        <v>2547</v>
      </c>
      <c r="J6" s="3207"/>
      <c r="K6" s="2599" t="s">
        <v>2548</v>
      </c>
      <c r="L6" s="1130"/>
      <c r="M6" s="1131"/>
      <c r="N6" s="1131"/>
      <c r="O6" s="1131"/>
      <c r="P6" s="3198"/>
      <c r="Q6" s="3199"/>
      <c r="R6" s="3202"/>
      <c r="S6" s="3203"/>
      <c r="T6" s="3204"/>
      <c r="U6" s="3205"/>
      <c r="V6" s="3187"/>
      <c r="W6" s="3187"/>
      <c r="X6" s="1812"/>
      <c r="Y6" s="3204"/>
      <c r="Z6" s="3205"/>
      <c r="AA6" s="3190"/>
      <c r="AB6" s="3190"/>
      <c r="AC6" s="3190"/>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10" t="s">
        <v>2550</v>
      </c>
      <c r="Q7" s="3212"/>
      <c r="R7" s="770" t="s">
        <v>23</v>
      </c>
      <c r="S7" s="771">
        <f t="shared" ref="S7:S15" si="0">F7</f>
        <v>0</v>
      </c>
      <c r="T7" s="770" t="s">
        <v>23</v>
      </c>
      <c r="U7" s="771">
        <f t="shared" ref="U7:U15" si="1">H7</f>
        <v>0</v>
      </c>
      <c r="V7" s="770" t="s">
        <v>23</v>
      </c>
      <c r="W7" s="771">
        <f t="shared" ref="W7:W15" si="2">J7</f>
        <v>0</v>
      </c>
      <c r="X7" s="772"/>
      <c r="Y7" s="3210" t="s">
        <v>2550</v>
      </c>
      <c r="Z7" s="3211"/>
      <c r="AA7" s="773" t="e">
        <f>D7/F7</f>
        <v>#DIV/0!</v>
      </c>
      <c r="AB7" s="773" t="e">
        <f>D7/H7</f>
        <v>#DIV/0!</v>
      </c>
      <c r="AC7" s="773" t="e">
        <f>D7/J7</f>
        <v>#DIV/0!</v>
      </c>
    </row>
    <row r="8" spans="1:29" s="116"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10" t="s">
        <v>2553</v>
      </c>
      <c r="Q8" s="3211"/>
      <c r="R8" s="770" t="s">
        <v>23</v>
      </c>
      <c r="S8" s="771">
        <f t="shared" si="0"/>
        <v>0</v>
      </c>
      <c r="T8" s="770" t="s">
        <v>23</v>
      </c>
      <c r="U8" s="771">
        <f t="shared" si="1"/>
        <v>0</v>
      </c>
      <c r="V8" s="770" t="s">
        <v>23</v>
      </c>
      <c r="W8" s="771">
        <f t="shared" si="2"/>
        <v>0</v>
      </c>
      <c r="X8" s="772"/>
      <c r="Y8" s="3210" t="s">
        <v>2553</v>
      </c>
      <c r="Z8" s="3211"/>
      <c r="AA8" s="773" t="e">
        <f t="shared" ref="AA8:AA19" si="3">D8/F8</f>
        <v>#DIV/0!</v>
      </c>
      <c r="AB8" s="773" t="e">
        <f t="shared" ref="AB8:AB19" si="4">D8/H8</f>
        <v>#DIV/0!</v>
      </c>
      <c r="AC8" s="773" t="e">
        <f t="shared" ref="AC8:AC19" si="5">D8/J8</f>
        <v>#DIV/0!</v>
      </c>
    </row>
    <row r="9" spans="1:29" s="116" customFormat="1">
      <c r="A9" s="415" t="s">
        <v>2554</v>
      </c>
      <c r="B9" s="70" t="s">
        <v>2555</v>
      </c>
      <c r="C9" s="416"/>
      <c r="D9" s="134">
        <v>100</v>
      </c>
      <c r="E9" s="417"/>
      <c r="F9" s="418">
        <f>SUMIF(63:63,E9,64:64)-SUMIF(63:63,C9,64:64)+100</f>
        <v>100</v>
      </c>
      <c r="G9" s="419"/>
      <c r="H9" s="134">
        <f>SUMIF(63:63,G9,64:64)-SUMIF(63:63,C9,64:64)+100</f>
        <v>100</v>
      </c>
      <c r="I9" s="419"/>
      <c r="J9" s="134">
        <f>SUMIF(63:63,I9,64:64)-SUMIF(63:63,C9,64:64)+100</f>
        <v>100</v>
      </c>
      <c r="K9" s="2600"/>
      <c r="L9" s="1132"/>
      <c r="M9" s="1133"/>
      <c r="N9" s="1133"/>
      <c r="O9" s="1133"/>
      <c r="P9" s="3180" t="s">
        <v>2556</v>
      </c>
      <c r="Q9" s="1794" t="str">
        <f t="shared" ref="Q9:Q15" si="6">B9</f>
        <v>用途</v>
      </c>
      <c r="R9" s="770" t="s">
        <v>17</v>
      </c>
      <c r="S9" s="771">
        <f t="shared" si="0"/>
        <v>100</v>
      </c>
      <c r="T9" s="770" t="s">
        <v>17</v>
      </c>
      <c r="U9" s="771">
        <f t="shared" si="1"/>
        <v>100</v>
      </c>
      <c r="V9" s="770" t="s">
        <v>17</v>
      </c>
      <c r="W9" s="771">
        <f t="shared" si="2"/>
        <v>100</v>
      </c>
      <c r="X9" s="772"/>
      <c r="Y9" s="3029"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426"/>
      <c r="L10" s="1135"/>
      <c r="M10" s="1136"/>
      <c r="N10" s="1136"/>
      <c r="O10" s="1136"/>
      <c r="P10" s="3180"/>
      <c r="Q10" s="1794" t="str">
        <f t="shared" si="6"/>
        <v>土地使用年限（年）</v>
      </c>
      <c r="R10" s="770" t="s">
        <v>17</v>
      </c>
      <c r="S10" s="771">
        <f t="shared" si="0"/>
        <v>100</v>
      </c>
      <c r="T10" s="770" t="s">
        <v>17</v>
      </c>
      <c r="U10" s="771">
        <f t="shared" si="1"/>
        <v>100</v>
      </c>
      <c r="V10" s="770" t="s">
        <v>17</v>
      </c>
      <c r="W10" s="771">
        <f t="shared" si="2"/>
        <v>100</v>
      </c>
      <c r="X10" s="772"/>
      <c r="Y10" s="3029"/>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8"/>
      <c r="M11" s="1131"/>
      <c r="N11" s="1131"/>
      <c r="O11" s="1131"/>
      <c r="P11" s="3180"/>
      <c r="Q11" s="1794" t="str">
        <f t="shared" si="6"/>
        <v>容积率</v>
      </c>
      <c r="R11" s="770" t="s">
        <v>21</v>
      </c>
      <c r="S11" s="771" t="e">
        <f t="shared" si="0"/>
        <v>#N/A</v>
      </c>
      <c r="T11" s="770" t="s">
        <v>21</v>
      </c>
      <c r="U11" s="771" t="e">
        <f t="shared" si="1"/>
        <v>#N/A</v>
      </c>
      <c r="V11" s="770" t="s">
        <v>21</v>
      </c>
      <c r="W11" s="771" t="e">
        <f t="shared" si="2"/>
        <v>#N/A</v>
      </c>
      <c r="X11" s="772"/>
      <c r="Y11" s="3029"/>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2"/>
      <c r="M12" s="1133"/>
      <c r="N12" s="1133"/>
      <c r="O12" s="1133"/>
      <c r="P12" s="3180"/>
      <c r="Q12" s="1794">
        <f t="shared" si="6"/>
        <v>111</v>
      </c>
      <c r="R12" s="770" t="s">
        <v>21</v>
      </c>
      <c r="S12" s="771">
        <f t="shared" si="0"/>
        <v>100</v>
      </c>
      <c r="T12" s="770" t="s">
        <v>21</v>
      </c>
      <c r="U12" s="771">
        <f t="shared" si="1"/>
        <v>100</v>
      </c>
      <c r="V12" s="770" t="s">
        <v>21</v>
      </c>
      <c r="W12" s="771">
        <f t="shared" si="2"/>
        <v>100</v>
      </c>
      <c r="X12" s="772"/>
      <c r="Y12" s="3029"/>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80"/>
      <c r="Q13" s="1794">
        <f t="shared" si="6"/>
        <v>111</v>
      </c>
      <c r="R13" s="770" t="s">
        <v>21</v>
      </c>
      <c r="S13" s="771">
        <f t="shared" si="0"/>
        <v>100</v>
      </c>
      <c r="T13" s="770" t="s">
        <v>21</v>
      </c>
      <c r="U13" s="771">
        <f t="shared" si="1"/>
        <v>100</v>
      </c>
      <c r="V13" s="770" t="s">
        <v>21</v>
      </c>
      <c r="W13" s="771">
        <f t="shared" si="2"/>
        <v>100</v>
      </c>
      <c r="X13" s="772"/>
      <c r="Y13" s="3029"/>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80"/>
      <c r="Q14" s="1794">
        <f t="shared" si="6"/>
        <v>111</v>
      </c>
      <c r="R14" s="770" t="s">
        <v>21</v>
      </c>
      <c r="S14" s="771">
        <f t="shared" si="0"/>
        <v>100</v>
      </c>
      <c r="T14" s="770" t="s">
        <v>21</v>
      </c>
      <c r="U14" s="771">
        <f t="shared" si="1"/>
        <v>100</v>
      </c>
      <c r="V14" s="770" t="s">
        <v>21</v>
      </c>
      <c r="W14" s="771">
        <f t="shared" si="2"/>
        <v>100</v>
      </c>
      <c r="X14" s="772"/>
      <c r="Y14" s="3029"/>
      <c r="Z14" s="54">
        <f t="shared" si="7"/>
        <v>111</v>
      </c>
      <c r="AA14" s="773">
        <f t="shared" si="3"/>
        <v>1</v>
      </c>
      <c r="AB14" s="773">
        <f t="shared" si="4"/>
        <v>1</v>
      </c>
      <c r="AC14" s="773">
        <f t="shared" si="5"/>
        <v>1</v>
      </c>
    </row>
    <row r="15" spans="1:29" ht="15">
      <c r="A15" s="440" t="s">
        <v>2560</v>
      </c>
      <c r="B15" s="68" t="s">
        <v>2091</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5" t="s">
        <v>2561</v>
      </c>
      <c r="Q15" s="1809" t="str">
        <f t="shared" si="6"/>
        <v>居住社区成熟度</v>
      </c>
      <c r="R15" s="774" t="s">
        <v>21</v>
      </c>
      <c r="S15" s="775">
        <f t="shared" si="0"/>
        <v>100</v>
      </c>
      <c r="T15" s="774" t="s">
        <v>21</v>
      </c>
      <c r="U15" s="775">
        <f t="shared" si="1"/>
        <v>100</v>
      </c>
      <c r="V15" s="774" t="s">
        <v>21</v>
      </c>
      <c r="W15" s="775">
        <f t="shared" si="2"/>
        <v>100</v>
      </c>
      <c r="X15" s="1812"/>
      <c r="Y15" s="3183"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66"/>
      <c r="Q16" s="1809"/>
      <c r="R16" s="774"/>
      <c r="S16" s="775"/>
      <c r="T16" s="774"/>
      <c r="U16" s="775"/>
      <c r="V16" s="774"/>
      <c r="W16" s="775"/>
      <c r="X16" s="1812"/>
      <c r="Y16" s="3184"/>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6"/>
      <c r="Q17" s="1809" t="str">
        <f>B17</f>
        <v>交通便捷度</v>
      </c>
      <c r="R17" s="774" t="s">
        <v>21</v>
      </c>
      <c r="S17" s="775">
        <f>F17</f>
        <v>100</v>
      </c>
      <c r="T17" s="774" t="s">
        <v>21</v>
      </c>
      <c r="U17" s="775">
        <f>H17</f>
        <v>100</v>
      </c>
      <c r="V17" s="774" t="s">
        <v>21</v>
      </c>
      <c r="W17" s="775">
        <f>J17</f>
        <v>100</v>
      </c>
      <c r="X17" s="1812"/>
      <c r="Y17" s="3184"/>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66"/>
      <c r="Q18" s="1809"/>
      <c r="R18" s="774"/>
      <c r="S18" s="775"/>
      <c r="T18" s="774"/>
      <c r="U18" s="775"/>
      <c r="V18" s="774"/>
      <c r="W18" s="775"/>
      <c r="X18" s="1812"/>
      <c r="Y18" s="3184"/>
      <c r="Z18" s="1813"/>
      <c r="AA18" s="1810">
        <v>1</v>
      </c>
      <c r="AB18" s="1810">
        <v>1</v>
      </c>
      <c r="AC18" s="1810">
        <v>1</v>
      </c>
    </row>
    <row r="19" spans="1:29" ht="128.25">
      <c r="A19" s="428"/>
      <c r="B19" s="451" t="s">
        <v>2098</v>
      </c>
      <c r="C19" s="2609" t="str">
        <f>估价对象房地状况!C7</f>
        <v>估价对象所在区域公共配套设施较齐备，有购物（麒麟商业中心）、有医院（武清区徐官屯医院）、有银行（天津农村商业银行）</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6"/>
      <c r="Q19" s="1809" t="str">
        <f>B19</f>
        <v>公共配套设施</v>
      </c>
      <c r="R19" s="774" t="s">
        <v>21</v>
      </c>
      <c r="S19" s="775">
        <f>F19</f>
        <v>100</v>
      </c>
      <c r="T19" s="774" t="s">
        <v>21</v>
      </c>
      <c r="U19" s="775">
        <f>H19</f>
        <v>100</v>
      </c>
      <c r="V19" s="774" t="s">
        <v>21</v>
      </c>
      <c r="W19" s="775">
        <f>J19</f>
        <v>100</v>
      </c>
      <c r="X19" s="1812"/>
      <c r="Y19" s="3184"/>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66"/>
      <c r="Q20" s="1809"/>
      <c r="R20" s="774"/>
      <c r="S20" s="775"/>
      <c r="T20" s="774"/>
      <c r="U20" s="775"/>
      <c r="V20" s="774"/>
      <c r="W20" s="775"/>
      <c r="X20" s="1812"/>
      <c r="Y20" s="3184"/>
      <c r="Z20" s="1813"/>
      <c r="AA20" s="1810">
        <v>1</v>
      </c>
      <c r="AB20" s="1810">
        <v>1</v>
      </c>
      <c r="AC20" s="1810">
        <v>1</v>
      </c>
    </row>
    <row r="21" spans="1:29" ht="42.75">
      <c r="A21" s="428"/>
      <c r="B21" s="1384" t="s">
        <v>2101</v>
      </c>
      <c r="C21" s="2609"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6"/>
      <c r="Q21" s="1809" t="str">
        <f>B21</f>
        <v>基础设施水平</v>
      </c>
      <c r="R21" s="774" t="s">
        <v>17</v>
      </c>
      <c r="S21" s="775">
        <f>F21</f>
        <v>100</v>
      </c>
      <c r="T21" s="774" t="s">
        <v>17</v>
      </c>
      <c r="U21" s="775">
        <f>H21</f>
        <v>100</v>
      </c>
      <c r="V21" s="774" t="s">
        <v>17</v>
      </c>
      <c r="W21" s="775">
        <f>J21</f>
        <v>100</v>
      </c>
      <c r="X21" s="1812"/>
      <c r="Y21" s="3184"/>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66"/>
      <c r="Q22" s="1809"/>
      <c r="R22" s="774"/>
      <c r="S22" s="775"/>
      <c r="T22" s="774"/>
      <c r="U22" s="775"/>
      <c r="V22" s="774"/>
      <c r="W22" s="775"/>
      <c r="X22" s="1812"/>
      <c r="Y22" s="3184"/>
      <c r="Z22" s="1813"/>
      <c r="AA22" s="1810">
        <v>1</v>
      </c>
      <c r="AB22" s="1810">
        <v>1</v>
      </c>
      <c r="AC22" s="1810">
        <v>1</v>
      </c>
    </row>
    <row r="23" spans="1:29" ht="71.25">
      <c r="A23" s="428"/>
      <c r="B23" s="451" t="s">
        <v>2105</v>
      </c>
      <c r="C23" s="2609" t="str">
        <f>估价对象房地状况!C9</f>
        <v>区域自然环境：水系：京杭运河；人文环境；综合评价环境状况一般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6"/>
      <c r="Q23" s="1809" t="str">
        <f>B23</f>
        <v>自然及人文环境</v>
      </c>
      <c r="R23" s="774" t="s">
        <v>21</v>
      </c>
      <c r="S23" s="775">
        <f>F23</f>
        <v>100</v>
      </c>
      <c r="T23" s="774" t="s">
        <v>21</v>
      </c>
      <c r="U23" s="775">
        <f>H23</f>
        <v>100</v>
      </c>
      <c r="V23" s="774" t="s">
        <v>21</v>
      </c>
      <c r="W23" s="775">
        <f>J23</f>
        <v>100</v>
      </c>
      <c r="X23" s="1812"/>
      <c r="Y23" s="3184"/>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66"/>
      <c r="Q24" s="1809"/>
      <c r="R24" s="774"/>
      <c r="S24" s="775"/>
      <c r="T24" s="774"/>
      <c r="U24" s="775"/>
      <c r="V24" s="774"/>
      <c r="W24" s="775"/>
      <c r="X24" s="1812"/>
      <c r="Y24" s="3184"/>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66"/>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4"/>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66"/>
      <c r="Q26" s="1809" t="str">
        <f t="shared" si="11"/>
        <v>朝向</v>
      </c>
      <c r="R26" s="774" t="s">
        <v>21</v>
      </c>
      <c r="S26" s="775">
        <f t="shared" si="12"/>
        <v>100</v>
      </c>
      <c r="T26" s="774" t="s">
        <v>21</v>
      </c>
      <c r="U26" s="775">
        <f t="shared" si="13"/>
        <v>100</v>
      </c>
      <c r="V26" s="774" t="s">
        <v>21</v>
      </c>
      <c r="W26" s="775">
        <f t="shared" si="14"/>
        <v>100</v>
      </c>
      <c r="X26" s="1812"/>
      <c r="Y26" s="3184"/>
      <c r="Z26" s="1813" t="str">
        <f>Q26</f>
        <v>朝向</v>
      </c>
      <c r="AA26" s="1810">
        <f t="shared" si="15"/>
        <v>1</v>
      </c>
      <c r="AB26" s="1810">
        <f t="shared" si="16"/>
        <v>1</v>
      </c>
      <c r="AC26" s="1810">
        <f t="shared" si="17"/>
        <v>1</v>
      </c>
    </row>
    <row r="27" spans="1:29" s="116"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66"/>
      <c r="Q27" s="1794">
        <f t="shared" si="11"/>
        <v>111</v>
      </c>
      <c r="R27" s="770" t="s">
        <v>21</v>
      </c>
      <c r="S27" s="771">
        <f t="shared" si="12"/>
        <v>100</v>
      </c>
      <c r="T27" s="770" t="s">
        <v>21</v>
      </c>
      <c r="U27" s="771">
        <f t="shared" si="13"/>
        <v>100</v>
      </c>
      <c r="V27" s="770" t="s">
        <v>21</v>
      </c>
      <c r="W27" s="771">
        <f t="shared" si="14"/>
        <v>100</v>
      </c>
      <c r="X27" s="772"/>
      <c r="Y27" s="3184"/>
      <c r="Z27" s="54">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66"/>
      <c r="Q28" s="1809">
        <f t="shared" si="11"/>
        <v>111</v>
      </c>
      <c r="R28" s="774" t="s">
        <v>21</v>
      </c>
      <c r="S28" s="775">
        <f t="shared" si="12"/>
        <v>100</v>
      </c>
      <c r="T28" s="774" t="s">
        <v>21</v>
      </c>
      <c r="U28" s="775">
        <f t="shared" si="13"/>
        <v>100</v>
      </c>
      <c r="V28" s="774" t="s">
        <v>21</v>
      </c>
      <c r="W28" s="775">
        <f t="shared" si="14"/>
        <v>100</v>
      </c>
      <c r="X28" s="1812"/>
      <c r="Y28" s="3184"/>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66"/>
      <c r="Q29" s="1809">
        <f t="shared" si="11"/>
        <v>111</v>
      </c>
      <c r="R29" s="774" t="s">
        <v>21</v>
      </c>
      <c r="S29" s="775">
        <f t="shared" si="12"/>
        <v>100</v>
      </c>
      <c r="T29" s="774" t="s">
        <v>21</v>
      </c>
      <c r="U29" s="775">
        <f t="shared" si="13"/>
        <v>100</v>
      </c>
      <c r="V29" s="774" t="s">
        <v>21</v>
      </c>
      <c r="W29" s="775">
        <f t="shared" si="14"/>
        <v>100</v>
      </c>
      <c r="X29" s="1812"/>
      <c r="Y29" s="3184"/>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66"/>
      <c r="Q30" s="1809">
        <f t="shared" si="11"/>
        <v>111</v>
      </c>
      <c r="R30" s="774" t="s">
        <v>21</v>
      </c>
      <c r="S30" s="775">
        <f t="shared" si="12"/>
        <v>100</v>
      </c>
      <c r="T30" s="774" t="s">
        <v>21</v>
      </c>
      <c r="U30" s="775">
        <f t="shared" si="13"/>
        <v>100</v>
      </c>
      <c r="V30" s="774" t="s">
        <v>21</v>
      </c>
      <c r="W30" s="775">
        <f t="shared" si="14"/>
        <v>100</v>
      </c>
      <c r="X30" s="1812"/>
      <c r="Y30" s="3184"/>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66"/>
      <c r="Q31" s="1809">
        <f t="shared" si="11"/>
        <v>111</v>
      </c>
      <c r="R31" s="774" t="s">
        <v>21</v>
      </c>
      <c r="S31" s="775">
        <f t="shared" si="12"/>
        <v>100</v>
      </c>
      <c r="T31" s="774" t="s">
        <v>21</v>
      </c>
      <c r="U31" s="775">
        <f t="shared" si="13"/>
        <v>100</v>
      </c>
      <c r="V31" s="774" t="s">
        <v>21</v>
      </c>
      <c r="W31" s="775">
        <f t="shared" si="14"/>
        <v>100</v>
      </c>
      <c r="X31" s="1812"/>
      <c r="Y31" s="3184"/>
      <c r="Z31" s="1813">
        <f t="shared" si="18"/>
        <v>111</v>
      </c>
      <c r="AA31" s="1810">
        <f t="shared" si="15"/>
        <v>1</v>
      </c>
      <c r="AB31" s="1810">
        <f t="shared" si="16"/>
        <v>1</v>
      </c>
      <c r="AC31" s="1810">
        <f t="shared" si="17"/>
        <v>1</v>
      </c>
    </row>
    <row r="32" spans="1:29" ht="15">
      <c r="A32" s="440" t="s">
        <v>2564</v>
      </c>
      <c r="B32" s="70"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61" t="s">
        <v>2566</v>
      </c>
      <c r="Q32" s="1809" t="str">
        <f t="shared" si="11"/>
        <v>建筑类型</v>
      </c>
      <c r="R32" s="774" t="s">
        <v>21</v>
      </c>
      <c r="S32" s="775">
        <f t="shared" si="12"/>
        <v>100</v>
      </c>
      <c r="T32" s="774" t="s">
        <v>21</v>
      </c>
      <c r="U32" s="775">
        <f t="shared" si="13"/>
        <v>100</v>
      </c>
      <c r="V32" s="774" t="s">
        <v>21</v>
      </c>
      <c r="W32" s="775">
        <f t="shared" si="14"/>
        <v>100</v>
      </c>
      <c r="X32" s="1812"/>
      <c r="Y32" s="3186" t="s">
        <v>2566</v>
      </c>
      <c r="Z32" s="1813" t="str">
        <f t="shared" si="18"/>
        <v>建筑类型</v>
      </c>
      <c r="AA32" s="1810">
        <f t="shared" si="15"/>
        <v>1</v>
      </c>
      <c r="AB32" s="1810">
        <f t="shared" si="16"/>
        <v>1</v>
      </c>
      <c r="AC32" s="1810">
        <f t="shared" si="17"/>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38"/>
      <c r="M33" s="1141"/>
      <c r="N33" s="1141"/>
      <c r="O33" s="1141"/>
      <c r="P33" s="3262"/>
      <c r="Q33" s="776" t="str">
        <f t="shared" si="11"/>
        <v>项目建筑规模</v>
      </c>
      <c r="R33" s="777" t="s">
        <v>21</v>
      </c>
      <c r="S33" s="778" t="e">
        <f t="shared" si="12"/>
        <v>#N/A</v>
      </c>
      <c r="T33" s="777" t="s">
        <v>21</v>
      </c>
      <c r="U33" s="778" t="e">
        <f t="shared" si="13"/>
        <v>#N/A</v>
      </c>
      <c r="V33" s="777" t="s">
        <v>21</v>
      </c>
      <c r="W33" s="778" t="e">
        <f t="shared" si="14"/>
        <v>#N/A</v>
      </c>
      <c r="X33" s="779"/>
      <c r="Y33" s="3186"/>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62"/>
      <c r="Q34" s="1809" t="str">
        <f t="shared" si="11"/>
        <v>建筑结构</v>
      </c>
      <c r="R34" s="774" t="s">
        <v>21</v>
      </c>
      <c r="S34" s="775">
        <f t="shared" si="12"/>
        <v>100</v>
      </c>
      <c r="T34" s="774" t="s">
        <v>21</v>
      </c>
      <c r="U34" s="775">
        <f t="shared" si="13"/>
        <v>100</v>
      </c>
      <c r="V34" s="774" t="s">
        <v>21</v>
      </c>
      <c r="W34" s="775">
        <f t="shared" si="14"/>
        <v>100</v>
      </c>
      <c r="X34" s="1812"/>
      <c r="Y34" s="3186"/>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62"/>
      <c r="Q35" s="1809" t="str">
        <f t="shared" si="11"/>
        <v>建筑品质</v>
      </c>
      <c r="R35" s="774" t="s">
        <v>21</v>
      </c>
      <c r="S35" s="775">
        <f t="shared" si="12"/>
        <v>100</v>
      </c>
      <c r="T35" s="774" t="s">
        <v>21</v>
      </c>
      <c r="U35" s="775">
        <f t="shared" si="13"/>
        <v>100</v>
      </c>
      <c r="V35" s="774" t="s">
        <v>21</v>
      </c>
      <c r="W35" s="775">
        <f t="shared" si="14"/>
        <v>100</v>
      </c>
      <c r="X35" s="1812"/>
      <c r="Y35" s="3186"/>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62"/>
      <c r="Q36" s="1809" t="str">
        <f t="shared" si="11"/>
        <v>公共部分装修</v>
      </c>
      <c r="R36" s="774" t="s">
        <v>21</v>
      </c>
      <c r="S36" s="775">
        <f t="shared" si="12"/>
        <v>100</v>
      </c>
      <c r="T36" s="774" t="s">
        <v>21</v>
      </c>
      <c r="U36" s="775">
        <f t="shared" si="13"/>
        <v>100</v>
      </c>
      <c r="V36" s="774" t="s">
        <v>21</v>
      </c>
      <c r="W36" s="775">
        <f t="shared" si="14"/>
        <v>100</v>
      </c>
      <c r="X36" s="1812"/>
      <c r="Y36" s="3186"/>
      <c r="Z36" s="1813" t="str">
        <f t="shared" si="18"/>
        <v>公共部分装修</v>
      </c>
      <c r="AA36" s="1810">
        <f t="shared" si="15"/>
        <v>1</v>
      </c>
      <c r="AB36" s="1810">
        <f t="shared" si="16"/>
        <v>1</v>
      </c>
      <c r="AC36" s="1810">
        <f t="shared" si="17"/>
        <v>1</v>
      </c>
    </row>
    <row r="37" spans="1:29" s="116" customFormat="1" ht="15">
      <c r="A37" s="473"/>
      <c r="B37" s="422" t="s">
        <v>2571</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2"/>
      <c r="M37" s="1133"/>
      <c r="N37" s="1133"/>
      <c r="O37" s="1133"/>
      <c r="P37" s="3262"/>
      <c r="Q37" s="1794" t="str">
        <f t="shared" si="11"/>
        <v>成新度</v>
      </c>
      <c r="R37" s="770" t="s">
        <v>21</v>
      </c>
      <c r="S37" s="771" t="e">
        <f t="shared" si="12"/>
        <v>#N/A</v>
      </c>
      <c r="T37" s="770" t="s">
        <v>21</v>
      </c>
      <c r="U37" s="771" t="e">
        <f t="shared" si="13"/>
        <v>#N/A</v>
      </c>
      <c r="V37" s="770" t="s">
        <v>21</v>
      </c>
      <c r="W37" s="771" t="e">
        <f t="shared" si="14"/>
        <v>#N/A</v>
      </c>
      <c r="X37" s="772"/>
      <c r="Y37" s="3186"/>
      <c r="Z37" s="54"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62" t="s">
        <v>2566</v>
      </c>
      <c r="Q38" s="1809" t="str">
        <f t="shared" si="11"/>
        <v>物业管理</v>
      </c>
      <c r="R38" s="774" t="s">
        <v>21</v>
      </c>
      <c r="S38" s="775">
        <f t="shared" si="12"/>
        <v>100</v>
      </c>
      <c r="T38" s="774" t="s">
        <v>21</v>
      </c>
      <c r="U38" s="775">
        <f t="shared" si="13"/>
        <v>100</v>
      </c>
      <c r="V38" s="774" t="s">
        <v>21</v>
      </c>
      <c r="W38" s="775">
        <f t="shared" si="14"/>
        <v>100</v>
      </c>
      <c r="X38" s="1812"/>
      <c r="Y38" s="3186"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62"/>
      <c r="Q39" s="1809" t="str">
        <f t="shared" si="11"/>
        <v>市政基础设施</v>
      </c>
      <c r="R39" s="774" t="s">
        <v>21</v>
      </c>
      <c r="S39" s="775">
        <f t="shared" si="12"/>
        <v>100</v>
      </c>
      <c r="T39" s="774" t="s">
        <v>21</v>
      </c>
      <c r="U39" s="775">
        <f t="shared" si="13"/>
        <v>100</v>
      </c>
      <c r="V39" s="774" t="s">
        <v>21</v>
      </c>
      <c r="W39" s="775">
        <f t="shared" si="14"/>
        <v>100</v>
      </c>
      <c r="X39" s="1812"/>
      <c r="Y39" s="3186"/>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62"/>
      <c r="Q40" s="1809" t="str">
        <f t="shared" si="11"/>
        <v>房型</v>
      </c>
      <c r="R40" s="774" t="s">
        <v>21</v>
      </c>
      <c r="S40" s="775">
        <f t="shared" si="12"/>
        <v>100</v>
      </c>
      <c r="T40" s="774" t="s">
        <v>21</v>
      </c>
      <c r="U40" s="775">
        <f t="shared" si="13"/>
        <v>100</v>
      </c>
      <c r="V40" s="774" t="s">
        <v>21</v>
      </c>
      <c r="W40" s="775">
        <f t="shared" si="14"/>
        <v>100</v>
      </c>
      <c r="X40" s="1812"/>
      <c r="Y40" s="3186"/>
      <c r="Z40" s="1813" t="str">
        <f t="shared" si="18"/>
        <v>房型</v>
      </c>
      <c r="AA40" s="1810">
        <f t="shared" si="15"/>
        <v>1</v>
      </c>
      <c r="AB40" s="1810">
        <f t="shared" si="16"/>
        <v>1</v>
      </c>
      <c r="AC40" s="1810">
        <f t="shared" si="17"/>
        <v>1</v>
      </c>
    </row>
    <row r="41" spans="1:29" s="471" customFormat="1" ht="28.5">
      <c r="A41" s="468"/>
      <c r="B41" s="422" t="s">
        <v>2575</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38"/>
      <c r="M41" s="1141"/>
      <c r="N41" s="1141"/>
      <c r="O41" s="1141"/>
      <c r="P41" s="3262"/>
      <c r="Q41" s="776" t="str">
        <f t="shared" si="11"/>
        <v>单套/主力户型建筑面积</v>
      </c>
      <c r="R41" s="777" t="s">
        <v>21</v>
      </c>
      <c r="S41" s="778">
        <f t="shared" si="12"/>
        <v>100</v>
      </c>
      <c r="T41" s="777" t="s">
        <v>21</v>
      </c>
      <c r="U41" s="778">
        <f t="shared" si="13"/>
        <v>100</v>
      </c>
      <c r="V41" s="777" t="s">
        <v>21</v>
      </c>
      <c r="W41" s="778">
        <f t="shared" si="14"/>
        <v>100</v>
      </c>
      <c r="X41" s="779"/>
      <c r="Y41" s="3186"/>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62"/>
      <c r="Q42" s="1809" t="str">
        <f t="shared" si="11"/>
        <v>内部装修</v>
      </c>
      <c r="R42" s="774" t="s">
        <v>21</v>
      </c>
      <c r="S42" s="775">
        <f t="shared" si="12"/>
        <v>100</v>
      </c>
      <c r="T42" s="774" t="s">
        <v>21</v>
      </c>
      <c r="U42" s="775">
        <f t="shared" si="13"/>
        <v>100</v>
      </c>
      <c r="V42" s="774" t="s">
        <v>21</v>
      </c>
      <c r="W42" s="775">
        <f t="shared" si="14"/>
        <v>100</v>
      </c>
      <c r="X42" s="1812"/>
      <c r="Y42" s="3186"/>
      <c r="Z42" s="1813" t="str">
        <f t="shared" si="18"/>
        <v>内部装修</v>
      </c>
      <c r="AA42" s="1810">
        <f t="shared" si="15"/>
        <v>1</v>
      </c>
      <c r="AB42" s="1810">
        <f t="shared" si="16"/>
        <v>1</v>
      </c>
      <c r="AC42" s="1810">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62"/>
      <c r="Q43" s="1809" t="str">
        <f t="shared" si="11"/>
        <v>内部装修维护情况</v>
      </c>
      <c r="R43" s="774" t="s">
        <v>21</v>
      </c>
      <c r="S43" s="775">
        <f t="shared" si="12"/>
        <v>100</v>
      </c>
      <c r="T43" s="774" t="s">
        <v>21</v>
      </c>
      <c r="U43" s="775">
        <f t="shared" si="13"/>
        <v>100</v>
      </c>
      <c r="V43" s="774" t="s">
        <v>21</v>
      </c>
      <c r="W43" s="775">
        <f t="shared" si="14"/>
        <v>100</v>
      </c>
      <c r="X43" s="1812"/>
      <c r="Y43" s="3186"/>
      <c r="Z43" s="1813" t="str">
        <f t="shared" si="18"/>
        <v>内部装修维护情况</v>
      </c>
      <c r="AA43" s="1810">
        <f t="shared" si="15"/>
        <v>1</v>
      </c>
      <c r="AB43" s="1810">
        <f t="shared" si="16"/>
        <v>1</v>
      </c>
      <c r="AC43" s="1810">
        <f t="shared" si="17"/>
        <v>1</v>
      </c>
    </row>
    <row r="44" spans="1:29" s="116" customFormat="1" ht="15">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2"/>
      <c r="M44" s="1133"/>
      <c r="N44" s="1133"/>
      <c r="O44" s="1133"/>
      <c r="P44" s="3262"/>
      <c r="Q44" s="1794">
        <f t="shared" si="11"/>
        <v>111</v>
      </c>
      <c r="R44" s="770" t="s">
        <v>21</v>
      </c>
      <c r="S44" s="771">
        <f t="shared" si="12"/>
        <v>100</v>
      </c>
      <c r="T44" s="770" t="s">
        <v>21</v>
      </c>
      <c r="U44" s="771">
        <f t="shared" si="13"/>
        <v>100</v>
      </c>
      <c r="V44" s="770" t="s">
        <v>21</v>
      </c>
      <c r="W44" s="771">
        <f t="shared" si="14"/>
        <v>100</v>
      </c>
      <c r="X44" s="772"/>
      <c r="Y44" s="3186"/>
      <c r="Z44" s="54">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62"/>
      <c r="Q45" s="1809">
        <f t="shared" si="11"/>
        <v>111</v>
      </c>
      <c r="R45" s="774" t="s">
        <v>21</v>
      </c>
      <c r="S45" s="775">
        <f t="shared" si="12"/>
        <v>100</v>
      </c>
      <c r="T45" s="774" t="s">
        <v>21</v>
      </c>
      <c r="U45" s="775">
        <f t="shared" si="13"/>
        <v>100</v>
      </c>
      <c r="V45" s="774" t="s">
        <v>21</v>
      </c>
      <c r="W45" s="775">
        <f t="shared" si="14"/>
        <v>100</v>
      </c>
      <c r="X45" s="1812"/>
      <c r="Y45" s="3186"/>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63"/>
      <c r="Q46" s="1809">
        <f t="shared" si="11"/>
        <v>111</v>
      </c>
      <c r="R46" s="774" t="s">
        <v>20</v>
      </c>
      <c r="S46" s="775">
        <f t="shared" si="12"/>
        <v>100</v>
      </c>
      <c r="T46" s="774" t="s">
        <v>20</v>
      </c>
      <c r="U46" s="775">
        <f t="shared" si="13"/>
        <v>100</v>
      </c>
      <c r="V46" s="774" t="s">
        <v>20</v>
      </c>
      <c r="W46" s="775">
        <f t="shared" si="14"/>
        <v>100</v>
      </c>
      <c r="X46" s="1812"/>
      <c r="Y46" s="3264"/>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3"/>
      <c r="L47" s="1143"/>
      <c r="M47" s="1144"/>
      <c r="N47" s="1131"/>
      <c r="O47" s="1144"/>
      <c r="P47" s="3181" t="str">
        <f>A47</f>
        <v>成交单价（元/平方米）</v>
      </c>
      <c r="Q47" s="3181"/>
      <c r="R47" s="3260">
        <f>E47</f>
        <v>0</v>
      </c>
      <c r="S47" s="3260"/>
      <c r="T47" s="3260">
        <f>G47</f>
        <v>0</v>
      </c>
      <c r="U47" s="3260"/>
      <c r="V47" s="3260">
        <f>I47</f>
        <v>0</v>
      </c>
      <c r="W47" s="3260"/>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4"/>
      <c r="L48" s="1143"/>
      <c r="M48" s="1144"/>
      <c r="N48" s="1144"/>
      <c r="O48" s="1144"/>
      <c r="P48" s="3181" t="str">
        <f>A48</f>
        <v>比较价值（元/平方米）</v>
      </c>
      <c r="Q48" s="3181"/>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5"/>
      <c r="L49" s="1143"/>
      <c r="M49" s="1144"/>
      <c r="N49" s="1144"/>
      <c r="O49" s="1144"/>
      <c r="P49" s="3175" t="str">
        <f>A49</f>
        <v>估价对象XX用房的比较价值（楼面单价，元/平方米）</v>
      </c>
      <c r="Q49" s="3176"/>
      <c r="R49" s="3259" t="e">
        <f>IF(F1="售价",ROUND(AVERAGE(R48:V48),0),ROUND(AVERAGE(R48:V48),1))</f>
        <v>#DIV/0!</v>
      </c>
      <c r="S49" s="3259"/>
      <c r="T49" s="3259"/>
      <c r="U49" s="3259"/>
      <c r="V49" s="3259"/>
      <c r="W49" s="325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8"/>
      <c r="Q57" s="504"/>
    </row>
    <row r="58" spans="1:29" s="508" customFormat="1" ht="15">
      <c r="A58" s="505" t="s">
        <v>2585</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6" customFormat="1" ht="15">
      <c r="A59" s="509"/>
      <c r="B59" s="2629"/>
      <c r="C59" s="1572">
        <v>100</v>
      </c>
      <c r="D59" s="511"/>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2587</v>
      </c>
      <c r="B61" s="510"/>
      <c r="C61" s="522" t="s">
        <v>2588</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2101</v>
      </c>
      <c r="C82" s="539" t="s">
        <v>2605</v>
      </c>
      <c r="D82" s="539" t="s">
        <v>2606</v>
      </c>
      <c r="E82" s="539" t="s">
        <v>2607</v>
      </c>
      <c r="F82" s="539" t="s">
        <v>2608</v>
      </c>
      <c r="G82" s="539" t="s">
        <v>2609</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2611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6" customFormat="1" ht="15.75" thickTop="1">
      <c r="A88" s="579"/>
      <c r="B88" s="538" t="s">
        <v>2612</v>
      </c>
      <c r="C88" s="554"/>
      <c r="D88" s="554"/>
      <c r="E88" s="554"/>
      <c r="F88" s="2637"/>
      <c r="G88" s="554"/>
      <c r="H88" s="554"/>
      <c r="I88" s="554"/>
      <c r="J88" s="554"/>
      <c r="K88" s="554"/>
      <c r="L88" s="554"/>
      <c r="M88" s="581"/>
      <c r="N88" s="1151"/>
      <c r="O88" s="1151"/>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2564</v>
      </c>
      <c r="B100" s="528" t="s">
        <v>2613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2616</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2617</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2620</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5" t="s">
        <v>2626</v>
      </c>
      <c r="D138" s="145" t="s">
        <v>2627</v>
      </c>
      <c r="E138" s="2647" t="s">
        <v>2628</v>
      </c>
      <c r="F138" s="2648" t="s">
        <v>2629</v>
      </c>
      <c r="G138" s="145" t="s">
        <v>2627</v>
      </c>
      <c r="H138" s="146" t="s">
        <v>2628</v>
      </c>
      <c r="I138" s="2649"/>
      <c r="J138" s="145" t="s">
        <v>2630</v>
      </c>
      <c r="K138" s="146" t="s">
        <v>2631</v>
      </c>
    </row>
    <row r="139" spans="1:17" ht="15">
      <c r="B139" s="1084">
        <v>6</v>
      </c>
      <c r="C139" s="1085">
        <v>96</v>
      </c>
      <c r="D139" s="2650" t="s">
        <v>2632</v>
      </c>
      <c r="E139" s="1086">
        <v>100</v>
      </c>
      <c r="F139" s="1087">
        <v>102.5</v>
      </c>
      <c r="G139" s="2650" t="s">
        <v>2632</v>
      </c>
      <c r="H139" s="1088">
        <v>105</v>
      </c>
      <c r="I139" s="2651" t="s">
        <v>2633</v>
      </c>
      <c r="J139" s="1085">
        <v>20</v>
      </c>
      <c r="K139" s="1089">
        <f>C145/(J139-2)</f>
        <v>4.0555555555555553E-3</v>
      </c>
    </row>
    <row r="140" spans="1:17" ht="15">
      <c r="B140" s="1090">
        <v>5</v>
      </c>
      <c r="C140" s="1091">
        <v>100</v>
      </c>
      <c r="D140" s="1091"/>
      <c r="E140" s="1092"/>
      <c r="F140" s="1093">
        <v>102</v>
      </c>
      <c r="G140" s="1091"/>
      <c r="H140" s="1094"/>
      <c r="I140" s="2652" t="s">
        <v>2634</v>
      </c>
      <c r="J140" s="315">
        <f>ROUNDUP((J139-1)/2,0)</f>
        <v>10</v>
      </c>
      <c r="K140" s="1095">
        <v>100</v>
      </c>
    </row>
    <row r="141" spans="1:17" ht="15">
      <c r="B141" s="1090">
        <v>4</v>
      </c>
      <c r="C141" s="1091">
        <v>102</v>
      </c>
      <c r="D141" s="1091"/>
      <c r="E141" s="1092"/>
      <c r="F141" s="1093">
        <v>101.5</v>
      </c>
      <c r="G141" s="1091"/>
      <c r="H141" s="1094"/>
      <c r="I141" s="2652" t="s">
        <v>2635</v>
      </c>
      <c r="J141" s="315">
        <v>1</v>
      </c>
      <c r="K141" s="1096">
        <f>ROUND(100+(J141-J140)*K139*100,1)</f>
        <v>96.4</v>
      </c>
    </row>
    <row r="142" spans="1:17" ht="15">
      <c r="B142" s="1090">
        <v>3</v>
      </c>
      <c r="C142" s="1091">
        <v>103</v>
      </c>
      <c r="D142" s="1091"/>
      <c r="E142" s="1092"/>
      <c r="F142" s="1093">
        <v>101</v>
      </c>
      <c r="G142" s="1091"/>
      <c r="H142" s="1094"/>
      <c r="I142" s="2652" t="s">
        <v>2636</v>
      </c>
      <c r="J142" s="315">
        <f>J139</f>
        <v>20</v>
      </c>
      <c r="K142" s="1097">
        <v>95</v>
      </c>
    </row>
    <row r="143" spans="1:17" ht="15">
      <c r="B143" s="1090">
        <v>2</v>
      </c>
      <c r="C143" s="1091">
        <v>100</v>
      </c>
      <c r="D143" s="1091"/>
      <c r="E143" s="1092"/>
      <c r="F143" s="1093">
        <v>100.5</v>
      </c>
      <c r="G143" s="1091"/>
      <c r="H143" s="1094"/>
      <c r="I143" s="2652" t="s">
        <v>2637</v>
      </c>
      <c r="J143" s="1091">
        <v>15</v>
      </c>
      <c r="K143" s="1096">
        <f>ROUND(100+(J143-J140)*K139*100,1)</f>
        <v>102</v>
      </c>
    </row>
    <row r="144" spans="1:17" ht="15">
      <c r="B144" s="1090">
        <v>1</v>
      </c>
      <c r="C144" s="1091">
        <v>98</v>
      </c>
      <c r="D144" s="2653" t="s">
        <v>2638</v>
      </c>
      <c r="E144" s="1092">
        <v>102</v>
      </c>
      <c r="F144" s="1098">
        <v>100</v>
      </c>
      <c r="G144" s="2653" t="s">
        <v>2638</v>
      </c>
      <c r="H144" s="1094">
        <v>105</v>
      </c>
      <c r="I144" s="2652" t="s">
        <v>2637</v>
      </c>
      <c r="J144" s="1091">
        <v>18</v>
      </c>
      <c r="K144" s="1096">
        <f>ROUND(100+(J144-J140)*K139*100,1)</f>
        <v>103.2</v>
      </c>
    </row>
    <row r="145" spans="2:11" ht="15.75" thickBot="1">
      <c r="B145" s="2654" t="s">
        <v>2639</v>
      </c>
      <c r="C145" s="1099">
        <f>ROUND(MAX(C139:C144)/MIN(C139:C144)-1,3)</f>
        <v>7.2999999999999995E-2</v>
      </c>
      <c r="D145" s="1100"/>
      <c r="E145" s="1100"/>
      <c r="F145" s="2655" t="s">
        <v>2640</v>
      </c>
      <c r="G145" s="2656"/>
      <c r="H145" s="2657"/>
      <c r="I145" s="2658" t="s">
        <v>2637</v>
      </c>
      <c r="J145" s="1101">
        <v>8</v>
      </c>
      <c r="K145" s="1102">
        <f>ROUND(100+(J145-J140)*K139*100,1)</f>
        <v>99.2</v>
      </c>
    </row>
    <row r="147" spans="2:11">
      <c r="B147" s="2639" t="s">
        <v>2641</v>
      </c>
    </row>
    <row r="148" spans="2:11">
      <c r="B148" s="263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2330</v>
      </c>
      <c r="B3" s="609" t="e">
        <f ca="1">IF(C2="——",C49,ROUND(B2*10000/D3,0))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2646</v>
      </c>
      <c r="B4" s="402"/>
      <c r="C4" s="3178" t="s">
        <v>2647</v>
      </c>
      <c r="D4" s="3191"/>
      <c r="E4" s="3192" t="s">
        <v>2648</v>
      </c>
      <c r="F4" s="3193"/>
      <c r="G4" s="3178" t="s">
        <v>2649</v>
      </c>
      <c r="H4" s="3191"/>
      <c r="I4" s="3178" t="s">
        <v>2650</v>
      </c>
      <c r="J4" s="3191"/>
      <c r="K4" s="610" t="s">
        <v>2651</v>
      </c>
      <c r="L4" s="1130"/>
      <c r="M4" s="1131"/>
      <c r="N4" s="1131"/>
      <c r="O4" s="1131"/>
      <c r="P4" s="3194" t="s">
        <v>2652</v>
      </c>
      <c r="Q4" s="3195"/>
      <c r="R4" s="3200" t="s">
        <v>2648</v>
      </c>
      <c r="S4" s="3201"/>
      <c r="T4" s="3200" t="s">
        <v>2649</v>
      </c>
      <c r="U4" s="3201"/>
      <c r="V4" s="3187" t="s">
        <v>2650</v>
      </c>
      <c r="W4" s="3187"/>
      <c r="X4" s="1812"/>
      <c r="Y4" s="3200" t="s">
        <v>2652</v>
      </c>
      <c r="Z4" s="3201"/>
      <c r="AA4" s="3188" t="s">
        <v>2648</v>
      </c>
      <c r="AB4" s="3187" t="s">
        <v>2649</v>
      </c>
      <c r="AC4" s="3188" t="s">
        <v>2650</v>
      </c>
    </row>
    <row r="5" spans="1:29" ht="15">
      <c r="A5" s="404"/>
      <c r="B5" s="405"/>
      <c r="C5" s="3208" t="s">
        <v>2543</v>
      </c>
      <c r="D5" s="3209"/>
      <c r="E5" s="3215" t="s">
        <v>2544</v>
      </c>
      <c r="F5" s="3216"/>
      <c r="G5" s="3208" t="s">
        <v>2545</v>
      </c>
      <c r="H5" s="3209"/>
      <c r="I5" s="3208" t="s">
        <v>2546</v>
      </c>
      <c r="J5" s="3209"/>
      <c r="K5" s="610"/>
      <c r="L5" s="1130"/>
      <c r="M5" s="1131"/>
      <c r="N5" s="1131"/>
      <c r="O5" s="1131"/>
      <c r="P5" s="3196"/>
      <c r="Q5" s="3197"/>
      <c r="R5" s="3202"/>
      <c r="S5" s="3203"/>
      <c r="T5" s="3202"/>
      <c r="U5" s="3203"/>
      <c r="V5" s="3187"/>
      <c r="W5" s="3187"/>
      <c r="X5" s="1812"/>
      <c r="Y5" s="3202"/>
      <c r="Z5" s="3203"/>
      <c r="AA5" s="3189"/>
      <c r="AB5" s="3187"/>
      <c r="AC5" s="3189"/>
    </row>
    <row r="6" spans="1:29" ht="15.75" thickBot="1">
      <c r="A6" s="406"/>
      <c r="B6" s="407"/>
      <c r="C6" s="3206" t="s">
        <v>2547</v>
      </c>
      <c r="D6" s="3207"/>
      <c r="E6" s="3213" t="s">
        <v>2547</v>
      </c>
      <c r="F6" s="3214"/>
      <c r="G6" s="3206" t="s">
        <v>2547</v>
      </c>
      <c r="H6" s="3207"/>
      <c r="I6" s="3206" t="s">
        <v>2547</v>
      </c>
      <c r="J6" s="3207"/>
      <c r="K6" s="610" t="s">
        <v>2548</v>
      </c>
      <c r="L6" s="1130"/>
      <c r="M6" s="1131"/>
      <c r="N6" s="1131"/>
      <c r="O6" s="1131"/>
      <c r="P6" s="3198"/>
      <c r="Q6" s="3199"/>
      <c r="R6" s="3202"/>
      <c r="S6" s="3203"/>
      <c r="T6" s="3204"/>
      <c r="U6" s="3205"/>
      <c r="V6" s="3187"/>
      <c r="W6" s="3187"/>
      <c r="X6" s="1812"/>
      <c r="Y6" s="3204"/>
      <c r="Z6" s="3205"/>
      <c r="AA6" s="3190"/>
      <c r="AB6" s="3187"/>
      <c r="AC6" s="3190"/>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0" t="s">
        <v>2550</v>
      </c>
      <c r="Q7" s="3212"/>
      <c r="R7" s="770" t="s">
        <v>17</v>
      </c>
      <c r="S7" s="771">
        <f t="shared" ref="S7:S15" si="0">F7</f>
        <v>0</v>
      </c>
      <c r="T7" s="770" t="s">
        <v>17</v>
      </c>
      <c r="U7" s="771">
        <f t="shared" ref="U7:U15" si="1">H7</f>
        <v>0</v>
      </c>
      <c r="V7" s="770" t="s">
        <v>17</v>
      </c>
      <c r="W7" s="771">
        <f t="shared" ref="W7:W15" si="2">J7</f>
        <v>0</v>
      </c>
      <c r="X7" s="772"/>
      <c r="Y7" s="3210" t="s">
        <v>2550</v>
      </c>
      <c r="Z7" s="3211"/>
      <c r="AA7" s="773" t="e">
        <f>D7/F7</f>
        <v>#DIV/0!</v>
      </c>
      <c r="AB7" s="773" t="e">
        <f>D7/H7</f>
        <v>#DIV/0!</v>
      </c>
      <c r="AC7" s="773" t="e">
        <f>D7/J7</f>
        <v>#DIV/0!</v>
      </c>
    </row>
    <row r="8" spans="1:29" s="116"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0" t="s">
        <v>2553</v>
      </c>
      <c r="Q8" s="3211"/>
      <c r="R8" s="770" t="s">
        <v>17</v>
      </c>
      <c r="S8" s="771">
        <f t="shared" si="0"/>
        <v>0</v>
      </c>
      <c r="T8" s="770" t="s">
        <v>17</v>
      </c>
      <c r="U8" s="771">
        <f t="shared" si="1"/>
        <v>0</v>
      </c>
      <c r="V8" s="770" t="s">
        <v>17</v>
      </c>
      <c r="W8" s="771">
        <f t="shared" si="2"/>
        <v>0</v>
      </c>
      <c r="X8" s="772"/>
      <c r="Y8" s="3210" t="s">
        <v>2553</v>
      </c>
      <c r="Z8" s="3211"/>
      <c r="AA8" s="773" t="e">
        <f t="shared" ref="AA8:AA46" si="3">D8/F8</f>
        <v>#DIV/0!</v>
      </c>
      <c r="AB8" s="773" t="e">
        <f t="shared" ref="AB8:AB46" si="4">D8/H8</f>
        <v>#DIV/0!</v>
      </c>
      <c r="AC8" s="773" t="e">
        <f t="shared" ref="AC8:AC46" si="5">D8/J8</f>
        <v>#DIV/0!</v>
      </c>
    </row>
    <row r="9" spans="1:29" s="116" customFormat="1">
      <c r="A9" s="415" t="s">
        <v>2554</v>
      </c>
      <c r="B9" s="70" t="s">
        <v>2555</v>
      </c>
      <c r="C9" s="416"/>
      <c r="D9" s="134">
        <v>100</v>
      </c>
      <c r="E9" s="417"/>
      <c r="F9" s="418">
        <f>SUMIF(63:63,E9,64:64)-SUMIF(63:63,C9,64:64)+100</f>
        <v>100</v>
      </c>
      <c r="G9" s="417"/>
      <c r="H9" s="134">
        <f>SUMIF(63:63,G9,64:64)-SUMIF(63:63,C9,64:64)+100</f>
        <v>100</v>
      </c>
      <c r="I9" s="417"/>
      <c r="J9" s="134">
        <f>SUMIF(63:63,I9,64:64)-SUMIF(63:63,C9,64:64)+100</f>
        <v>100</v>
      </c>
      <c r="K9" s="611"/>
      <c r="L9" s="1132"/>
      <c r="M9" s="1133"/>
      <c r="N9" s="1133"/>
      <c r="O9" s="1133"/>
      <c r="P9" s="3180" t="s">
        <v>2556</v>
      </c>
      <c r="Q9" s="1794" t="str">
        <f t="shared" ref="Q9:Q15" si="6">B9</f>
        <v>用途</v>
      </c>
      <c r="R9" s="770" t="s">
        <v>17</v>
      </c>
      <c r="S9" s="771">
        <f t="shared" si="0"/>
        <v>100</v>
      </c>
      <c r="T9" s="770" t="s">
        <v>17</v>
      </c>
      <c r="U9" s="771">
        <f t="shared" si="1"/>
        <v>100</v>
      </c>
      <c r="V9" s="770" t="s">
        <v>17</v>
      </c>
      <c r="W9" s="771">
        <f t="shared" si="2"/>
        <v>100</v>
      </c>
      <c r="X9" s="772"/>
      <c r="Y9" s="3029"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612"/>
      <c r="L10" s="1135"/>
      <c r="M10" s="1136"/>
      <c r="N10" s="1136"/>
      <c r="O10" s="1136"/>
      <c r="P10" s="3180"/>
      <c r="Q10" s="1794" t="str">
        <f t="shared" si="6"/>
        <v>土地使用年限（年）</v>
      </c>
      <c r="R10" s="770" t="s">
        <v>17</v>
      </c>
      <c r="S10" s="771">
        <f t="shared" si="0"/>
        <v>100</v>
      </c>
      <c r="T10" s="770" t="s">
        <v>17</v>
      </c>
      <c r="U10" s="771">
        <f t="shared" si="1"/>
        <v>100</v>
      </c>
      <c r="V10" s="770" t="s">
        <v>17</v>
      </c>
      <c r="W10" s="771">
        <f t="shared" si="2"/>
        <v>100</v>
      </c>
      <c r="X10" s="772"/>
      <c r="Y10" s="3029"/>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8"/>
      <c r="M11" s="1131"/>
      <c r="N11" s="1131"/>
      <c r="O11" s="1131"/>
      <c r="P11" s="3180"/>
      <c r="Q11" s="1794" t="str">
        <f t="shared" si="6"/>
        <v>容积率</v>
      </c>
      <c r="R11" s="770" t="s">
        <v>17</v>
      </c>
      <c r="S11" s="771" t="e">
        <f t="shared" si="0"/>
        <v>#N/A</v>
      </c>
      <c r="T11" s="770" t="s">
        <v>17</v>
      </c>
      <c r="U11" s="771" t="e">
        <f t="shared" si="1"/>
        <v>#N/A</v>
      </c>
      <c r="V11" s="770" t="s">
        <v>17</v>
      </c>
      <c r="W11" s="771" t="e">
        <f t="shared" si="2"/>
        <v>#N/A</v>
      </c>
      <c r="X11" s="772"/>
      <c r="Y11" s="3029"/>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180"/>
      <c r="Q12" s="1794">
        <f t="shared" si="6"/>
        <v>111</v>
      </c>
      <c r="R12" s="770" t="s">
        <v>17</v>
      </c>
      <c r="S12" s="771">
        <f t="shared" si="0"/>
        <v>100</v>
      </c>
      <c r="T12" s="770" t="s">
        <v>17</v>
      </c>
      <c r="U12" s="771">
        <f t="shared" si="1"/>
        <v>100</v>
      </c>
      <c r="V12" s="770" t="s">
        <v>17</v>
      </c>
      <c r="W12" s="771">
        <f t="shared" si="2"/>
        <v>100</v>
      </c>
      <c r="X12" s="772"/>
      <c r="Y12" s="3029"/>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0"/>
      <c r="Q13" s="1794">
        <f t="shared" si="6"/>
        <v>111</v>
      </c>
      <c r="R13" s="770" t="s">
        <v>17</v>
      </c>
      <c r="S13" s="771">
        <f t="shared" si="0"/>
        <v>100</v>
      </c>
      <c r="T13" s="770" t="s">
        <v>17</v>
      </c>
      <c r="U13" s="771">
        <f t="shared" si="1"/>
        <v>100</v>
      </c>
      <c r="V13" s="770" t="s">
        <v>17</v>
      </c>
      <c r="W13" s="771">
        <f t="shared" si="2"/>
        <v>100</v>
      </c>
      <c r="X13" s="772"/>
      <c r="Y13" s="3029"/>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0"/>
      <c r="Q14" s="1794">
        <f t="shared" si="6"/>
        <v>111</v>
      </c>
      <c r="R14" s="770" t="s">
        <v>17</v>
      </c>
      <c r="S14" s="771">
        <f t="shared" si="0"/>
        <v>100</v>
      </c>
      <c r="T14" s="770" t="s">
        <v>17</v>
      </c>
      <c r="U14" s="771">
        <f t="shared" si="1"/>
        <v>100</v>
      </c>
      <c r="V14" s="770" t="s">
        <v>17</v>
      </c>
      <c r="W14" s="771">
        <f t="shared" si="2"/>
        <v>100</v>
      </c>
      <c r="X14" s="772"/>
      <c r="Y14" s="3029"/>
      <c r="Z14" s="54">
        <f t="shared" si="7"/>
        <v>111</v>
      </c>
      <c r="AA14" s="773">
        <f t="shared" si="3"/>
        <v>1</v>
      </c>
      <c r="AB14" s="773">
        <f t="shared" si="4"/>
        <v>1</v>
      </c>
      <c r="AC14" s="773">
        <f t="shared" si="5"/>
        <v>1</v>
      </c>
    </row>
    <row r="15" spans="1:29" ht="85.5">
      <c r="A15" s="440" t="s">
        <v>2560</v>
      </c>
      <c r="B15" s="68" t="s">
        <v>2654</v>
      </c>
      <c r="C15" s="2605" t="str">
        <f>估价对象房地状况!C4</f>
        <v>估价对象周边有麒麟商业中心、荔隆广场，周边商业氛围一般，人流量一般，商业繁华度一般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5" t="s">
        <v>2561</v>
      </c>
      <c r="Q15" s="1809" t="str">
        <f t="shared" si="6"/>
        <v>商业繁华度</v>
      </c>
      <c r="R15" s="774" t="s">
        <v>17</v>
      </c>
      <c r="S15" s="775">
        <f t="shared" si="0"/>
        <v>100</v>
      </c>
      <c r="T15" s="774" t="s">
        <v>17</v>
      </c>
      <c r="U15" s="775">
        <f t="shared" si="1"/>
        <v>100</v>
      </c>
      <c r="V15" s="774" t="s">
        <v>17</v>
      </c>
      <c r="W15" s="775">
        <f t="shared" si="2"/>
        <v>100</v>
      </c>
      <c r="X15" s="1812"/>
      <c r="Y15" s="3183"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6"/>
      <c r="Q16" s="1809"/>
      <c r="R16" s="774"/>
      <c r="S16" s="775"/>
      <c r="T16" s="774"/>
      <c r="U16" s="775"/>
      <c r="V16" s="774"/>
      <c r="W16" s="775"/>
      <c r="X16" s="1812"/>
      <c r="Y16" s="3184"/>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6"/>
      <c r="Q17" s="1809" t="str">
        <f>B17</f>
        <v>交通便捷度</v>
      </c>
      <c r="R17" s="774" t="s">
        <v>17</v>
      </c>
      <c r="S17" s="775">
        <f>F17</f>
        <v>100</v>
      </c>
      <c r="T17" s="774" t="s">
        <v>17</v>
      </c>
      <c r="U17" s="775">
        <f>H17</f>
        <v>100</v>
      </c>
      <c r="V17" s="774" t="s">
        <v>17</v>
      </c>
      <c r="W17" s="775">
        <f>J17</f>
        <v>100</v>
      </c>
      <c r="X17" s="1812"/>
      <c r="Y17" s="3184"/>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66"/>
      <c r="Q18" s="1809"/>
      <c r="R18" s="774"/>
      <c r="S18" s="775"/>
      <c r="T18" s="774"/>
      <c r="U18" s="775"/>
      <c r="V18" s="774"/>
      <c r="W18" s="775"/>
      <c r="X18" s="1812"/>
      <c r="Y18" s="3184"/>
      <c r="Z18" s="1813"/>
      <c r="AA18" s="1810">
        <v>1</v>
      </c>
      <c r="AB18" s="1810">
        <v>1</v>
      </c>
      <c r="AC18" s="1810">
        <v>1</v>
      </c>
    </row>
    <row r="19" spans="1:29" ht="128.25">
      <c r="A19" s="428"/>
      <c r="B19" s="451" t="s">
        <v>2655</v>
      </c>
      <c r="C19" s="2609" t="str">
        <f>估价对象房地状况!C7</f>
        <v>估价对象所在区域公共配套设施较齐备，有购物（麒麟商业中心）、有医院（武清区徐官屯医院）、有银行（天津农村商业银行）</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6"/>
      <c r="Q19" s="1809" t="str">
        <f>B19</f>
        <v>公共配套设施</v>
      </c>
      <c r="R19" s="774" t="s">
        <v>17</v>
      </c>
      <c r="S19" s="775">
        <f>F19</f>
        <v>100</v>
      </c>
      <c r="T19" s="774" t="s">
        <v>17</v>
      </c>
      <c r="U19" s="775">
        <f>H19</f>
        <v>100</v>
      </c>
      <c r="V19" s="774" t="s">
        <v>17</v>
      </c>
      <c r="W19" s="775">
        <f>J19</f>
        <v>100</v>
      </c>
      <c r="X19" s="1812"/>
      <c r="Y19" s="3184"/>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66"/>
      <c r="Q20" s="1809"/>
      <c r="R20" s="774"/>
      <c r="S20" s="775"/>
      <c r="T20" s="774"/>
      <c r="U20" s="775"/>
      <c r="V20" s="774"/>
      <c r="W20" s="775"/>
      <c r="X20" s="1812"/>
      <c r="Y20" s="3184"/>
      <c r="Z20" s="1813"/>
      <c r="AA20" s="1810">
        <v>1</v>
      </c>
      <c r="AB20" s="1810">
        <v>1</v>
      </c>
      <c r="AC20" s="1810">
        <v>1</v>
      </c>
    </row>
    <row r="21" spans="1:29" ht="42.75">
      <c r="A21" s="428"/>
      <c r="B21" s="1384" t="s">
        <v>2656</v>
      </c>
      <c r="C21" s="2609"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6"/>
      <c r="Q21" s="1809" t="str">
        <f>B21</f>
        <v>基础设施水平</v>
      </c>
      <c r="R21" s="774" t="s">
        <v>17</v>
      </c>
      <c r="S21" s="775">
        <f>F21</f>
        <v>100</v>
      </c>
      <c r="T21" s="774" t="s">
        <v>17</v>
      </c>
      <c r="U21" s="775">
        <f>H21</f>
        <v>100</v>
      </c>
      <c r="V21" s="774" t="s">
        <v>17</v>
      </c>
      <c r="W21" s="775">
        <f>J21</f>
        <v>100</v>
      </c>
      <c r="X21" s="1812"/>
      <c r="Y21" s="3184"/>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66"/>
      <c r="Q22" s="1809"/>
      <c r="R22" s="774"/>
      <c r="S22" s="775"/>
      <c r="T22" s="774"/>
      <c r="U22" s="775"/>
      <c r="V22" s="774"/>
      <c r="W22" s="775"/>
      <c r="X22" s="1812"/>
      <c r="Y22" s="3184"/>
      <c r="Z22" s="1813"/>
      <c r="AA22" s="1810">
        <v>1</v>
      </c>
      <c r="AB22" s="1810">
        <v>1</v>
      </c>
      <c r="AC22" s="1810">
        <v>1</v>
      </c>
    </row>
    <row r="23" spans="1:29" ht="71.25">
      <c r="A23" s="428"/>
      <c r="B23" s="451" t="s">
        <v>2105</v>
      </c>
      <c r="C23" s="2666" t="str">
        <f>估价对象房地状况!C9</f>
        <v>区域自然环境：水系：京杭运河；人文环境；综合评价环境状况一般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6"/>
      <c r="Q23" s="1809" t="str">
        <f>B23</f>
        <v>自然及人文环境</v>
      </c>
      <c r="R23" s="774" t="s">
        <v>17</v>
      </c>
      <c r="S23" s="775">
        <f>F23</f>
        <v>100</v>
      </c>
      <c r="T23" s="774" t="s">
        <v>17</v>
      </c>
      <c r="U23" s="775">
        <f>H23</f>
        <v>100</v>
      </c>
      <c r="V23" s="774" t="s">
        <v>17</v>
      </c>
      <c r="W23" s="775">
        <f>J23</f>
        <v>100</v>
      </c>
      <c r="X23" s="1812"/>
      <c r="Y23" s="3184"/>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66"/>
      <c r="Q24" s="1809"/>
      <c r="R24" s="774"/>
      <c r="S24" s="775"/>
      <c r="T24" s="774"/>
      <c r="U24" s="775"/>
      <c r="V24" s="774"/>
      <c r="W24" s="775"/>
      <c r="X24" s="1812"/>
      <c r="Y24" s="3184"/>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6"/>
      <c r="Q25" s="1809" t="str">
        <f t="shared" ref="Q25:Q46" si="11">B25</f>
        <v>临街状况</v>
      </c>
      <c r="R25" s="774" t="s">
        <v>17</v>
      </c>
      <c r="S25" s="775">
        <f>F25</f>
        <v>100</v>
      </c>
      <c r="T25" s="774" t="s">
        <v>17</v>
      </c>
      <c r="U25" s="775">
        <f>H25</f>
        <v>100</v>
      </c>
      <c r="V25" s="774" t="s">
        <v>17</v>
      </c>
      <c r="W25" s="775">
        <f>J25</f>
        <v>100</v>
      </c>
      <c r="X25" s="1812"/>
      <c r="Y25" s="3184"/>
      <c r="Z25" s="1813" t="str">
        <f>Q25</f>
        <v>临街状况</v>
      </c>
      <c r="AA25" s="1810">
        <f t="shared" si="3"/>
        <v>1</v>
      </c>
      <c r="AB25" s="1810">
        <f t="shared" si="4"/>
        <v>1</v>
      </c>
      <c r="AC25" s="1810">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6"/>
      <c r="Q26" s="1809" t="str">
        <f t="shared" si="11"/>
        <v>平面位置/可视性</v>
      </c>
      <c r="R26" s="774" t="s">
        <v>17</v>
      </c>
      <c r="S26" s="775">
        <f>F26</f>
        <v>100</v>
      </c>
      <c r="T26" s="774" t="s">
        <v>17</v>
      </c>
      <c r="U26" s="775">
        <f>H26</f>
        <v>100</v>
      </c>
      <c r="V26" s="774" t="s">
        <v>17</v>
      </c>
      <c r="W26" s="775">
        <f>J26</f>
        <v>100</v>
      </c>
      <c r="X26" s="1812"/>
      <c r="Y26" s="3184"/>
      <c r="Z26" s="1813" t="str">
        <f>Q26</f>
        <v>平面位置/可视性</v>
      </c>
      <c r="AA26" s="1810">
        <f t="shared" si="3"/>
        <v>1</v>
      </c>
      <c r="AB26" s="1810">
        <f t="shared" si="4"/>
        <v>1</v>
      </c>
      <c r="AC26" s="1810">
        <f t="shared" si="5"/>
        <v>1</v>
      </c>
    </row>
    <row r="27" spans="1:29" s="116"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66"/>
      <c r="Q27" s="1794" t="str">
        <f t="shared" si="11"/>
        <v>人流量</v>
      </c>
      <c r="R27" s="770" t="s">
        <v>17</v>
      </c>
      <c r="S27" s="771">
        <f>F27</f>
        <v>100</v>
      </c>
      <c r="T27" s="770" t="s">
        <v>17</v>
      </c>
      <c r="U27" s="771">
        <f>H27</f>
        <v>100</v>
      </c>
      <c r="V27" s="770" t="s">
        <v>17</v>
      </c>
      <c r="W27" s="771">
        <f>J27</f>
        <v>100</v>
      </c>
      <c r="X27" s="772"/>
      <c r="Y27" s="3184"/>
      <c r="Z27" s="54"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6"/>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4"/>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6"/>
      <c r="Q29" s="1809">
        <f t="shared" si="11"/>
        <v>111</v>
      </c>
      <c r="R29" s="774" t="s">
        <v>17</v>
      </c>
      <c r="S29" s="775">
        <f t="shared" si="12"/>
        <v>100</v>
      </c>
      <c r="T29" s="774" t="s">
        <v>17</v>
      </c>
      <c r="U29" s="775">
        <f t="shared" si="13"/>
        <v>100</v>
      </c>
      <c r="V29" s="774" t="s">
        <v>17</v>
      </c>
      <c r="W29" s="775">
        <f t="shared" si="14"/>
        <v>100</v>
      </c>
      <c r="X29" s="1812"/>
      <c r="Y29" s="3184"/>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6"/>
      <c r="Q30" s="1809">
        <f t="shared" si="11"/>
        <v>111</v>
      </c>
      <c r="R30" s="774" t="s">
        <v>17</v>
      </c>
      <c r="S30" s="775">
        <f t="shared" si="12"/>
        <v>100</v>
      </c>
      <c r="T30" s="774" t="s">
        <v>17</v>
      </c>
      <c r="U30" s="775">
        <f t="shared" si="13"/>
        <v>100</v>
      </c>
      <c r="V30" s="774" t="s">
        <v>17</v>
      </c>
      <c r="W30" s="775">
        <f t="shared" si="14"/>
        <v>100</v>
      </c>
      <c r="X30" s="1812"/>
      <c r="Y30" s="3184"/>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6"/>
      <c r="Q31" s="1809">
        <f t="shared" si="11"/>
        <v>111</v>
      </c>
      <c r="R31" s="774" t="s">
        <v>17</v>
      </c>
      <c r="S31" s="775">
        <f t="shared" si="12"/>
        <v>100</v>
      </c>
      <c r="T31" s="774" t="s">
        <v>17</v>
      </c>
      <c r="U31" s="775">
        <f t="shared" si="13"/>
        <v>100</v>
      </c>
      <c r="V31" s="774" t="s">
        <v>17</v>
      </c>
      <c r="W31" s="775">
        <f t="shared" si="14"/>
        <v>100</v>
      </c>
      <c r="X31" s="1812"/>
      <c r="Y31" s="3184"/>
      <c r="Z31" s="1813">
        <f t="shared" si="15"/>
        <v>111</v>
      </c>
      <c r="AA31" s="1810">
        <f t="shared" si="3"/>
        <v>1</v>
      </c>
      <c r="AB31" s="1810">
        <f t="shared" si="4"/>
        <v>1</v>
      </c>
      <c r="AC31" s="1810">
        <f t="shared" si="5"/>
        <v>1</v>
      </c>
    </row>
    <row r="32" spans="1:29" ht="15">
      <c r="A32" s="440" t="s">
        <v>2564</v>
      </c>
      <c r="B32" s="70"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61" t="s">
        <v>2566</v>
      </c>
      <c r="Q32" s="1809" t="str">
        <f t="shared" si="11"/>
        <v>商业类型</v>
      </c>
      <c r="R32" s="774" t="s">
        <v>17</v>
      </c>
      <c r="S32" s="775">
        <f t="shared" si="12"/>
        <v>100</v>
      </c>
      <c r="T32" s="774" t="s">
        <v>17</v>
      </c>
      <c r="U32" s="775">
        <f t="shared" si="13"/>
        <v>100</v>
      </c>
      <c r="V32" s="774" t="s">
        <v>17</v>
      </c>
      <c r="W32" s="775">
        <f t="shared" si="14"/>
        <v>100</v>
      </c>
      <c r="X32" s="1812"/>
      <c r="Y32" s="3186" t="s">
        <v>2566</v>
      </c>
      <c r="Z32" s="1813" t="str">
        <f t="shared" si="15"/>
        <v>商业类型</v>
      </c>
      <c r="AA32" s="1810">
        <f t="shared" si="3"/>
        <v>1</v>
      </c>
      <c r="AB32" s="1810">
        <f t="shared" si="4"/>
        <v>1</v>
      </c>
      <c r="AC32" s="1810">
        <f t="shared" si="5"/>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8"/>
      <c r="M33" s="1141"/>
      <c r="N33" s="1141"/>
      <c r="O33" s="1141"/>
      <c r="P33" s="3262"/>
      <c r="Q33" s="776" t="str">
        <f t="shared" si="11"/>
        <v>项目建筑规模</v>
      </c>
      <c r="R33" s="777" t="s">
        <v>17</v>
      </c>
      <c r="S33" s="778" t="e">
        <f t="shared" si="12"/>
        <v>#N/A</v>
      </c>
      <c r="T33" s="777" t="s">
        <v>17</v>
      </c>
      <c r="U33" s="778" t="e">
        <f t="shared" si="13"/>
        <v>#N/A</v>
      </c>
      <c r="V33" s="777" t="s">
        <v>17</v>
      </c>
      <c r="W33" s="778" t="e">
        <f t="shared" si="14"/>
        <v>#N/A</v>
      </c>
      <c r="X33" s="779"/>
      <c r="Y33" s="3186"/>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62"/>
      <c r="Q34" s="1809" t="str">
        <f t="shared" si="11"/>
        <v>建筑结构</v>
      </c>
      <c r="R34" s="774" t="s">
        <v>17</v>
      </c>
      <c r="S34" s="775">
        <f t="shared" si="12"/>
        <v>100</v>
      </c>
      <c r="T34" s="774" t="s">
        <v>17</v>
      </c>
      <c r="U34" s="775">
        <f t="shared" si="13"/>
        <v>100</v>
      </c>
      <c r="V34" s="774" t="s">
        <v>17</v>
      </c>
      <c r="W34" s="775">
        <f t="shared" si="14"/>
        <v>100</v>
      </c>
      <c r="X34" s="1812"/>
      <c r="Y34" s="3186"/>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62"/>
      <c r="Q35" s="1809" t="str">
        <f t="shared" si="11"/>
        <v>公共部分装修</v>
      </c>
      <c r="R35" s="774" t="s">
        <v>17</v>
      </c>
      <c r="S35" s="775">
        <f t="shared" si="12"/>
        <v>100</v>
      </c>
      <c r="T35" s="774" t="s">
        <v>17</v>
      </c>
      <c r="U35" s="775">
        <f t="shared" si="13"/>
        <v>100</v>
      </c>
      <c r="V35" s="774" t="s">
        <v>17</v>
      </c>
      <c r="W35" s="775">
        <f t="shared" si="14"/>
        <v>100</v>
      </c>
      <c r="X35" s="1812"/>
      <c r="Y35" s="3186"/>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2"/>
      <c r="Q36" s="1809" t="str">
        <f t="shared" si="11"/>
        <v>成新度</v>
      </c>
      <c r="R36" s="774" t="s">
        <v>17</v>
      </c>
      <c r="S36" s="775" t="e">
        <f t="shared" si="12"/>
        <v>#N/A</v>
      </c>
      <c r="T36" s="774" t="s">
        <v>17</v>
      </c>
      <c r="U36" s="775" t="e">
        <f t="shared" si="13"/>
        <v>#N/A</v>
      </c>
      <c r="V36" s="774" t="s">
        <v>17</v>
      </c>
      <c r="W36" s="775" t="e">
        <f t="shared" si="14"/>
        <v>#N/A</v>
      </c>
      <c r="X36" s="1812"/>
      <c r="Y36" s="3186"/>
      <c r="Z36" s="1813" t="str">
        <f t="shared" si="15"/>
        <v>成新度</v>
      </c>
      <c r="AA36" s="1810" t="e">
        <f t="shared" si="3"/>
        <v>#N/A</v>
      </c>
      <c r="AB36" s="1810" t="e">
        <f t="shared" si="4"/>
        <v>#N/A</v>
      </c>
      <c r="AC36" s="1810" t="e">
        <f t="shared" si="5"/>
        <v>#N/A</v>
      </c>
    </row>
    <row r="37" spans="1:29" s="116" customFormat="1" ht="15">
      <c r="A37" s="473"/>
      <c r="B37" s="422" t="s">
        <v>2664</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62"/>
      <c r="Q37" s="1794" t="str">
        <f t="shared" si="11"/>
        <v>市政基础设施</v>
      </c>
      <c r="R37" s="770" t="s">
        <v>17</v>
      </c>
      <c r="S37" s="771">
        <f t="shared" si="12"/>
        <v>100</v>
      </c>
      <c r="T37" s="770" t="s">
        <v>17</v>
      </c>
      <c r="U37" s="771">
        <f t="shared" si="13"/>
        <v>100</v>
      </c>
      <c r="V37" s="770" t="s">
        <v>17</v>
      </c>
      <c r="W37" s="771">
        <f t="shared" si="14"/>
        <v>100</v>
      </c>
      <c r="X37" s="772"/>
      <c r="Y37" s="3186"/>
      <c r="Z37" s="54"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62" t="s">
        <v>2566</v>
      </c>
      <c r="Q38" s="1809" t="str">
        <f t="shared" si="11"/>
        <v>业态</v>
      </c>
      <c r="R38" s="774" t="s">
        <v>17</v>
      </c>
      <c r="S38" s="775">
        <f t="shared" si="12"/>
        <v>100</v>
      </c>
      <c r="T38" s="774" t="s">
        <v>17</v>
      </c>
      <c r="U38" s="775">
        <f t="shared" si="13"/>
        <v>100</v>
      </c>
      <c r="V38" s="774" t="s">
        <v>17</v>
      </c>
      <c r="W38" s="775">
        <f t="shared" si="14"/>
        <v>100</v>
      </c>
      <c r="X38" s="1812"/>
      <c r="Y38" s="3186"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62"/>
      <c r="Q39" s="1809" t="str">
        <f t="shared" si="11"/>
        <v>层高</v>
      </c>
      <c r="R39" s="774" t="s">
        <v>17</v>
      </c>
      <c r="S39" s="775">
        <f t="shared" si="12"/>
        <v>100</v>
      </c>
      <c r="T39" s="774" t="s">
        <v>17</v>
      </c>
      <c r="U39" s="775">
        <f t="shared" si="13"/>
        <v>100</v>
      </c>
      <c r="V39" s="774" t="s">
        <v>17</v>
      </c>
      <c r="W39" s="775">
        <f t="shared" si="14"/>
        <v>100</v>
      </c>
      <c r="X39" s="1812"/>
      <c r="Y39" s="3186"/>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2"/>
      <c r="Q40" s="1809" t="str">
        <f t="shared" si="11"/>
        <v>单套建筑面积</v>
      </c>
      <c r="R40" s="774" t="s">
        <v>17</v>
      </c>
      <c r="S40" s="775">
        <f t="shared" si="12"/>
        <v>100</v>
      </c>
      <c r="T40" s="774" t="s">
        <v>17</v>
      </c>
      <c r="U40" s="775">
        <f t="shared" si="13"/>
        <v>100</v>
      </c>
      <c r="V40" s="774" t="s">
        <v>17</v>
      </c>
      <c r="W40" s="775">
        <f t="shared" si="14"/>
        <v>100</v>
      </c>
      <c r="X40" s="1812"/>
      <c r="Y40" s="3186"/>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2"/>
      <c r="Q41" s="776" t="str">
        <f t="shared" si="11"/>
        <v>进深比</v>
      </c>
      <c r="R41" s="777" t="s">
        <v>17</v>
      </c>
      <c r="S41" s="778">
        <f t="shared" si="12"/>
        <v>100</v>
      </c>
      <c r="T41" s="777" t="s">
        <v>17</v>
      </c>
      <c r="U41" s="778">
        <f t="shared" si="13"/>
        <v>100</v>
      </c>
      <c r="V41" s="777" t="s">
        <v>17</v>
      </c>
      <c r="W41" s="778">
        <f t="shared" si="14"/>
        <v>100</v>
      </c>
      <c r="X41" s="779"/>
      <c r="Y41" s="3186"/>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62"/>
      <c r="Q42" s="1809" t="str">
        <f t="shared" si="11"/>
        <v>内部装修</v>
      </c>
      <c r="R42" s="774" t="s">
        <v>17</v>
      </c>
      <c r="S42" s="775">
        <f t="shared" si="12"/>
        <v>100</v>
      </c>
      <c r="T42" s="774" t="s">
        <v>17</v>
      </c>
      <c r="U42" s="775">
        <f t="shared" si="13"/>
        <v>100</v>
      </c>
      <c r="V42" s="774" t="s">
        <v>17</v>
      </c>
      <c r="W42" s="775">
        <f t="shared" si="14"/>
        <v>100</v>
      </c>
      <c r="X42" s="1812"/>
      <c r="Y42" s="3186"/>
      <c r="Z42" s="1813" t="str">
        <f t="shared" si="15"/>
        <v>内部装修</v>
      </c>
      <c r="AA42" s="1810">
        <f t="shared" si="3"/>
        <v>1</v>
      </c>
      <c r="AB42" s="1810">
        <f t="shared" si="4"/>
        <v>1</v>
      </c>
      <c r="AC42" s="1810">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62"/>
      <c r="Q43" s="1809" t="str">
        <f t="shared" si="11"/>
        <v>内部装修维护情况</v>
      </c>
      <c r="R43" s="774" t="s">
        <v>17</v>
      </c>
      <c r="S43" s="775">
        <f t="shared" si="12"/>
        <v>100</v>
      </c>
      <c r="T43" s="774" t="s">
        <v>17</v>
      </c>
      <c r="U43" s="775">
        <f t="shared" si="13"/>
        <v>100</v>
      </c>
      <c r="V43" s="774" t="s">
        <v>17</v>
      </c>
      <c r="W43" s="775">
        <f t="shared" si="14"/>
        <v>100</v>
      </c>
      <c r="X43" s="1812"/>
      <c r="Y43" s="3186"/>
      <c r="Z43" s="1813" t="str">
        <f t="shared" si="15"/>
        <v>内部装修维护情况</v>
      </c>
      <c r="AA43" s="1810">
        <f t="shared" si="3"/>
        <v>1</v>
      </c>
      <c r="AB43" s="1810">
        <f t="shared" si="4"/>
        <v>1</v>
      </c>
      <c r="AC43" s="1810">
        <f t="shared" si="5"/>
        <v>1</v>
      </c>
    </row>
    <row r="44" spans="1:29" s="116" customFormat="1" ht="15">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262"/>
      <c r="Q44" s="1794">
        <f t="shared" si="11"/>
        <v>111</v>
      </c>
      <c r="R44" s="770" t="s">
        <v>17</v>
      </c>
      <c r="S44" s="771">
        <f t="shared" si="12"/>
        <v>100</v>
      </c>
      <c r="T44" s="770" t="s">
        <v>17</v>
      </c>
      <c r="U44" s="771">
        <f t="shared" si="13"/>
        <v>100</v>
      </c>
      <c r="V44" s="770" t="s">
        <v>17</v>
      </c>
      <c r="W44" s="771">
        <f t="shared" si="14"/>
        <v>100</v>
      </c>
      <c r="X44" s="772"/>
      <c r="Y44" s="3186"/>
      <c r="Z44" s="54">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2"/>
      <c r="Q45" s="1809">
        <f t="shared" si="11"/>
        <v>111</v>
      </c>
      <c r="R45" s="774" t="s">
        <v>17</v>
      </c>
      <c r="S45" s="775">
        <f t="shared" si="12"/>
        <v>100</v>
      </c>
      <c r="T45" s="774" t="s">
        <v>17</v>
      </c>
      <c r="U45" s="775">
        <f t="shared" si="13"/>
        <v>100</v>
      </c>
      <c r="V45" s="774" t="s">
        <v>17</v>
      </c>
      <c r="W45" s="775">
        <f t="shared" si="14"/>
        <v>100</v>
      </c>
      <c r="X45" s="1812"/>
      <c r="Y45" s="3186"/>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3"/>
      <c r="Q46" s="1809">
        <f t="shared" si="11"/>
        <v>111</v>
      </c>
      <c r="R46" s="774" t="s">
        <v>17</v>
      </c>
      <c r="S46" s="775">
        <f t="shared" si="12"/>
        <v>100</v>
      </c>
      <c r="T46" s="774" t="s">
        <v>17</v>
      </c>
      <c r="U46" s="775">
        <f t="shared" si="13"/>
        <v>100</v>
      </c>
      <c r="V46" s="774" t="s">
        <v>17</v>
      </c>
      <c r="W46" s="775">
        <f t="shared" si="14"/>
        <v>100</v>
      </c>
      <c r="X46" s="1812"/>
      <c r="Y46" s="3264"/>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3"/>
      <c r="M47" s="1144"/>
      <c r="N47" s="1131"/>
      <c r="O47" s="1144"/>
      <c r="P47" s="3181" t="str">
        <f>A47</f>
        <v>成交单价（元/平方米）</v>
      </c>
      <c r="Q47" s="3181"/>
      <c r="R47" s="3187">
        <f>E47</f>
        <v>0</v>
      </c>
      <c r="S47" s="3187"/>
      <c r="T47" s="3187">
        <f>G47</f>
        <v>0</v>
      </c>
      <c r="U47" s="3187"/>
      <c r="V47" s="3187">
        <f>I47</f>
        <v>0</v>
      </c>
      <c r="W47" s="3187"/>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181" t="str">
        <f>A48</f>
        <v>比较价值（元/平方米）</v>
      </c>
      <c r="Q48" s="3181"/>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3"/>
      <c r="M49" s="1144"/>
      <c r="N49" s="1131"/>
      <c r="O49" s="1144"/>
      <c r="P49" s="3175" t="str">
        <f>A49</f>
        <v>估价对象XX用房的比较价值（楼面单价，元/平方米）</v>
      </c>
      <c r="Q49" s="3176"/>
      <c r="R49" s="3259" t="e">
        <f>IF(F1="售价",ROUND(AVERAGE(R48:V48),0),ROUND(AVERAGE(R48:V48),1))</f>
        <v>#DIV/0!</v>
      </c>
      <c r="S49" s="3259"/>
      <c r="T49" s="3259"/>
      <c r="U49" s="3259"/>
      <c r="V49" s="3259"/>
      <c r="W49" s="325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2549</v>
      </c>
      <c r="B58" s="506"/>
      <c r="C58" s="1573" t="str">
        <f>YEAR(C7)&amp;"-"&amp;MONTH(C7)</f>
        <v>2017-12</v>
      </c>
      <c r="D58" s="1574">
        <f>EDATE(C58,-1)</f>
        <v>43040</v>
      </c>
      <c r="E58" s="1574">
        <f t="shared" ref="E58:N58" si="16">EDATE(D58,-1)</f>
        <v>43009</v>
      </c>
      <c r="F58" s="1574">
        <f t="shared" si="16"/>
        <v>42979</v>
      </c>
      <c r="G58" s="1574">
        <f t="shared" si="16"/>
        <v>42948</v>
      </c>
      <c r="H58" s="1574">
        <f t="shared" si="16"/>
        <v>42917</v>
      </c>
      <c r="I58" s="1574">
        <f t="shared" si="16"/>
        <v>42887</v>
      </c>
      <c r="J58" s="1574">
        <f t="shared" si="16"/>
        <v>42856</v>
      </c>
      <c r="K58" s="1574">
        <f t="shared" si="16"/>
        <v>42826</v>
      </c>
      <c r="L58" s="1574">
        <f t="shared" si="16"/>
        <v>42795</v>
      </c>
      <c r="M58" s="1574">
        <f t="shared" si="16"/>
        <v>42767</v>
      </c>
      <c r="N58" s="1574">
        <f t="shared" si="16"/>
        <v>42736</v>
      </c>
      <c r="O58" s="1574">
        <f>EDATE(N58,-1)</f>
        <v>42705</v>
      </c>
      <c r="P58" s="1569"/>
    </row>
    <row r="59" spans="1:29" s="116" customFormat="1" ht="15">
      <c r="A59" s="509"/>
      <c r="B59" s="510"/>
      <c r="C59" s="1572">
        <v>100</v>
      </c>
      <c r="D59" s="512"/>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2551</v>
      </c>
      <c r="B61" s="510"/>
      <c r="C61" s="522" t="s">
        <v>2653</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2681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6"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2564</v>
      </c>
      <c r="B100" s="528" t="s">
        <v>2682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2617</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2685</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2687</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IF(C2="——",ROUND(C50*D3/10000,0),ROUND(C50*D3/10000,0)-D2)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78" t="s">
        <v>2647</v>
      </c>
      <c r="D4" s="3191"/>
      <c r="E4" s="3192" t="s">
        <v>2648</v>
      </c>
      <c r="F4" s="3193"/>
      <c r="G4" s="3178" t="s">
        <v>2649</v>
      </c>
      <c r="H4" s="3191"/>
      <c r="I4" s="3178" t="s">
        <v>2650</v>
      </c>
      <c r="J4" s="3191"/>
      <c r="K4" s="610" t="s">
        <v>2651</v>
      </c>
      <c r="L4" s="1130"/>
      <c r="M4" s="1131"/>
      <c r="N4" s="1131"/>
      <c r="O4" s="1131"/>
      <c r="P4" s="3273" t="s">
        <v>2652</v>
      </c>
      <c r="Q4" s="3274"/>
      <c r="R4" s="3277" t="s">
        <v>2648</v>
      </c>
      <c r="S4" s="3278"/>
      <c r="T4" s="3277" t="s">
        <v>2649</v>
      </c>
      <c r="U4" s="3278"/>
      <c r="V4" s="3279" t="s">
        <v>2650</v>
      </c>
      <c r="W4" s="3279"/>
      <c r="X4" s="2672"/>
      <c r="Y4" s="3277" t="s">
        <v>2652</v>
      </c>
      <c r="Z4" s="3278"/>
      <c r="AA4" s="3281" t="s">
        <v>2648</v>
      </c>
      <c r="AB4" s="3281" t="s">
        <v>2649</v>
      </c>
      <c r="AC4" s="3270" t="s">
        <v>2650</v>
      </c>
    </row>
    <row r="5" spans="1:29" ht="15">
      <c r="A5" s="404"/>
      <c r="B5" s="405"/>
      <c r="C5" s="3208" t="s">
        <v>2543</v>
      </c>
      <c r="D5" s="3209"/>
      <c r="E5" s="3215" t="s">
        <v>2544</v>
      </c>
      <c r="F5" s="3216"/>
      <c r="G5" s="3208" t="s">
        <v>2545</v>
      </c>
      <c r="H5" s="3209"/>
      <c r="I5" s="3208" t="s">
        <v>2546</v>
      </c>
      <c r="J5" s="3209"/>
      <c r="K5" s="610"/>
      <c r="L5" s="1130"/>
      <c r="M5" s="1131"/>
      <c r="N5" s="1131"/>
      <c r="O5" s="1131"/>
      <c r="P5" s="3275"/>
      <c r="Q5" s="3197"/>
      <c r="R5" s="3202"/>
      <c r="S5" s="3203"/>
      <c r="T5" s="3202"/>
      <c r="U5" s="3203"/>
      <c r="V5" s="3187"/>
      <c r="W5" s="3187"/>
      <c r="X5" s="1812"/>
      <c r="Y5" s="3202"/>
      <c r="Z5" s="3203"/>
      <c r="AA5" s="3189"/>
      <c r="AB5" s="3189"/>
      <c r="AC5" s="3271"/>
    </row>
    <row r="6" spans="1:29" ht="15.75" thickBot="1">
      <c r="A6" s="406"/>
      <c r="B6" s="407"/>
      <c r="C6" s="3206" t="s">
        <v>2547</v>
      </c>
      <c r="D6" s="3207"/>
      <c r="E6" s="3213" t="s">
        <v>2547</v>
      </c>
      <c r="F6" s="3214"/>
      <c r="G6" s="3206" t="s">
        <v>2547</v>
      </c>
      <c r="H6" s="3207"/>
      <c r="I6" s="3206" t="s">
        <v>2547</v>
      </c>
      <c r="J6" s="3207"/>
      <c r="K6" s="610" t="s">
        <v>2548</v>
      </c>
      <c r="L6" s="1130"/>
      <c r="M6" s="1131"/>
      <c r="N6" s="1131"/>
      <c r="O6" s="1131"/>
      <c r="P6" s="3276"/>
      <c r="Q6" s="3199"/>
      <c r="R6" s="3202"/>
      <c r="S6" s="3203"/>
      <c r="T6" s="3204"/>
      <c r="U6" s="3205"/>
      <c r="V6" s="3187"/>
      <c r="W6" s="3187"/>
      <c r="X6" s="1812"/>
      <c r="Y6" s="3204"/>
      <c r="Z6" s="3205"/>
      <c r="AA6" s="3190"/>
      <c r="AB6" s="3190"/>
      <c r="AC6" s="3272"/>
    </row>
    <row r="7" spans="1:29" s="116" customFormat="1" ht="15.75" thickBot="1">
      <c r="A7" s="408" t="s">
        <v>2549</v>
      </c>
      <c r="B7" s="409"/>
      <c r="C7" s="410">
        <f>'数据-取费表'!B2</f>
        <v>43070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0" t="s">
        <v>2550</v>
      </c>
      <c r="Q7" s="3212"/>
      <c r="R7" s="770" t="s">
        <v>17</v>
      </c>
      <c r="S7" s="771">
        <f t="shared" ref="S7:S15" si="0">F7</f>
        <v>0</v>
      </c>
      <c r="T7" s="770" t="s">
        <v>17</v>
      </c>
      <c r="U7" s="771">
        <f t="shared" ref="U7:U15" si="1">H7</f>
        <v>0</v>
      </c>
      <c r="V7" s="770" t="s">
        <v>17</v>
      </c>
      <c r="W7" s="771">
        <f t="shared" ref="W7:W15" si="2">J7</f>
        <v>0</v>
      </c>
      <c r="X7" s="772"/>
      <c r="Y7" s="3210" t="s">
        <v>2550</v>
      </c>
      <c r="Z7" s="3211"/>
      <c r="AA7" s="773" t="e">
        <f>D7/F7</f>
        <v>#DIV/0!</v>
      </c>
      <c r="AB7" s="773" t="e">
        <f>D7/H7</f>
        <v>#DIV/0!</v>
      </c>
      <c r="AC7" s="2673" t="e">
        <f>D7/J7</f>
        <v>#DIV/0!</v>
      </c>
    </row>
    <row r="8" spans="1:29" s="116"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0" t="s">
        <v>2553</v>
      </c>
      <c r="Q8" s="3211"/>
      <c r="R8" s="770" t="s">
        <v>17</v>
      </c>
      <c r="S8" s="771">
        <f t="shared" si="0"/>
        <v>0</v>
      </c>
      <c r="T8" s="770" t="s">
        <v>17</v>
      </c>
      <c r="U8" s="771">
        <f t="shared" si="1"/>
        <v>0</v>
      </c>
      <c r="V8" s="770" t="s">
        <v>17</v>
      </c>
      <c r="W8" s="771">
        <f t="shared" si="2"/>
        <v>0</v>
      </c>
      <c r="X8" s="772"/>
      <c r="Y8" s="3210" t="s">
        <v>2553</v>
      </c>
      <c r="Z8" s="3211"/>
      <c r="AA8" s="773" t="e">
        <f t="shared" ref="AA8:AA47" si="3">D8/F8</f>
        <v>#DIV/0!</v>
      </c>
      <c r="AB8" s="773" t="e">
        <f t="shared" ref="AB8:AB47" si="4">D8/H8</f>
        <v>#DIV/0!</v>
      </c>
      <c r="AC8" s="2673" t="e">
        <f t="shared" ref="AC8:AC47" si="5">D8/J8</f>
        <v>#DIV/0!</v>
      </c>
    </row>
    <row r="9" spans="1:29" s="116" customFormat="1">
      <c r="A9" s="415" t="s">
        <v>2554</v>
      </c>
      <c r="B9" s="70" t="s">
        <v>2555</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180" t="s">
        <v>2556</v>
      </c>
      <c r="Q9" s="1794" t="str">
        <f t="shared" ref="Q9:Q15" si="6">B9</f>
        <v>用途</v>
      </c>
      <c r="R9" s="770" t="s">
        <v>17</v>
      </c>
      <c r="S9" s="771">
        <f t="shared" si="0"/>
        <v>100</v>
      </c>
      <c r="T9" s="770" t="s">
        <v>17</v>
      </c>
      <c r="U9" s="771">
        <f t="shared" si="1"/>
        <v>100</v>
      </c>
      <c r="V9" s="770" t="s">
        <v>17</v>
      </c>
      <c r="W9" s="771">
        <f t="shared" si="2"/>
        <v>100</v>
      </c>
      <c r="X9" s="772"/>
      <c r="Y9" s="3029" t="s">
        <v>2557</v>
      </c>
      <c r="Z9" s="54" t="str">
        <f t="shared" ref="Z9:Z15" si="7">Q9</f>
        <v>用途</v>
      </c>
      <c r="AA9" s="773">
        <f t="shared" si="3"/>
        <v>1</v>
      </c>
      <c r="AB9" s="773">
        <f t="shared" si="4"/>
        <v>1</v>
      </c>
      <c r="AC9" s="2673">
        <f t="shared" si="5"/>
        <v>1</v>
      </c>
    </row>
    <row r="10" spans="1:29" s="427" customFormat="1" ht="27">
      <c r="A10" s="421"/>
      <c r="B10" s="422" t="s">
        <v>2558</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180"/>
      <c r="Q10" s="1794" t="str">
        <f t="shared" si="6"/>
        <v>土地使用年限（年）</v>
      </c>
      <c r="R10" s="770" t="s">
        <v>17</v>
      </c>
      <c r="S10" s="771">
        <f t="shared" si="0"/>
        <v>100</v>
      </c>
      <c r="T10" s="770" t="s">
        <v>17</v>
      </c>
      <c r="U10" s="771">
        <f t="shared" si="1"/>
        <v>100</v>
      </c>
      <c r="V10" s="770" t="s">
        <v>17</v>
      </c>
      <c r="W10" s="771">
        <f t="shared" si="2"/>
        <v>100</v>
      </c>
      <c r="X10" s="772"/>
      <c r="Y10" s="3029"/>
      <c r="Z10" s="54" t="str">
        <f t="shared" si="7"/>
        <v>土地使用年限（年）</v>
      </c>
      <c r="AA10" s="773">
        <f t="shared" si="3"/>
        <v>1</v>
      </c>
      <c r="AB10" s="773">
        <f t="shared" si="4"/>
        <v>1</v>
      </c>
      <c r="AC10" s="2673">
        <f t="shared" si="5"/>
        <v>1</v>
      </c>
    </row>
    <row r="11" spans="1:29" ht="15">
      <c r="A11" s="428"/>
      <c r="B11" s="422" t="s">
        <v>2559</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180"/>
      <c r="Q11" s="1794" t="str">
        <f t="shared" si="6"/>
        <v>容积率</v>
      </c>
      <c r="R11" s="770" t="s">
        <v>17</v>
      </c>
      <c r="S11" s="771" t="e">
        <f t="shared" si="0"/>
        <v>#N/A</v>
      </c>
      <c r="T11" s="770" t="s">
        <v>17</v>
      </c>
      <c r="U11" s="771" t="e">
        <f t="shared" si="1"/>
        <v>#N/A</v>
      </c>
      <c r="V11" s="770" t="s">
        <v>17</v>
      </c>
      <c r="W11" s="771" t="e">
        <f t="shared" si="2"/>
        <v>#N/A</v>
      </c>
      <c r="X11" s="772"/>
      <c r="Y11" s="3029"/>
      <c r="Z11" s="54" t="str">
        <f t="shared" si="7"/>
        <v>容积率</v>
      </c>
      <c r="AA11" s="773" t="e">
        <f t="shared" si="3"/>
        <v>#N/A</v>
      </c>
      <c r="AB11" s="773" t="e">
        <f t="shared" si="4"/>
        <v>#N/A</v>
      </c>
      <c r="AC11" s="2673" t="e">
        <f t="shared" si="5"/>
        <v>#N/A</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2"/>
      <c r="M12" s="1133"/>
      <c r="N12" s="1133"/>
      <c r="O12" s="1133"/>
      <c r="P12" s="3180"/>
      <c r="Q12" s="1794">
        <f t="shared" si="6"/>
        <v>111</v>
      </c>
      <c r="R12" s="770" t="s">
        <v>17</v>
      </c>
      <c r="S12" s="771">
        <f t="shared" si="0"/>
        <v>100</v>
      </c>
      <c r="T12" s="770" t="s">
        <v>17</v>
      </c>
      <c r="U12" s="771">
        <f t="shared" si="1"/>
        <v>100</v>
      </c>
      <c r="V12" s="770" t="s">
        <v>17</v>
      </c>
      <c r="W12" s="771">
        <f t="shared" si="2"/>
        <v>100</v>
      </c>
      <c r="X12" s="772"/>
      <c r="Y12" s="3029"/>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0"/>
      <c r="M13" s="1131"/>
      <c r="N13" s="1131"/>
      <c r="O13" s="1131"/>
      <c r="P13" s="3180"/>
      <c r="Q13" s="1794">
        <f t="shared" si="6"/>
        <v>111</v>
      </c>
      <c r="R13" s="770" t="s">
        <v>17</v>
      </c>
      <c r="S13" s="771">
        <f t="shared" si="0"/>
        <v>100</v>
      </c>
      <c r="T13" s="770" t="s">
        <v>17</v>
      </c>
      <c r="U13" s="771">
        <f t="shared" si="1"/>
        <v>100</v>
      </c>
      <c r="V13" s="770" t="s">
        <v>17</v>
      </c>
      <c r="W13" s="771">
        <f t="shared" si="2"/>
        <v>100</v>
      </c>
      <c r="X13" s="772"/>
      <c r="Y13" s="3029"/>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80"/>
      <c r="Q14" s="1794">
        <f t="shared" si="6"/>
        <v>111</v>
      </c>
      <c r="R14" s="770" t="s">
        <v>17</v>
      </c>
      <c r="S14" s="771">
        <f t="shared" si="0"/>
        <v>100</v>
      </c>
      <c r="T14" s="770" t="s">
        <v>17</v>
      </c>
      <c r="U14" s="771">
        <f t="shared" si="1"/>
        <v>100</v>
      </c>
      <c r="V14" s="770" t="s">
        <v>17</v>
      </c>
      <c r="W14" s="771">
        <f t="shared" si="2"/>
        <v>100</v>
      </c>
      <c r="X14" s="772"/>
      <c r="Y14" s="3029"/>
      <c r="Z14" s="54">
        <f t="shared" si="7"/>
        <v>111</v>
      </c>
      <c r="AA14" s="773">
        <f t="shared" si="3"/>
        <v>1</v>
      </c>
      <c r="AB14" s="773">
        <f t="shared" si="4"/>
        <v>1</v>
      </c>
      <c r="AC14" s="2673">
        <f t="shared" si="5"/>
        <v>1</v>
      </c>
    </row>
    <row r="15" spans="1:29" ht="15">
      <c r="A15" s="440" t="s">
        <v>2560</v>
      </c>
      <c r="B15" s="629" t="s">
        <v>2688</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5" t="s">
        <v>2561</v>
      </c>
      <c r="Q15" s="1809" t="str">
        <f t="shared" si="6"/>
        <v>办公集聚程度</v>
      </c>
      <c r="R15" s="774" t="s">
        <v>17</v>
      </c>
      <c r="S15" s="775">
        <f t="shared" si="0"/>
        <v>100</v>
      </c>
      <c r="T15" s="774" t="s">
        <v>17</v>
      </c>
      <c r="U15" s="775">
        <f t="shared" si="1"/>
        <v>100</v>
      </c>
      <c r="V15" s="774" t="s">
        <v>17</v>
      </c>
      <c r="W15" s="775">
        <f t="shared" si="2"/>
        <v>100</v>
      </c>
      <c r="X15" s="1812"/>
      <c r="Y15" s="3183" t="s">
        <v>2561</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66"/>
      <c r="Q16" s="1809"/>
      <c r="R16" s="774"/>
      <c r="S16" s="775"/>
      <c r="T16" s="774"/>
      <c r="U16" s="775"/>
      <c r="V16" s="774"/>
      <c r="W16" s="775"/>
      <c r="X16" s="1812"/>
      <c r="Y16" s="3184"/>
      <c r="Z16" s="1813"/>
      <c r="AA16" s="1810">
        <v>1</v>
      </c>
      <c r="AB16" s="1810">
        <v>1</v>
      </c>
      <c r="AC16" s="2676">
        <v>1</v>
      </c>
    </row>
    <row r="17" spans="1:29" ht="99.75">
      <c r="A17" s="428"/>
      <c r="B17" s="631" t="s">
        <v>2100</v>
      </c>
      <c r="C17" s="2677" t="str">
        <f>估价对象房地状况!C6</f>
        <v>估价对象周边有737路、武清3路，公交便捷度一般，路网密集程度一般，停车较便捷，综合评价交通便捷度一般。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6"/>
      <c r="Q17" s="1809" t="str">
        <f>B17</f>
        <v>交通便捷度</v>
      </c>
      <c r="R17" s="774" t="s">
        <v>17</v>
      </c>
      <c r="S17" s="775">
        <f>F17</f>
        <v>100</v>
      </c>
      <c r="T17" s="774" t="s">
        <v>17</v>
      </c>
      <c r="U17" s="775">
        <f>H17</f>
        <v>100</v>
      </c>
      <c r="V17" s="774" t="s">
        <v>17</v>
      </c>
      <c r="W17" s="775">
        <f>J17</f>
        <v>100</v>
      </c>
      <c r="X17" s="1812"/>
      <c r="Y17" s="3184"/>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66"/>
      <c r="Q18" s="1809"/>
      <c r="R18" s="774"/>
      <c r="S18" s="775"/>
      <c r="T18" s="774"/>
      <c r="U18" s="775"/>
      <c r="V18" s="774"/>
      <c r="W18" s="775"/>
      <c r="X18" s="1812"/>
      <c r="Y18" s="3184"/>
      <c r="Z18" s="1813"/>
      <c r="AA18" s="1810">
        <v>1</v>
      </c>
      <c r="AB18" s="1810">
        <v>1</v>
      </c>
      <c r="AC18" s="2676">
        <v>1</v>
      </c>
    </row>
    <row r="19" spans="1:29" ht="114">
      <c r="A19" s="428"/>
      <c r="B19" s="631" t="s">
        <v>2689</v>
      </c>
      <c r="C19" s="2677" t="str">
        <f>估价对象房地状况!C7</f>
        <v>估价对象所在区域公共配套设施较齐备，有购物（麒麟商业中心）、有医院（武清区徐官屯医院）、有银行（天津农村商业银行）</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6"/>
      <c r="Q19" s="1809" t="str">
        <f>B19</f>
        <v>公共配套设施</v>
      </c>
      <c r="R19" s="774" t="s">
        <v>17</v>
      </c>
      <c r="S19" s="775">
        <f>F19</f>
        <v>100</v>
      </c>
      <c r="T19" s="774" t="s">
        <v>17</v>
      </c>
      <c r="U19" s="775">
        <f>H19</f>
        <v>100</v>
      </c>
      <c r="V19" s="774" t="s">
        <v>17</v>
      </c>
      <c r="W19" s="775">
        <f>J19</f>
        <v>100</v>
      </c>
      <c r="X19" s="1812"/>
      <c r="Y19" s="3184"/>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66"/>
      <c r="Q20" s="1809"/>
      <c r="R20" s="774"/>
      <c r="S20" s="775"/>
      <c r="T20" s="774"/>
      <c r="U20" s="775"/>
      <c r="V20" s="774"/>
      <c r="W20" s="775"/>
      <c r="X20" s="1812"/>
      <c r="Y20" s="3184"/>
      <c r="Z20" s="1813"/>
      <c r="AA20" s="1810">
        <v>1</v>
      </c>
      <c r="AB20" s="1810">
        <v>1</v>
      </c>
      <c r="AC20" s="2676">
        <v>1</v>
      </c>
    </row>
    <row r="21" spans="1:29" ht="42.75">
      <c r="A21" s="428"/>
      <c r="B21" s="633" t="s">
        <v>2690</v>
      </c>
      <c r="C21" s="2677"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6"/>
      <c r="Q21" s="1809" t="str">
        <f>B21</f>
        <v>基础设施水平</v>
      </c>
      <c r="R21" s="774" t="s">
        <v>17</v>
      </c>
      <c r="S21" s="775">
        <f>F21</f>
        <v>100</v>
      </c>
      <c r="T21" s="774" t="s">
        <v>17</v>
      </c>
      <c r="U21" s="775">
        <f>H21</f>
        <v>100</v>
      </c>
      <c r="V21" s="774" t="s">
        <v>17</v>
      </c>
      <c r="W21" s="775">
        <f>J21</f>
        <v>100</v>
      </c>
      <c r="X21" s="1812"/>
      <c r="Y21" s="3184"/>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66"/>
      <c r="Q22" s="1809"/>
      <c r="R22" s="774"/>
      <c r="S22" s="775"/>
      <c r="T22" s="774"/>
      <c r="U22" s="775"/>
      <c r="V22" s="774"/>
      <c r="W22" s="775"/>
      <c r="X22" s="1812"/>
      <c r="Y22" s="3184"/>
      <c r="Z22" s="1813"/>
      <c r="AA22" s="1810">
        <v>1</v>
      </c>
      <c r="AB22" s="1810">
        <v>1</v>
      </c>
      <c r="AC22" s="2676">
        <v>1</v>
      </c>
    </row>
    <row r="23" spans="1:29" ht="57">
      <c r="A23" s="428"/>
      <c r="B23" s="631" t="s">
        <v>2691</v>
      </c>
      <c r="C23" s="2677" t="str">
        <f>估价对象房地状况!C9</f>
        <v>区域自然环境：水系：京杭运河；人文环境；综合评价环境状况一般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6"/>
      <c r="Q23" s="1809" t="str">
        <f>B23</f>
        <v>环境质量</v>
      </c>
      <c r="R23" s="774" t="s">
        <v>17</v>
      </c>
      <c r="S23" s="775">
        <f>F23</f>
        <v>100</v>
      </c>
      <c r="T23" s="774" t="s">
        <v>17</v>
      </c>
      <c r="U23" s="775">
        <f>H23</f>
        <v>100</v>
      </c>
      <c r="V23" s="774" t="s">
        <v>17</v>
      </c>
      <c r="W23" s="775">
        <f>J23</f>
        <v>100</v>
      </c>
      <c r="X23" s="1812"/>
      <c r="Y23" s="3184"/>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66"/>
      <c r="Q24" s="1809"/>
      <c r="R24" s="774"/>
      <c r="S24" s="775"/>
      <c r="T24" s="774"/>
      <c r="U24" s="775"/>
      <c r="V24" s="774"/>
      <c r="W24" s="775"/>
      <c r="X24" s="1812"/>
      <c r="Y24" s="3184"/>
      <c r="Z24" s="1813"/>
      <c r="AA24" s="1810">
        <v>1</v>
      </c>
      <c r="AB24" s="1810">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66"/>
      <c r="Q25" s="1809" t="str">
        <f>B25</f>
        <v>毗邻道路的类型与等级</v>
      </c>
      <c r="R25" s="774" t="s">
        <v>17</v>
      </c>
      <c r="S25" s="775">
        <f>F25</f>
        <v>100</v>
      </c>
      <c r="T25" s="774" t="s">
        <v>17</v>
      </c>
      <c r="U25" s="775">
        <f>H25</f>
        <v>100</v>
      </c>
      <c r="V25" s="774" t="s">
        <v>17</v>
      </c>
      <c r="W25" s="775">
        <f>J25</f>
        <v>100</v>
      </c>
      <c r="X25" s="1812"/>
      <c r="Y25" s="3184"/>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66"/>
      <c r="Q26" s="1809"/>
      <c r="R26" s="774"/>
      <c r="S26" s="775"/>
      <c r="T26" s="774"/>
      <c r="U26" s="775"/>
      <c r="V26" s="774"/>
      <c r="W26" s="775"/>
      <c r="X26" s="1812"/>
      <c r="Y26" s="3184"/>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6"/>
      <c r="Q27" s="1809" t="str">
        <f t="shared" ref="Q27:Q47" si="11">B27</f>
        <v>楼层</v>
      </c>
      <c r="R27" s="774" t="s">
        <v>17</v>
      </c>
      <c r="S27" s="775">
        <f>F27</f>
        <v>100</v>
      </c>
      <c r="T27" s="774" t="s">
        <v>17</v>
      </c>
      <c r="U27" s="775">
        <f>H27</f>
        <v>100</v>
      </c>
      <c r="V27" s="774" t="s">
        <v>17</v>
      </c>
      <c r="W27" s="775">
        <f>J27</f>
        <v>100</v>
      </c>
      <c r="X27" s="1812"/>
      <c r="Y27" s="3184"/>
      <c r="Z27" s="1813" t="str">
        <f>Q27</f>
        <v>楼层</v>
      </c>
      <c r="AA27" s="1810">
        <f t="shared" si="3"/>
        <v>1</v>
      </c>
      <c r="AB27" s="1810">
        <f t="shared" si="4"/>
        <v>1</v>
      </c>
      <c r="AC27" s="2676">
        <f t="shared" si="5"/>
        <v>1</v>
      </c>
    </row>
    <row r="28" spans="1:29" s="116"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66"/>
      <c r="Q28" s="1794" t="str">
        <f t="shared" si="11"/>
        <v>朝向</v>
      </c>
      <c r="R28" s="770" t="s">
        <v>17</v>
      </c>
      <c r="S28" s="771">
        <f>F28</f>
        <v>100</v>
      </c>
      <c r="T28" s="770" t="s">
        <v>17</v>
      </c>
      <c r="U28" s="771">
        <f>H28</f>
        <v>100</v>
      </c>
      <c r="V28" s="770" t="s">
        <v>17</v>
      </c>
      <c r="W28" s="771">
        <f>J28</f>
        <v>100</v>
      </c>
      <c r="X28" s="772"/>
      <c r="Y28" s="3184"/>
      <c r="Z28" s="54"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66"/>
      <c r="Q29" s="1809">
        <f t="shared" si="11"/>
        <v>111</v>
      </c>
      <c r="R29" s="774" t="s">
        <v>17</v>
      </c>
      <c r="S29" s="775">
        <f t="shared" ref="S29:S47" si="12">F29</f>
        <v>100</v>
      </c>
      <c r="T29" s="774" t="s">
        <v>17</v>
      </c>
      <c r="U29" s="775">
        <f t="shared" ref="U29:U47" si="13">H29</f>
        <v>100</v>
      </c>
      <c r="V29" s="774" t="s">
        <v>17</v>
      </c>
      <c r="W29" s="775">
        <f t="shared" ref="W29:W47" si="14">J29</f>
        <v>100</v>
      </c>
      <c r="X29" s="1812"/>
      <c r="Y29" s="3184"/>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66"/>
      <c r="Q30" s="1809">
        <f t="shared" si="11"/>
        <v>111</v>
      </c>
      <c r="R30" s="774" t="s">
        <v>17</v>
      </c>
      <c r="S30" s="775">
        <f t="shared" si="12"/>
        <v>100</v>
      </c>
      <c r="T30" s="774" t="s">
        <v>17</v>
      </c>
      <c r="U30" s="775">
        <f t="shared" si="13"/>
        <v>100</v>
      </c>
      <c r="V30" s="774" t="s">
        <v>17</v>
      </c>
      <c r="W30" s="775">
        <f t="shared" si="14"/>
        <v>100</v>
      </c>
      <c r="X30" s="1812"/>
      <c r="Y30" s="3184"/>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66"/>
      <c r="Q31" s="1809">
        <f t="shared" si="11"/>
        <v>111</v>
      </c>
      <c r="R31" s="774" t="s">
        <v>17</v>
      </c>
      <c r="S31" s="775">
        <f t="shared" si="12"/>
        <v>100</v>
      </c>
      <c r="T31" s="774" t="s">
        <v>17</v>
      </c>
      <c r="U31" s="775">
        <f t="shared" si="13"/>
        <v>100</v>
      </c>
      <c r="V31" s="774" t="s">
        <v>17</v>
      </c>
      <c r="W31" s="775">
        <f t="shared" si="14"/>
        <v>100</v>
      </c>
      <c r="X31" s="1812"/>
      <c r="Y31" s="3184"/>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66"/>
      <c r="Q32" s="1809">
        <f t="shared" si="11"/>
        <v>111</v>
      </c>
      <c r="R32" s="774" t="s">
        <v>17</v>
      </c>
      <c r="S32" s="775">
        <f t="shared" si="12"/>
        <v>100</v>
      </c>
      <c r="T32" s="774" t="s">
        <v>17</v>
      </c>
      <c r="U32" s="775">
        <f t="shared" si="13"/>
        <v>100</v>
      </c>
      <c r="V32" s="774" t="s">
        <v>17</v>
      </c>
      <c r="W32" s="775">
        <f t="shared" si="14"/>
        <v>100</v>
      </c>
      <c r="X32" s="1812"/>
      <c r="Y32" s="3184"/>
      <c r="Z32" s="1813">
        <f t="shared" si="15"/>
        <v>111</v>
      </c>
      <c r="AA32" s="1810">
        <f t="shared" si="3"/>
        <v>1</v>
      </c>
      <c r="AB32" s="1810">
        <f t="shared" si="4"/>
        <v>1</v>
      </c>
      <c r="AC32" s="2676">
        <f t="shared" si="5"/>
        <v>1</v>
      </c>
    </row>
    <row r="33" spans="1:29" ht="15">
      <c r="A33" s="440" t="s">
        <v>2564</v>
      </c>
      <c r="B33" s="70"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61" t="s">
        <v>2566</v>
      </c>
      <c r="Q33" s="1809" t="str">
        <f t="shared" si="11"/>
        <v>建筑类型</v>
      </c>
      <c r="R33" s="774" t="s">
        <v>17</v>
      </c>
      <c r="S33" s="775">
        <f t="shared" si="12"/>
        <v>100</v>
      </c>
      <c r="T33" s="774" t="s">
        <v>17</v>
      </c>
      <c r="U33" s="775">
        <f t="shared" si="13"/>
        <v>100</v>
      </c>
      <c r="V33" s="774" t="s">
        <v>17</v>
      </c>
      <c r="W33" s="775">
        <f t="shared" si="14"/>
        <v>100</v>
      </c>
      <c r="X33" s="1812"/>
      <c r="Y33" s="3186" t="s">
        <v>2566</v>
      </c>
      <c r="Z33" s="1813" t="str">
        <f t="shared" si="15"/>
        <v>建筑类型</v>
      </c>
      <c r="AA33" s="1810">
        <f t="shared" si="3"/>
        <v>1</v>
      </c>
      <c r="AB33" s="1810">
        <f t="shared" si="4"/>
        <v>1</v>
      </c>
      <c r="AC33" s="2676">
        <f t="shared" si="5"/>
        <v>1</v>
      </c>
    </row>
    <row r="34" spans="1:29" s="471" customFormat="1" ht="15">
      <c r="A34" s="468"/>
      <c r="B34" s="422" t="s">
        <v>2567</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262"/>
      <c r="Q34" s="776" t="str">
        <f t="shared" si="11"/>
        <v>项目建筑规模</v>
      </c>
      <c r="R34" s="777" t="s">
        <v>17</v>
      </c>
      <c r="S34" s="778" t="e">
        <f t="shared" si="12"/>
        <v>#N/A</v>
      </c>
      <c r="T34" s="777" t="s">
        <v>17</v>
      </c>
      <c r="U34" s="778" t="e">
        <f t="shared" si="13"/>
        <v>#N/A</v>
      </c>
      <c r="V34" s="777" t="s">
        <v>17</v>
      </c>
      <c r="W34" s="778" t="e">
        <f t="shared" si="14"/>
        <v>#N/A</v>
      </c>
      <c r="X34" s="779"/>
      <c r="Y34" s="3186"/>
      <c r="Z34" s="780" t="str">
        <f t="shared" si="15"/>
        <v>项目建筑规模</v>
      </c>
      <c r="AA34" s="1810" t="e">
        <f t="shared" si="3"/>
        <v>#N/A</v>
      </c>
      <c r="AB34" s="1810"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2"/>
      <c r="Q35" s="1809" t="str">
        <f t="shared" si="11"/>
        <v>建筑结构</v>
      </c>
      <c r="R35" s="774" t="s">
        <v>17</v>
      </c>
      <c r="S35" s="775">
        <f t="shared" si="12"/>
        <v>100</v>
      </c>
      <c r="T35" s="774" t="s">
        <v>17</v>
      </c>
      <c r="U35" s="775">
        <f t="shared" si="13"/>
        <v>100</v>
      </c>
      <c r="V35" s="774" t="s">
        <v>17</v>
      </c>
      <c r="W35" s="775">
        <f t="shared" si="14"/>
        <v>100</v>
      </c>
      <c r="X35" s="1812"/>
      <c r="Y35" s="3186"/>
      <c r="Z35" s="1813" t="str">
        <f t="shared" si="15"/>
        <v>建筑结构</v>
      </c>
      <c r="AA35" s="1810">
        <f t="shared" si="3"/>
        <v>1</v>
      </c>
      <c r="AB35" s="1810">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2"/>
      <c r="Q36" s="1809" t="str">
        <f t="shared" si="11"/>
        <v>公共部分装修</v>
      </c>
      <c r="R36" s="774" t="s">
        <v>17</v>
      </c>
      <c r="S36" s="775">
        <f t="shared" si="12"/>
        <v>100</v>
      </c>
      <c r="T36" s="774" t="s">
        <v>17</v>
      </c>
      <c r="U36" s="775">
        <f t="shared" si="13"/>
        <v>100</v>
      </c>
      <c r="V36" s="774" t="s">
        <v>17</v>
      </c>
      <c r="W36" s="775">
        <f t="shared" si="14"/>
        <v>100</v>
      </c>
      <c r="X36" s="1812"/>
      <c r="Y36" s="3186"/>
      <c r="Z36" s="1813" t="str">
        <f t="shared" si="15"/>
        <v>公共部分装修</v>
      </c>
      <c r="AA36" s="1810">
        <f t="shared" si="3"/>
        <v>1</v>
      </c>
      <c r="AB36" s="1810">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2"/>
      <c r="Q37" s="1809" t="str">
        <f t="shared" si="11"/>
        <v>成新度</v>
      </c>
      <c r="R37" s="774" t="s">
        <v>17</v>
      </c>
      <c r="S37" s="775" t="e">
        <f t="shared" si="12"/>
        <v>#N/A</v>
      </c>
      <c r="T37" s="774" t="s">
        <v>17</v>
      </c>
      <c r="U37" s="775" t="e">
        <f t="shared" si="13"/>
        <v>#N/A</v>
      </c>
      <c r="V37" s="774" t="s">
        <v>17</v>
      </c>
      <c r="W37" s="775" t="e">
        <f t="shared" si="14"/>
        <v>#N/A</v>
      </c>
      <c r="X37" s="1812"/>
      <c r="Y37" s="3186"/>
      <c r="Z37" s="1813" t="str">
        <f t="shared" si="15"/>
        <v>成新度</v>
      </c>
      <c r="AA37" s="1810" t="e">
        <f t="shared" si="3"/>
        <v>#N/A</v>
      </c>
      <c r="AB37" s="1810" t="e">
        <f t="shared" si="4"/>
        <v>#N/A</v>
      </c>
      <c r="AC37" s="2676" t="e">
        <f t="shared" si="5"/>
        <v>#N/A</v>
      </c>
    </row>
    <row r="38" spans="1:29" s="116" customFormat="1" ht="15">
      <c r="A38" s="473"/>
      <c r="B38" s="422" t="s">
        <v>2695</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2"/>
      <c r="Q38" s="1794" t="str">
        <f t="shared" si="11"/>
        <v>写字楼等级</v>
      </c>
      <c r="R38" s="770" t="s">
        <v>17</v>
      </c>
      <c r="S38" s="771">
        <f t="shared" si="12"/>
        <v>100</v>
      </c>
      <c r="T38" s="770" t="s">
        <v>17</v>
      </c>
      <c r="U38" s="771">
        <f t="shared" si="13"/>
        <v>100</v>
      </c>
      <c r="V38" s="770" t="s">
        <v>17</v>
      </c>
      <c r="W38" s="771">
        <f t="shared" si="14"/>
        <v>100</v>
      </c>
      <c r="X38" s="772"/>
      <c r="Y38" s="3186"/>
      <c r="Z38" s="54"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2" t="s">
        <v>2566</v>
      </c>
      <c r="Q39" s="1809" t="str">
        <f t="shared" si="11"/>
        <v>物业管理</v>
      </c>
      <c r="R39" s="774" t="s">
        <v>17</v>
      </c>
      <c r="S39" s="775">
        <f t="shared" si="12"/>
        <v>100</v>
      </c>
      <c r="T39" s="774" t="s">
        <v>17</v>
      </c>
      <c r="U39" s="775">
        <f t="shared" si="13"/>
        <v>100</v>
      </c>
      <c r="V39" s="774" t="s">
        <v>17</v>
      </c>
      <c r="W39" s="775">
        <f t="shared" si="14"/>
        <v>100</v>
      </c>
      <c r="X39" s="1812"/>
      <c r="Y39" s="3186" t="s">
        <v>2566</v>
      </c>
      <c r="Z39" s="1813" t="str">
        <f t="shared" si="15"/>
        <v>物业管理</v>
      </c>
      <c r="AA39" s="1810">
        <f t="shared" si="3"/>
        <v>1</v>
      </c>
      <c r="AB39" s="1810">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2"/>
      <c r="Q40" s="1809" t="str">
        <f t="shared" si="11"/>
        <v>市政基础设施</v>
      </c>
      <c r="R40" s="774" t="s">
        <v>17</v>
      </c>
      <c r="S40" s="775">
        <f t="shared" si="12"/>
        <v>100</v>
      </c>
      <c r="T40" s="774" t="s">
        <v>17</v>
      </c>
      <c r="U40" s="775">
        <f t="shared" si="13"/>
        <v>100</v>
      </c>
      <c r="V40" s="774" t="s">
        <v>17</v>
      </c>
      <c r="W40" s="775">
        <f t="shared" si="14"/>
        <v>100</v>
      </c>
      <c r="X40" s="1812"/>
      <c r="Y40" s="3186"/>
      <c r="Z40" s="1813" t="str">
        <f t="shared" si="15"/>
        <v>市政基础设施</v>
      </c>
      <c r="AA40" s="1810">
        <f t="shared" si="3"/>
        <v>1</v>
      </c>
      <c r="AB40" s="1810">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2"/>
      <c r="Q41" s="1809" t="str">
        <f t="shared" si="11"/>
        <v>层高</v>
      </c>
      <c r="R41" s="774" t="s">
        <v>17</v>
      </c>
      <c r="S41" s="775">
        <f t="shared" si="12"/>
        <v>100</v>
      </c>
      <c r="T41" s="774" t="s">
        <v>17</v>
      </c>
      <c r="U41" s="775">
        <f t="shared" si="13"/>
        <v>100</v>
      </c>
      <c r="V41" s="774" t="s">
        <v>17</v>
      </c>
      <c r="W41" s="775">
        <f t="shared" si="14"/>
        <v>100</v>
      </c>
      <c r="X41" s="1812"/>
      <c r="Y41" s="3186"/>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2"/>
      <c r="Q42" s="776" t="str">
        <f t="shared" si="11"/>
        <v>单套建筑面积</v>
      </c>
      <c r="R42" s="777" t="s">
        <v>17</v>
      </c>
      <c r="S42" s="778">
        <f t="shared" si="12"/>
        <v>100</v>
      </c>
      <c r="T42" s="777" t="s">
        <v>17</v>
      </c>
      <c r="U42" s="778">
        <f t="shared" si="13"/>
        <v>100</v>
      </c>
      <c r="V42" s="777" t="s">
        <v>17</v>
      </c>
      <c r="W42" s="778">
        <f t="shared" si="14"/>
        <v>100</v>
      </c>
      <c r="X42" s="779"/>
      <c r="Y42" s="3186"/>
      <c r="Z42" s="780" t="str">
        <f t="shared" si="15"/>
        <v>单套建筑面积</v>
      </c>
      <c r="AA42" s="1810">
        <f t="shared" si="3"/>
        <v>1</v>
      </c>
      <c r="AB42" s="1810">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2"/>
      <c r="Q43" s="1809" t="str">
        <f t="shared" si="11"/>
        <v>内部装修</v>
      </c>
      <c r="R43" s="774" t="s">
        <v>17</v>
      </c>
      <c r="S43" s="775">
        <f t="shared" si="12"/>
        <v>100</v>
      </c>
      <c r="T43" s="774" t="s">
        <v>17</v>
      </c>
      <c r="U43" s="775">
        <f t="shared" si="13"/>
        <v>100</v>
      </c>
      <c r="V43" s="774" t="s">
        <v>17</v>
      </c>
      <c r="W43" s="775">
        <f t="shared" si="14"/>
        <v>100</v>
      </c>
      <c r="X43" s="1812"/>
      <c r="Y43" s="3186"/>
      <c r="Z43" s="1813" t="str">
        <f t="shared" si="15"/>
        <v>内部装修</v>
      </c>
      <c r="AA43" s="1810">
        <f t="shared" si="3"/>
        <v>1</v>
      </c>
      <c r="AB43" s="1810">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62"/>
      <c r="Q44" s="1809" t="str">
        <f t="shared" si="11"/>
        <v>内部装修维护情况</v>
      </c>
      <c r="R44" s="774" t="s">
        <v>17</v>
      </c>
      <c r="S44" s="775">
        <f t="shared" si="12"/>
        <v>100</v>
      </c>
      <c r="T44" s="774" t="s">
        <v>17</v>
      </c>
      <c r="U44" s="775">
        <f t="shared" si="13"/>
        <v>100</v>
      </c>
      <c r="V44" s="774" t="s">
        <v>17</v>
      </c>
      <c r="W44" s="775">
        <f t="shared" si="14"/>
        <v>100</v>
      </c>
      <c r="X44" s="1812"/>
      <c r="Y44" s="3186"/>
      <c r="Z44" s="1813" t="str">
        <f t="shared" si="15"/>
        <v>内部装修维护情况</v>
      </c>
      <c r="AA44" s="1810">
        <f t="shared" si="3"/>
        <v>1</v>
      </c>
      <c r="AB44" s="1810">
        <f t="shared" si="4"/>
        <v>1</v>
      </c>
      <c r="AC44" s="2676">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262"/>
      <c r="Q45" s="1794">
        <f t="shared" si="11"/>
        <v>111</v>
      </c>
      <c r="R45" s="770" t="s">
        <v>17</v>
      </c>
      <c r="S45" s="771">
        <f t="shared" si="12"/>
        <v>100</v>
      </c>
      <c r="T45" s="770" t="s">
        <v>17</v>
      </c>
      <c r="U45" s="771">
        <f t="shared" si="13"/>
        <v>100</v>
      </c>
      <c r="V45" s="770" t="s">
        <v>17</v>
      </c>
      <c r="W45" s="771">
        <f t="shared" si="14"/>
        <v>100</v>
      </c>
      <c r="X45" s="772"/>
      <c r="Y45" s="3186"/>
      <c r="Z45" s="54">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2"/>
      <c r="Q46" s="1809">
        <f t="shared" si="11"/>
        <v>111</v>
      </c>
      <c r="R46" s="774" t="s">
        <v>17</v>
      </c>
      <c r="S46" s="775">
        <f t="shared" si="12"/>
        <v>100</v>
      </c>
      <c r="T46" s="774" t="s">
        <v>17</v>
      </c>
      <c r="U46" s="775">
        <f t="shared" si="13"/>
        <v>100</v>
      </c>
      <c r="V46" s="774" t="s">
        <v>17</v>
      </c>
      <c r="W46" s="775">
        <f t="shared" si="14"/>
        <v>100</v>
      </c>
      <c r="X46" s="1812"/>
      <c r="Y46" s="3186"/>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3"/>
      <c r="Q47" s="1809">
        <f t="shared" si="11"/>
        <v>111</v>
      </c>
      <c r="R47" s="774" t="s">
        <v>17</v>
      </c>
      <c r="S47" s="775">
        <f t="shared" si="12"/>
        <v>100</v>
      </c>
      <c r="T47" s="774" t="s">
        <v>17</v>
      </c>
      <c r="U47" s="775">
        <f t="shared" si="13"/>
        <v>100</v>
      </c>
      <c r="V47" s="774" t="s">
        <v>17</v>
      </c>
      <c r="W47" s="775">
        <f t="shared" si="14"/>
        <v>100</v>
      </c>
      <c r="X47" s="1812"/>
      <c r="Y47" s="3264"/>
      <c r="Z47" s="1813">
        <f t="shared" si="15"/>
        <v>111</v>
      </c>
      <c r="AA47" s="1810">
        <f t="shared" si="3"/>
        <v>1</v>
      </c>
      <c r="AB47" s="1810">
        <f t="shared" si="4"/>
        <v>1</v>
      </c>
      <c r="AC47" s="2676">
        <f t="shared" si="5"/>
        <v>1</v>
      </c>
    </row>
    <row r="48" spans="1:29" ht="15">
      <c r="A48" s="479" t="s">
        <v>2578</v>
      </c>
      <c r="B48" s="480"/>
      <c r="C48" s="1406" t="s">
        <v>1</v>
      </c>
      <c r="D48" s="1407"/>
      <c r="E48" s="1408"/>
      <c r="F48" s="1409"/>
      <c r="G48" s="1410"/>
      <c r="H48" s="1411"/>
      <c r="I48" s="1408"/>
      <c r="J48" s="485"/>
      <c r="K48" s="783"/>
      <c r="L48" s="1143"/>
      <c r="M48" s="1131"/>
      <c r="N48" s="1131"/>
      <c r="O48" s="1131"/>
      <c r="P48" s="3180" t="str">
        <f>A48</f>
        <v>成交单价（元/平方米）</v>
      </c>
      <c r="Q48" s="3181"/>
      <c r="R48" s="3260">
        <f>E48</f>
        <v>0</v>
      </c>
      <c r="S48" s="3260"/>
      <c r="T48" s="3260">
        <f>G48</f>
        <v>0</v>
      </c>
      <c r="U48" s="3260"/>
      <c r="V48" s="3260">
        <f>I48</f>
        <v>0</v>
      </c>
      <c r="W48" s="3260"/>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3"/>
      <c r="M49" s="1131"/>
      <c r="N49" s="1131"/>
      <c r="O49" s="1131"/>
      <c r="P49" s="3180" t="str">
        <f>A49</f>
        <v>比较价值（元/平方米）</v>
      </c>
      <c r="Q49" s="3181"/>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3"/>
      <c r="M50" s="1131"/>
      <c r="N50" s="1131"/>
      <c r="O50" s="1131"/>
      <c r="P50" s="3267" t="str">
        <f>A50</f>
        <v>估价对象XX用房的比较价值（楼面单价，元/平方米）</v>
      </c>
      <c r="Q50" s="3268"/>
      <c r="R50" s="3269" t="e">
        <f>IF(F1="售价",ROUND(AVERAGE(R49:V49),0),ROUND(AVERAGE(R49:V49),1))</f>
        <v>#DIV/0!</v>
      </c>
      <c r="S50" s="3269"/>
      <c r="T50" s="3269"/>
      <c r="U50" s="3269"/>
      <c r="V50" s="3269"/>
      <c r="W50" s="3269"/>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6" customFormat="1" ht="15">
      <c r="A60" s="509"/>
      <c r="B60" s="510"/>
      <c r="C60" s="1572">
        <v>100</v>
      </c>
      <c r="D60" s="512"/>
      <c r="E60" s="512"/>
      <c r="F60" s="512"/>
      <c r="G60" s="512"/>
      <c r="H60" s="512"/>
      <c r="I60" s="512"/>
      <c r="J60" s="512"/>
      <c r="K60" s="512"/>
      <c r="L60" s="512"/>
      <c r="M60" s="513"/>
      <c r="N60" s="512"/>
      <c r="O60" s="513"/>
      <c r="P60" s="2684"/>
    </row>
    <row r="61" spans="1:29" s="116" customFormat="1" ht="15.75" thickBot="1">
      <c r="A61" s="515" t="s">
        <v>2586</v>
      </c>
      <c r="B61" s="516"/>
      <c r="C61" s="517"/>
      <c r="D61" s="518"/>
      <c r="E61" s="518"/>
      <c r="F61" s="518"/>
      <c r="G61" s="518"/>
      <c r="H61" s="518"/>
      <c r="I61" s="518"/>
      <c r="J61" s="518"/>
      <c r="K61" s="518"/>
      <c r="L61" s="518"/>
      <c r="M61" s="519"/>
      <c r="N61" s="518"/>
      <c r="O61" s="519"/>
      <c r="P61" s="2684"/>
      <c r="Q61" s="504"/>
    </row>
    <row r="62" spans="1:29" s="116" customFormat="1" ht="15">
      <c r="A62" s="521" t="s">
        <v>2551</v>
      </c>
      <c r="B62" s="510"/>
      <c r="C62" s="522" t="s">
        <v>2653</v>
      </c>
      <c r="D62" s="523"/>
      <c r="E62" s="523"/>
      <c r="F62" s="523"/>
      <c r="G62" s="523"/>
      <c r="H62" s="523"/>
      <c r="I62" s="523"/>
      <c r="J62" s="523"/>
      <c r="K62" s="523"/>
      <c r="L62" s="524"/>
      <c r="M62" s="525"/>
      <c r="N62" s="1151"/>
      <c r="O62" s="1151"/>
      <c r="P62" s="2685"/>
      <c r="Q62" s="504"/>
    </row>
    <row r="63" spans="1:29" s="116"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6" customFormat="1" ht="27.75" thickTop="1">
      <c r="A87" s="579"/>
      <c r="B87" s="538" t="s">
        <v>2700</v>
      </c>
      <c r="C87" s="554"/>
      <c r="D87" s="554"/>
      <c r="E87" s="554"/>
      <c r="F87" s="554"/>
      <c r="G87" s="554"/>
      <c r="H87" s="554"/>
      <c r="I87" s="554"/>
      <c r="J87" s="554"/>
      <c r="K87" s="554"/>
      <c r="L87" s="580"/>
      <c r="M87" s="581"/>
      <c r="N87" s="1151"/>
      <c r="O87" s="1151"/>
      <c r="P87" s="2686"/>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6"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2621</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4"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116944.15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78" t="s">
        <v>2647</v>
      </c>
      <c r="D4" s="3191"/>
      <c r="E4" s="3192" t="s">
        <v>2648</v>
      </c>
      <c r="F4" s="3193"/>
      <c r="G4" s="3178" t="s">
        <v>2649</v>
      </c>
      <c r="H4" s="3191"/>
      <c r="I4" s="3178" t="s">
        <v>2650</v>
      </c>
      <c r="J4" s="3191"/>
      <c r="K4" s="610" t="s">
        <v>2651</v>
      </c>
      <c r="L4" s="1130"/>
      <c r="M4" s="1131"/>
      <c r="N4" s="1131"/>
      <c r="O4" s="1131"/>
      <c r="P4" s="3194" t="s">
        <v>2652</v>
      </c>
      <c r="Q4" s="3195"/>
      <c r="R4" s="3200" t="s">
        <v>2648</v>
      </c>
      <c r="S4" s="3201"/>
      <c r="T4" s="3200" t="s">
        <v>2649</v>
      </c>
      <c r="U4" s="3201"/>
      <c r="V4" s="3187" t="s">
        <v>2650</v>
      </c>
      <c r="W4" s="3187"/>
      <c r="X4" s="1812"/>
      <c r="Y4" s="3200" t="s">
        <v>2652</v>
      </c>
      <c r="Z4" s="3201"/>
      <c r="AA4" s="3188" t="s">
        <v>2648</v>
      </c>
      <c r="AB4" s="3189" t="s">
        <v>2649</v>
      </c>
      <c r="AC4" s="3188" t="s">
        <v>2650</v>
      </c>
    </row>
    <row r="5" spans="1:29" ht="15">
      <c r="A5" s="404"/>
      <c r="B5" s="405"/>
      <c r="C5" s="3208" t="s">
        <v>2543</v>
      </c>
      <c r="D5" s="3209"/>
      <c r="E5" s="3215" t="s">
        <v>2544</v>
      </c>
      <c r="F5" s="3216"/>
      <c r="G5" s="3208" t="s">
        <v>2545</v>
      </c>
      <c r="H5" s="3209"/>
      <c r="I5" s="3208" t="s">
        <v>2546</v>
      </c>
      <c r="J5" s="3209"/>
      <c r="K5" s="610"/>
      <c r="L5" s="1130"/>
      <c r="M5" s="1131"/>
      <c r="N5" s="1131"/>
      <c r="O5" s="1131"/>
      <c r="P5" s="3196"/>
      <c r="Q5" s="3197"/>
      <c r="R5" s="3202"/>
      <c r="S5" s="3203"/>
      <c r="T5" s="3202"/>
      <c r="U5" s="3203"/>
      <c r="V5" s="3187"/>
      <c r="W5" s="3187"/>
      <c r="X5" s="1812"/>
      <c r="Y5" s="3202"/>
      <c r="Z5" s="3203"/>
      <c r="AA5" s="3189"/>
      <c r="AB5" s="3189"/>
      <c r="AC5" s="3189"/>
    </row>
    <row r="6" spans="1:29" ht="15.75" thickBot="1">
      <c r="A6" s="406"/>
      <c r="B6" s="407"/>
      <c r="C6" s="3206" t="s">
        <v>2547</v>
      </c>
      <c r="D6" s="3207"/>
      <c r="E6" s="3213" t="s">
        <v>2547</v>
      </c>
      <c r="F6" s="3214"/>
      <c r="G6" s="3206" t="s">
        <v>2547</v>
      </c>
      <c r="H6" s="3207"/>
      <c r="I6" s="3206" t="s">
        <v>2547</v>
      </c>
      <c r="J6" s="3207"/>
      <c r="K6" s="610" t="s">
        <v>2548</v>
      </c>
      <c r="L6" s="1130"/>
      <c r="M6" s="1131"/>
      <c r="N6" s="1131"/>
      <c r="O6" s="1131"/>
      <c r="P6" s="3198"/>
      <c r="Q6" s="3199"/>
      <c r="R6" s="3202"/>
      <c r="S6" s="3203"/>
      <c r="T6" s="3204"/>
      <c r="U6" s="3205"/>
      <c r="V6" s="3187"/>
      <c r="W6" s="3187"/>
      <c r="X6" s="1812"/>
      <c r="Y6" s="3204"/>
      <c r="Z6" s="3205"/>
      <c r="AA6" s="3190"/>
      <c r="AB6" s="3190"/>
      <c r="AC6" s="3190"/>
    </row>
    <row r="7" spans="1:29" s="116" customFormat="1" ht="15.75" thickBot="1">
      <c r="A7" s="408" t="s">
        <v>2549</v>
      </c>
      <c r="B7" s="409"/>
      <c r="C7" s="410">
        <f>'数据-取费表'!B2</f>
        <v>43070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0" t="s">
        <v>2550</v>
      </c>
      <c r="Q7" s="3212"/>
      <c r="R7" s="770" t="s">
        <v>17</v>
      </c>
      <c r="S7" s="771">
        <f t="shared" ref="S7:S15" si="0">F7</f>
        <v>0</v>
      </c>
      <c r="T7" s="770" t="s">
        <v>17</v>
      </c>
      <c r="U7" s="771">
        <f t="shared" ref="U7:U15" si="1">H7</f>
        <v>0</v>
      </c>
      <c r="V7" s="770" t="s">
        <v>17</v>
      </c>
      <c r="W7" s="771">
        <f t="shared" ref="W7:W15" si="2">J7</f>
        <v>0</v>
      </c>
      <c r="X7" s="772"/>
      <c r="Y7" s="3210" t="s">
        <v>2550</v>
      </c>
      <c r="Z7" s="3211"/>
      <c r="AA7" s="773" t="e">
        <f>D7/F7</f>
        <v>#DIV/0!</v>
      </c>
      <c r="AB7" s="773" t="e">
        <f>D7/H7</f>
        <v>#DIV/0!</v>
      </c>
      <c r="AC7" s="773" t="e">
        <f>D7/J7</f>
        <v>#DIV/0!</v>
      </c>
    </row>
    <row r="8" spans="1:29" s="116"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0" t="s">
        <v>2553</v>
      </c>
      <c r="Q8" s="3211"/>
      <c r="R8" s="770" t="s">
        <v>17</v>
      </c>
      <c r="S8" s="771">
        <f t="shared" si="0"/>
        <v>0</v>
      </c>
      <c r="T8" s="770" t="s">
        <v>17</v>
      </c>
      <c r="U8" s="771">
        <f t="shared" si="1"/>
        <v>0</v>
      </c>
      <c r="V8" s="770" t="s">
        <v>17</v>
      </c>
      <c r="W8" s="771">
        <f t="shared" si="2"/>
        <v>0</v>
      </c>
      <c r="X8" s="772"/>
      <c r="Y8" s="3210" t="s">
        <v>2553</v>
      </c>
      <c r="Z8" s="3211"/>
      <c r="AA8" s="773" t="e">
        <f t="shared" ref="AA8:AA40" si="3">D8/F8</f>
        <v>#DIV/0!</v>
      </c>
      <c r="AB8" s="773" t="e">
        <f t="shared" ref="AB8:AB40" si="4">D8/H8</f>
        <v>#DIV/0!</v>
      </c>
      <c r="AC8" s="773" t="e">
        <f t="shared" ref="AC8:AC40" si="5">D8/J8</f>
        <v>#DIV/0!</v>
      </c>
    </row>
    <row r="9" spans="1:29" s="116" customFormat="1">
      <c r="A9" s="415" t="s">
        <v>2554</v>
      </c>
      <c r="B9" s="70" t="s">
        <v>2555</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181" t="s">
        <v>2556</v>
      </c>
      <c r="Q9" s="1794" t="str">
        <f t="shared" ref="Q9:Q15" si="6">B9</f>
        <v>用途</v>
      </c>
      <c r="R9" s="770" t="s">
        <v>17</v>
      </c>
      <c r="S9" s="771">
        <f t="shared" si="0"/>
        <v>100</v>
      </c>
      <c r="T9" s="770" t="s">
        <v>17</v>
      </c>
      <c r="U9" s="771">
        <f t="shared" si="1"/>
        <v>100</v>
      </c>
      <c r="V9" s="770" t="s">
        <v>17</v>
      </c>
      <c r="W9" s="771">
        <f t="shared" si="2"/>
        <v>100</v>
      </c>
      <c r="X9" s="772"/>
      <c r="Y9" s="3029"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181"/>
      <c r="Q10" s="1794" t="str">
        <f t="shared" si="6"/>
        <v>土地使用年限（年）</v>
      </c>
      <c r="R10" s="770" t="s">
        <v>17</v>
      </c>
      <c r="S10" s="771">
        <f t="shared" si="0"/>
        <v>100</v>
      </c>
      <c r="T10" s="770" t="s">
        <v>17</v>
      </c>
      <c r="U10" s="771">
        <f t="shared" si="1"/>
        <v>100</v>
      </c>
      <c r="V10" s="770" t="s">
        <v>17</v>
      </c>
      <c r="W10" s="771">
        <f t="shared" si="2"/>
        <v>100</v>
      </c>
      <c r="X10" s="772"/>
      <c r="Y10" s="3029"/>
      <c r="Z10" s="54" t="str">
        <f t="shared" si="7"/>
        <v>土地使用年限（年）</v>
      </c>
      <c r="AA10" s="773">
        <f t="shared" si="3"/>
        <v>1</v>
      </c>
      <c r="AB10" s="773">
        <f t="shared" si="4"/>
        <v>1</v>
      </c>
      <c r="AC10" s="773">
        <f t="shared" si="5"/>
        <v>1</v>
      </c>
    </row>
    <row r="11" spans="1:29" ht="15">
      <c r="A11" s="428"/>
      <c r="B11" s="422" t="s">
        <v>2559</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181"/>
      <c r="Q11" s="1794" t="str">
        <f t="shared" si="6"/>
        <v>容积率</v>
      </c>
      <c r="R11" s="770" t="s">
        <v>17</v>
      </c>
      <c r="S11" s="771" t="e">
        <f t="shared" si="0"/>
        <v>#N/A</v>
      </c>
      <c r="T11" s="770" t="s">
        <v>17</v>
      </c>
      <c r="U11" s="771" t="e">
        <f t="shared" si="1"/>
        <v>#N/A</v>
      </c>
      <c r="V11" s="770" t="s">
        <v>17</v>
      </c>
      <c r="W11" s="771" t="e">
        <f t="shared" si="2"/>
        <v>#N/A</v>
      </c>
      <c r="X11" s="772"/>
      <c r="Y11" s="3029"/>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2"/>
      <c r="M12" s="1133"/>
      <c r="N12" s="1133"/>
      <c r="O12" s="1134"/>
      <c r="P12" s="3181"/>
      <c r="Q12" s="1794">
        <f t="shared" si="6"/>
        <v>111</v>
      </c>
      <c r="R12" s="770" t="s">
        <v>17</v>
      </c>
      <c r="S12" s="771">
        <f t="shared" si="0"/>
        <v>100</v>
      </c>
      <c r="T12" s="770" t="s">
        <v>17</v>
      </c>
      <c r="U12" s="771">
        <f t="shared" si="1"/>
        <v>100</v>
      </c>
      <c r="V12" s="770" t="s">
        <v>17</v>
      </c>
      <c r="W12" s="771">
        <f t="shared" si="2"/>
        <v>100</v>
      </c>
      <c r="X12" s="772"/>
      <c r="Y12" s="3029"/>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0"/>
      <c r="M13" s="1131"/>
      <c r="N13" s="1131"/>
      <c r="O13" s="1139"/>
      <c r="P13" s="3181"/>
      <c r="Q13" s="1794">
        <f t="shared" si="6"/>
        <v>111</v>
      </c>
      <c r="R13" s="770" t="s">
        <v>17</v>
      </c>
      <c r="S13" s="771">
        <f t="shared" si="0"/>
        <v>100</v>
      </c>
      <c r="T13" s="770" t="s">
        <v>17</v>
      </c>
      <c r="U13" s="771">
        <f t="shared" si="1"/>
        <v>100</v>
      </c>
      <c r="V13" s="770" t="s">
        <v>17</v>
      </c>
      <c r="W13" s="771">
        <f t="shared" si="2"/>
        <v>100</v>
      </c>
      <c r="X13" s="772"/>
      <c r="Y13" s="3029"/>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81"/>
      <c r="Q14" s="1794">
        <f t="shared" si="6"/>
        <v>111</v>
      </c>
      <c r="R14" s="770" t="s">
        <v>17</v>
      </c>
      <c r="S14" s="771">
        <f t="shared" si="0"/>
        <v>100</v>
      </c>
      <c r="T14" s="770" t="s">
        <v>17</v>
      </c>
      <c r="U14" s="771">
        <f t="shared" si="1"/>
        <v>100</v>
      </c>
      <c r="V14" s="770" t="s">
        <v>17</v>
      </c>
      <c r="W14" s="771">
        <f t="shared" si="2"/>
        <v>100</v>
      </c>
      <c r="X14" s="772"/>
      <c r="Y14" s="3029"/>
      <c r="Z14" s="54">
        <f t="shared" si="7"/>
        <v>111</v>
      </c>
      <c r="AA14" s="773">
        <f t="shared" si="3"/>
        <v>1</v>
      </c>
      <c r="AB14" s="773">
        <f t="shared" si="4"/>
        <v>1</v>
      </c>
      <c r="AC14" s="773">
        <f t="shared" si="5"/>
        <v>1</v>
      </c>
    </row>
    <row r="15" spans="1:29" ht="57">
      <c r="A15" s="440" t="s">
        <v>2560</v>
      </c>
      <c r="B15" s="68"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3" t="s">
        <v>2561</v>
      </c>
      <c r="Q15" s="1809" t="str">
        <f t="shared" si="6"/>
        <v>产业集聚程度</v>
      </c>
      <c r="R15" s="774" t="s">
        <v>17</v>
      </c>
      <c r="S15" s="775">
        <f t="shared" si="0"/>
        <v>100</v>
      </c>
      <c r="T15" s="774" t="s">
        <v>17</v>
      </c>
      <c r="U15" s="775">
        <f t="shared" si="1"/>
        <v>100</v>
      </c>
      <c r="V15" s="774" t="s">
        <v>17</v>
      </c>
      <c r="W15" s="775">
        <f t="shared" si="2"/>
        <v>100</v>
      </c>
      <c r="X15" s="1812"/>
      <c r="Y15" s="3183"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4"/>
      <c r="Q16" s="1809"/>
      <c r="R16" s="774"/>
      <c r="S16" s="775"/>
      <c r="T16" s="774"/>
      <c r="U16" s="775"/>
      <c r="V16" s="774"/>
      <c r="W16" s="775"/>
      <c r="X16" s="1812"/>
      <c r="Y16" s="3184"/>
      <c r="Z16" s="1813"/>
      <c r="AA16" s="1810">
        <v>1</v>
      </c>
      <c r="AB16" s="1810">
        <v>1</v>
      </c>
      <c r="AC16" s="1810">
        <v>1</v>
      </c>
    </row>
    <row r="17" spans="1:29" ht="85.5">
      <c r="A17" s="428"/>
      <c r="B17" s="451" t="s">
        <v>2100</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4"/>
      <c r="Q17" s="1809" t="str">
        <f>B17</f>
        <v>交通便捷度</v>
      </c>
      <c r="R17" s="774" t="s">
        <v>17</v>
      </c>
      <c r="S17" s="775">
        <f>F17</f>
        <v>100</v>
      </c>
      <c r="T17" s="774" t="s">
        <v>17</v>
      </c>
      <c r="U17" s="775">
        <f>H17</f>
        <v>100</v>
      </c>
      <c r="V17" s="774" t="s">
        <v>17</v>
      </c>
      <c r="W17" s="775">
        <f>J17</f>
        <v>100</v>
      </c>
      <c r="X17" s="1812"/>
      <c r="Y17" s="3184"/>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184"/>
      <c r="Q18" s="1809"/>
      <c r="R18" s="774"/>
      <c r="S18" s="775"/>
      <c r="T18" s="774"/>
      <c r="U18" s="775"/>
      <c r="V18" s="774"/>
      <c r="W18" s="775"/>
      <c r="X18" s="1812"/>
      <c r="Y18" s="3184"/>
      <c r="Z18" s="1813"/>
      <c r="AA18" s="1810">
        <v>1</v>
      </c>
      <c r="AB18" s="1810">
        <v>1</v>
      </c>
      <c r="AC18" s="1810">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4"/>
      <c r="Q19" s="1809" t="str">
        <f>B19</f>
        <v>公共配套设施</v>
      </c>
      <c r="R19" s="774" t="s">
        <v>17</v>
      </c>
      <c r="S19" s="775">
        <f>F19</f>
        <v>100</v>
      </c>
      <c r="T19" s="774" t="s">
        <v>17</v>
      </c>
      <c r="U19" s="775">
        <f>H19</f>
        <v>100</v>
      </c>
      <c r="V19" s="774" t="s">
        <v>17</v>
      </c>
      <c r="W19" s="775">
        <f>J19</f>
        <v>100</v>
      </c>
      <c r="X19" s="1812"/>
      <c r="Y19" s="3184"/>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184"/>
      <c r="Q20" s="1809"/>
      <c r="R20" s="774"/>
      <c r="S20" s="775"/>
      <c r="T20" s="774"/>
      <c r="U20" s="775"/>
      <c r="V20" s="774"/>
      <c r="W20" s="775"/>
      <c r="X20" s="1812"/>
      <c r="Y20" s="3184"/>
      <c r="Z20" s="1813"/>
      <c r="AA20" s="1810">
        <v>1</v>
      </c>
      <c r="AB20" s="1810">
        <v>1</v>
      </c>
      <c r="AC20" s="1810">
        <v>1</v>
      </c>
    </row>
    <row r="21" spans="1:29" ht="28.5">
      <c r="A21" s="428"/>
      <c r="B21" s="1384"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4"/>
      <c r="Q21" s="1809" t="str">
        <f>B21</f>
        <v>基础设施水平</v>
      </c>
      <c r="R21" s="774" t="s">
        <v>17</v>
      </c>
      <c r="S21" s="775">
        <f>F21</f>
        <v>100</v>
      </c>
      <c r="T21" s="774" t="s">
        <v>17</v>
      </c>
      <c r="U21" s="775">
        <f>H21</f>
        <v>100</v>
      </c>
      <c r="V21" s="774" t="s">
        <v>17</v>
      </c>
      <c r="W21" s="775">
        <f>J21</f>
        <v>100</v>
      </c>
      <c r="X21" s="1812"/>
      <c r="Y21" s="3184"/>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184"/>
      <c r="Q22" s="1809"/>
      <c r="R22" s="774"/>
      <c r="S22" s="775"/>
      <c r="T22" s="774"/>
      <c r="U22" s="775"/>
      <c r="V22" s="774"/>
      <c r="W22" s="775"/>
      <c r="X22" s="1812"/>
      <c r="Y22" s="3184"/>
      <c r="Z22" s="1813"/>
      <c r="AA22" s="1810">
        <v>1</v>
      </c>
      <c r="AB22" s="1810">
        <v>1</v>
      </c>
      <c r="AC22" s="1810">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4"/>
      <c r="Q23" s="1809" t="str">
        <f>B23</f>
        <v>环境质量</v>
      </c>
      <c r="R23" s="774" t="s">
        <v>17</v>
      </c>
      <c r="S23" s="775">
        <f>F23</f>
        <v>100</v>
      </c>
      <c r="T23" s="774" t="s">
        <v>17</v>
      </c>
      <c r="U23" s="775">
        <f>H23</f>
        <v>100</v>
      </c>
      <c r="V23" s="774" t="s">
        <v>17</v>
      </c>
      <c r="W23" s="775">
        <f>J23</f>
        <v>100</v>
      </c>
      <c r="X23" s="1812"/>
      <c r="Y23" s="3184"/>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184"/>
      <c r="Q24" s="1809"/>
      <c r="R24" s="774"/>
      <c r="S24" s="775"/>
      <c r="T24" s="774"/>
      <c r="U24" s="775"/>
      <c r="V24" s="774"/>
      <c r="W24" s="775"/>
      <c r="X24" s="1812"/>
      <c r="Y24" s="3184"/>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4"/>
      <c r="Q25" s="1809">
        <f>B25</f>
        <v>111</v>
      </c>
      <c r="R25" s="774" t="s">
        <v>17</v>
      </c>
      <c r="S25" s="775">
        <f>F25</f>
        <v>100</v>
      </c>
      <c r="T25" s="774" t="s">
        <v>17</v>
      </c>
      <c r="U25" s="775">
        <f>H25</f>
        <v>100</v>
      </c>
      <c r="V25" s="774" t="s">
        <v>17</v>
      </c>
      <c r="W25" s="775">
        <f>J25</f>
        <v>100</v>
      </c>
      <c r="X25" s="1812"/>
      <c r="Y25" s="3184"/>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4"/>
      <c r="Q26" s="1809">
        <f t="shared" ref="Q26:Q40" si="11">B26</f>
        <v>111</v>
      </c>
      <c r="R26" s="774" t="s">
        <v>17</v>
      </c>
      <c r="S26" s="775">
        <f>F26</f>
        <v>100</v>
      </c>
      <c r="T26" s="774" t="s">
        <v>17</v>
      </c>
      <c r="U26" s="775">
        <f>H26</f>
        <v>100</v>
      </c>
      <c r="V26" s="774" t="s">
        <v>17</v>
      </c>
      <c r="W26" s="775">
        <f>J26</f>
        <v>100</v>
      </c>
      <c r="X26" s="1812"/>
      <c r="Y26" s="3184"/>
      <c r="Z26" s="1813">
        <f>Q26</f>
        <v>111</v>
      </c>
      <c r="AA26" s="1810">
        <f t="shared" si="3"/>
        <v>1</v>
      </c>
      <c r="AB26" s="1810">
        <f t="shared" si="4"/>
        <v>1</v>
      </c>
      <c r="AC26" s="1810">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4"/>
      <c r="Q27" s="1794">
        <f t="shared" si="11"/>
        <v>111</v>
      </c>
      <c r="R27" s="770" t="s">
        <v>17</v>
      </c>
      <c r="S27" s="771">
        <f>F27</f>
        <v>100</v>
      </c>
      <c r="T27" s="770" t="s">
        <v>17</v>
      </c>
      <c r="U27" s="771">
        <f>H27</f>
        <v>100</v>
      </c>
      <c r="V27" s="770" t="s">
        <v>17</v>
      </c>
      <c r="W27" s="771">
        <f>J27</f>
        <v>100</v>
      </c>
      <c r="X27" s="772"/>
      <c r="Y27" s="3184"/>
      <c r="Z27" s="54">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4"/>
      <c r="Q28" s="1809">
        <f t="shared" si="11"/>
        <v>111</v>
      </c>
      <c r="R28" s="774" t="s">
        <v>17</v>
      </c>
      <c r="S28" s="775">
        <f t="shared" ref="S28:S40" si="12">F28</f>
        <v>100</v>
      </c>
      <c r="T28" s="774" t="s">
        <v>17</v>
      </c>
      <c r="U28" s="775">
        <f t="shared" ref="U28:U40" si="13">H28</f>
        <v>100</v>
      </c>
      <c r="V28" s="774" t="s">
        <v>17</v>
      </c>
      <c r="W28" s="775">
        <f t="shared" ref="W28:W40" si="14">J28</f>
        <v>100</v>
      </c>
      <c r="X28" s="1812"/>
      <c r="Y28" s="3184"/>
      <c r="Z28" s="1813">
        <f t="shared" ref="Z28:Z40" si="15">Q28</f>
        <v>111</v>
      </c>
      <c r="AA28" s="1810">
        <f t="shared" si="3"/>
        <v>1</v>
      </c>
      <c r="AB28" s="1810">
        <f t="shared" si="4"/>
        <v>1</v>
      </c>
      <c r="AC28" s="1810">
        <f t="shared" si="5"/>
        <v>1</v>
      </c>
    </row>
    <row r="29" spans="1:29" ht="15">
      <c r="A29" s="466" t="s">
        <v>2564</v>
      </c>
      <c r="B29" s="70"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185" t="s">
        <v>2566</v>
      </c>
      <c r="Q29" s="1809" t="str">
        <f t="shared" si="11"/>
        <v>建筑类型</v>
      </c>
      <c r="R29" s="774" t="s">
        <v>17</v>
      </c>
      <c r="S29" s="775">
        <f t="shared" si="12"/>
        <v>100</v>
      </c>
      <c r="T29" s="774" t="s">
        <v>17</v>
      </c>
      <c r="U29" s="775">
        <f t="shared" si="13"/>
        <v>100</v>
      </c>
      <c r="V29" s="774" t="s">
        <v>17</v>
      </c>
      <c r="W29" s="775">
        <f t="shared" si="14"/>
        <v>100</v>
      </c>
      <c r="X29" s="1812"/>
      <c r="Y29" s="3186" t="s">
        <v>2566</v>
      </c>
      <c r="Z29" s="1813" t="str">
        <f t="shared" si="15"/>
        <v>建筑类型</v>
      </c>
      <c r="AA29" s="1810">
        <f t="shared" si="3"/>
        <v>1</v>
      </c>
      <c r="AB29" s="1810">
        <f t="shared" si="4"/>
        <v>1</v>
      </c>
      <c r="AC29" s="1810">
        <f t="shared" si="5"/>
        <v>1</v>
      </c>
    </row>
    <row r="30" spans="1:29" s="471" customFormat="1" ht="15">
      <c r="A30" s="468"/>
      <c r="B30" s="422" t="s">
        <v>2567</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186"/>
      <c r="Q30" s="776" t="str">
        <f t="shared" si="11"/>
        <v>项目建筑规模</v>
      </c>
      <c r="R30" s="777" t="s">
        <v>17</v>
      </c>
      <c r="S30" s="778" t="e">
        <f t="shared" si="12"/>
        <v>#N/A</v>
      </c>
      <c r="T30" s="777" t="s">
        <v>17</v>
      </c>
      <c r="U30" s="778" t="e">
        <f t="shared" si="13"/>
        <v>#N/A</v>
      </c>
      <c r="V30" s="777" t="s">
        <v>17</v>
      </c>
      <c r="W30" s="778" t="e">
        <f t="shared" si="14"/>
        <v>#N/A</v>
      </c>
      <c r="X30" s="779"/>
      <c r="Y30" s="3186"/>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6"/>
      <c r="Q31" s="1809" t="str">
        <f t="shared" si="11"/>
        <v>建筑结构</v>
      </c>
      <c r="R31" s="774" t="s">
        <v>17</v>
      </c>
      <c r="S31" s="775">
        <f t="shared" si="12"/>
        <v>100</v>
      </c>
      <c r="T31" s="774" t="s">
        <v>17</v>
      </c>
      <c r="U31" s="775">
        <f t="shared" si="13"/>
        <v>100</v>
      </c>
      <c r="V31" s="774" t="s">
        <v>17</v>
      </c>
      <c r="W31" s="775">
        <f t="shared" si="14"/>
        <v>100</v>
      </c>
      <c r="X31" s="1812"/>
      <c r="Y31" s="3186"/>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6"/>
      <c r="Q32" s="1809" t="str">
        <f t="shared" si="11"/>
        <v>公共部分装修</v>
      </c>
      <c r="R32" s="774" t="s">
        <v>17</v>
      </c>
      <c r="S32" s="775">
        <f t="shared" si="12"/>
        <v>100</v>
      </c>
      <c r="T32" s="774" t="s">
        <v>17</v>
      </c>
      <c r="U32" s="775">
        <f t="shared" si="13"/>
        <v>100</v>
      </c>
      <c r="V32" s="774" t="s">
        <v>17</v>
      </c>
      <c r="W32" s="775">
        <f t="shared" si="14"/>
        <v>100</v>
      </c>
      <c r="X32" s="1812"/>
      <c r="Y32" s="3186"/>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6"/>
      <c r="Q33" s="1809" t="str">
        <f t="shared" si="11"/>
        <v>成新度</v>
      </c>
      <c r="R33" s="774" t="s">
        <v>17</v>
      </c>
      <c r="S33" s="775" t="e">
        <f t="shared" si="12"/>
        <v>#N/A</v>
      </c>
      <c r="T33" s="774" t="s">
        <v>17</v>
      </c>
      <c r="U33" s="775" t="e">
        <f t="shared" si="13"/>
        <v>#N/A</v>
      </c>
      <c r="V33" s="774" t="s">
        <v>17</v>
      </c>
      <c r="W33" s="775" t="e">
        <f t="shared" si="14"/>
        <v>#N/A</v>
      </c>
      <c r="X33" s="1812"/>
      <c r="Y33" s="3186"/>
      <c r="Z33" s="1813" t="str">
        <f t="shared" si="15"/>
        <v>成新度</v>
      </c>
      <c r="AA33" s="1810" t="e">
        <f t="shared" si="3"/>
        <v>#N/A</v>
      </c>
      <c r="AB33" s="1810" t="e">
        <f t="shared" si="4"/>
        <v>#N/A</v>
      </c>
      <c r="AC33" s="1810" t="e">
        <f t="shared" si="5"/>
        <v>#N/A</v>
      </c>
    </row>
    <row r="34" spans="1:29" s="116" customFormat="1" ht="15">
      <c r="A34" s="473"/>
      <c r="B34" s="422" t="s">
        <v>2696</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6"/>
      <c r="Q34" s="1794" t="str">
        <f t="shared" si="11"/>
        <v>物业管理</v>
      </c>
      <c r="R34" s="770" t="s">
        <v>17</v>
      </c>
      <c r="S34" s="771">
        <f t="shared" si="12"/>
        <v>100</v>
      </c>
      <c r="T34" s="770" t="s">
        <v>17</v>
      </c>
      <c r="U34" s="771">
        <f t="shared" si="13"/>
        <v>100</v>
      </c>
      <c r="V34" s="770" t="s">
        <v>17</v>
      </c>
      <c r="W34" s="771">
        <f t="shared" si="14"/>
        <v>100</v>
      </c>
      <c r="X34" s="772"/>
      <c r="Y34" s="3186"/>
      <c r="Z34" s="54"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6" t="s">
        <v>2566</v>
      </c>
      <c r="Q35" s="1809" t="str">
        <f t="shared" si="11"/>
        <v>市政基础设施</v>
      </c>
      <c r="R35" s="774" t="s">
        <v>17</v>
      </c>
      <c r="S35" s="775">
        <f t="shared" si="12"/>
        <v>100</v>
      </c>
      <c r="T35" s="774" t="s">
        <v>17</v>
      </c>
      <c r="U35" s="775">
        <f t="shared" si="13"/>
        <v>100</v>
      </c>
      <c r="V35" s="774" t="s">
        <v>17</v>
      </c>
      <c r="W35" s="775">
        <f t="shared" si="14"/>
        <v>100</v>
      </c>
      <c r="X35" s="1812"/>
      <c r="Y35" s="3186"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6"/>
      <c r="Q36" s="1809" t="str">
        <f t="shared" si="11"/>
        <v>内部装修</v>
      </c>
      <c r="R36" s="774" t="s">
        <v>17</v>
      </c>
      <c r="S36" s="775">
        <f t="shared" si="12"/>
        <v>100</v>
      </c>
      <c r="T36" s="774" t="s">
        <v>17</v>
      </c>
      <c r="U36" s="775">
        <f t="shared" si="13"/>
        <v>100</v>
      </c>
      <c r="V36" s="774" t="s">
        <v>17</v>
      </c>
      <c r="W36" s="775">
        <f t="shared" si="14"/>
        <v>100</v>
      </c>
      <c r="X36" s="1812"/>
      <c r="Y36" s="3186"/>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6"/>
      <c r="Q37" s="1809" t="str">
        <f t="shared" si="11"/>
        <v>内部装修状况</v>
      </c>
      <c r="R37" s="774" t="s">
        <v>17</v>
      </c>
      <c r="S37" s="775">
        <f t="shared" si="12"/>
        <v>100</v>
      </c>
      <c r="T37" s="774" t="s">
        <v>17</v>
      </c>
      <c r="U37" s="775">
        <f t="shared" si="13"/>
        <v>100</v>
      </c>
      <c r="V37" s="774" t="s">
        <v>17</v>
      </c>
      <c r="W37" s="775">
        <f t="shared" si="14"/>
        <v>100</v>
      </c>
      <c r="X37" s="1812"/>
      <c r="Y37" s="3186"/>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6"/>
      <c r="Q38" s="776">
        <f t="shared" si="11"/>
        <v>111</v>
      </c>
      <c r="R38" s="777" t="s">
        <v>17</v>
      </c>
      <c r="S38" s="778">
        <f t="shared" si="12"/>
        <v>100</v>
      </c>
      <c r="T38" s="777" t="s">
        <v>17</v>
      </c>
      <c r="U38" s="778">
        <f t="shared" si="13"/>
        <v>100</v>
      </c>
      <c r="V38" s="777" t="s">
        <v>17</v>
      </c>
      <c r="W38" s="778">
        <f t="shared" si="14"/>
        <v>100</v>
      </c>
      <c r="X38" s="779"/>
      <c r="Y38" s="3186"/>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6"/>
      <c r="Q39" s="1809">
        <f t="shared" si="11"/>
        <v>111</v>
      </c>
      <c r="R39" s="774" t="s">
        <v>17</v>
      </c>
      <c r="S39" s="775">
        <f t="shared" si="12"/>
        <v>100</v>
      </c>
      <c r="T39" s="774" t="s">
        <v>17</v>
      </c>
      <c r="U39" s="775">
        <f t="shared" si="13"/>
        <v>100</v>
      </c>
      <c r="V39" s="774" t="s">
        <v>17</v>
      </c>
      <c r="W39" s="775">
        <f t="shared" si="14"/>
        <v>100</v>
      </c>
      <c r="X39" s="1812"/>
      <c r="Y39" s="3186"/>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4"/>
      <c r="Q40" s="1809">
        <f t="shared" si="11"/>
        <v>111</v>
      </c>
      <c r="R40" s="774" t="s">
        <v>17</v>
      </c>
      <c r="S40" s="775">
        <f t="shared" si="12"/>
        <v>100</v>
      </c>
      <c r="T40" s="774" t="s">
        <v>17</v>
      </c>
      <c r="U40" s="775">
        <f t="shared" si="13"/>
        <v>100</v>
      </c>
      <c r="V40" s="774" t="s">
        <v>17</v>
      </c>
      <c r="W40" s="775">
        <f t="shared" si="14"/>
        <v>100</v>
      </c>
      <c r="X40" s="1812"/>
      <c r="Y40" s="3264"/>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3"/>
      <c r="M41" s="1144"/>
      <c r="N41" s="1131"/>
      <c r="O41" s="1144"/>
      <c r="P41" s="3181" t="str">
        <f>A41</f>
        <v>成交单价（元/平方米）</v>
      </c>
      <c r="Q41" s="3181"/>
      <c r="R41" s="3260">
        <f>E41</f>
        <v>0</v>
      </c>
      <c r="S41" s="3260"/>
      <c r="T41" s="3260">
        <f>G41</f>
        <v>0</v>
      </c>
      <c r="U41" s="3260"/>
      <c r="V41" s="3260">
        <f>I41</f>
        <v>0</v>
      </c>
      <c r="W41" s="3260"/>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181" t="str">
        <f>A42</f>
        <v>比较价值（元/平方米）</v>
      </c>
      <c r="Q42" s="3181"/>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3"/>
      <c r="M43" s="1144"/>
      <c r="N43" s="1144"/>
      <c r="O43" s="1144"/>
      <c r="P43" s="3175" t="str">
        <f>A43</f>
        <v>估价对象XX用房的比较价值（楼面单价，元/平方米）</v>
      </c>
      <c r="Q43" s="3176"/>
      <c r="R43" s="3259" t="e">
        <f>IF(F1="售价",ROUND(AVERAGE(R42:V42),0),ROUND(AVERAGE(R42:V42),1))</f>
        <v>#DIV/0!</v>
      </c>
      <c r="S43" s="3259"/>
      <c r="T43" s="3259"/>
      <c r="U43" s="3259"/>
      <c r="V43" s="3259"/>
      <c r="W43" s="325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3" t="str">
        <f>YEAR(C7)&amp;"-"&amp;MONTH(C7)</f>
        <v>2017-12</v>
      </c>
      <c r="D52" s="1574">
        <f>EDATE(C52,-1)</f>
        <v>43040</v>
      </c>
      <c r="E52" s="1574">
        <f t="shared" ref="E52:O52" si="16">EDATE(D52,-1)</f>
        <v>43009</v>
      </c>
      <c r="F52" s="1574">
        <f t="shared" si="16"/>
        <v>42979</v>
      </c>
      <c r="G52" s="1574">
        <f t="shared" si="16"/>
        <v>42948</v>
      </c>
      <c r="H52" s="1574">
        <f t="shared" si="16"/>
        <v>42917</v>
      </c>
      <c r="I52" s="1574">
        <f t="shared" si="16"/>
        <v>42887</v>
      </c>
      <c r="J52" s="1574">
        <f t="shared" si="16"/>
        <v>42856</v>
      </c>
      <c r="K52" s="1574">
        <f t="shared" si="16"/>
        <v>42826</v>
      </c>
      <c r="L52" s="1574">
        <f t="shared" si="16"/>
        <v>42795</v>
      </c>
      <c r="M52" s="1574">
        <f t="shared" si="16"/>
        <v>42767</v>
      </c>
      <c r="N52" s="1574">
        <f t="shared" si="16"/>
        <v>42736</v>
      </c>
      <c r="O52" s="1574">
        <f t="shared" si="16"/>
        <v>42705</v>
      </c>
      <c r="P52" s="507"/>
    </row>
    <row r="53" spans="1:17" s="116" customFormat="1" ht="15">
      <c r="A53" s="509"/>
      <c r="B53" s="510"/>
      <c r="C53" s="1572">
        <v>100</v>
      </c>
      <c r="D53" s="512"/>
      <c r="E53" s="512"/>
      <c r="F53" s="512"/>
      <c r="G53" s="512"/>
      <c r="H53" s="512"/>
      <c r="I53" s="512"/>
      <c r="J53" s="512"/>
      <c r="K53" s="512"/>
      <c r="L53" s="512"/>
      <c r="M53" s="513"/>
      <c r="N53" s="512"/>
      <c r="O53" s="514"/>
      <c r="P53" s="504"/>
    </row>
    <row r="54" spans="1:17" s="116" customFormat="1" ht="15.75" thickBot="1">
      <c r="A54" s="515" t="s">
        <v>2586</v>
      </c>
      <c r="B54" s="516"/>
      <c r="C54" s="517"/>
      <c r="D54" s="518"/>
      <c r="E54" s="518"/>
      <c r="F54" s="518"/>
      <c r="G54" s="518"/>
      <c r="H54" s="518"/>
      <c r="I54" s="518"/>
      <c r="J54" s="518"/>
      <c r="K54" s="518"/>
      <c r="L54" s="518"/>
      <c r="M54" s="519"/>
      <c r="N54" s="518"/>
      <c r="O54" s="520"/>
      <c r="P54" s="504"/>
      <c r="Q54" s="504"/>
    </row>
    <row r="55" spans="1:17" s="116" customFormat="1" ht="15">
      <c r="A55" s="521" t="s">
        <v>2551</v>
      </c>
      <c r="B55" s="510"/>
      <c r="C55" s="522" t="s">
        <v>2653</v>
      </c>
      <c r="D55" s="523"/>
      <c r="E55" s="523"/>
      <c r="F55" s="523"/>
      <c r="G55" s="523"/>
      <c r="H55" s="523"/>
      <c r="I55" s="523"/>
      <c r="J55" s="523"/>
      <c r="K55" s="523"/>
      <c r="L55" s="524"/>
      <c r="M55" s="525"/>
      <c r="N55" s="1151"/>
      <c r="O55" s="1151"/>
      <c r="P55" s="526"/>
      <c r="Q55" s="504"/>
    </row>
    <row r="56" spans="1:17" s="116"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4"/>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8"/>
      <c r="B87" s="569"/>
      <c r="C87" s="570"/>
      <c r="D87" s="570"/>
      <c r="E87" s="570"/>
      <c r="F87" s="570"/>
      <c r="G87" s="591"/>
      <c r="H87" s="591"/>
      <c r="I87" s="591"/>
      <c r="J87" s="591"/>
      <c r="K87" s="591"/>
      <c r="L87" s="591"/>
      <c r="M87" s="592"/>
      <c r="N87" s="1153"/>
      <c r="O87" s="1153"/>
      <c r="P87" s="44"/>
      <c r="Q87" s="504"/>
    </row>
    <row r="88" spans="1:17">
      <c r="A88" s="527" t="s">
        <v>2564</v>
      </c>
      <c r="B88" s="528" t="s">
        <v>2613</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2617</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3"/>
      <c r="J98" s="623"/>
      <c r="K98" s="624"/>
      <c r="L98" s="625"/>
      <c r="M98" s="626"/>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2621</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8"/>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2646</v>
      </c>
      <c r="B4" s="402"/>
      <c r="C4" s="3178" t="s">
        <v>2647</v>
      </c>
      <c r="D4" s="3191"/>
      <c r="E4" s="3192" t="s">
        <v>2648</v>
      </c>
      <c r="F4" s="3193"/>
      <c r="G4" s="3178" t="s">
        <v>2649</v>
      </c>
      <c r="H4" s="3191"/>
      <c r="I4" s="3178" t="s">
        <v>2650</v>
      </c>
      <c r="J4" s="3191"/>
      <c r="K4" s="610" t="s">
        <v>2651</v>
      </c>
      <c r="L4" s="1130"/>
      <c r="M4" s="1131"/>
      <c r="N4" s="1131"/>
      <c r="O4" s="1131"/>
      <c r="P4" s="3194" t="s">
        <v>2652</v>
      </c>
      <c r="Q4" s="3195"/>
      <c r="R4" s="3200" t="s">
        <v>2648</v>
      </c>
      <c r="S4" s="3201"/>
      <c r="T4" s="3200" t="s">
        <v>2649</v>
      </c>
      <c r="U4" s="3201"/>
      <c r="V4" s="3187" t="s">
        <v>2650</v>
      </c>
      <c r="W4" s="3187"/>
      <c r="X4" s="1812"/>
      <c r="Y4" s="3200" t="s">
        <v>2652</v>
      </c>
      <c r="Z4" s="3201"/>
      <c r="AA4" s="3188" t="s">
        <v>2648</v>
      </c>
      <c r="AB4" s="3189" t="s">
        <v>2649</v>
      </c>
      <c r="AC4" s="3188" t="s">
        <v>2650</v>
      </c>
    </row>
    <row r="5" spans="1:29" ht="15">
      <c r="A5" s="404"/>
      <c r="B5" s="405"/>
      <c r="C5" s="3208" t="s">
        <v>2543</v>
      </c>
      <c r="D5" s="3209"/>
      <c r="E5" s="3215" t="s">
        <v>2544</v>
      </c>
      <c r="F5" s="3216"/>
      <c r="G5" s="3208" t="s">
        <v>2545</v>
      </c>
      <c r="H5" s="3209"/>
      <c r="I5" s="3208" t="s">
        <v>2546</v>
      </c>
      <c r="J5" s="3209"/>
      <c r="K5" s="610"/>
      <c r="L5" s="1130"/>
      <c r="M5" s="1131"/>
      <c r="N5" s="1131"/>
      <c r="O5" s="1131"/>
      <c r="P5" s="3196"/>
      <c r="Q5" s="3197"/>
      <c r="R5" s="3202"/>
      <c r="S5" s="3203"/>
      <c r="T5" s="3202"/>
      <c r="U5" s="3203"/>
      <c r="V5" s="3187"/>
      <c r="W5" s="3187"/>
      <c r="X5" s="1812"/>
      <c r="Y5" s="3202"/>
      <c r="Z5" s="3203"/>
      <c r="AA5" s="3189"/>
      <c r="AB5" s="3189"/>
      <c r="AC5" s="3189"/>
    </row>
    <row r="6" spans="1:29" ht="15.75" thickBot="1">
      <c r="A6" s="406"/>
      <c r="B6" s="407"/>
      <c r="C6" s="3206" t="s">
        <v>2547</v>
      </c>
      <c r="D6" s="3207"/>
      <c r="E6" s="3213" t="s">
        <v>2547</v>
      </c>
      <c r="F6" s="3214"/>
      <c r="G6" s="3206" t="s">
        <v>2547</v>
      </c>
      <c r="H6" s="3207"/>
      <c r="I6" s="3206" t="s">
        <v>2547</v>
      </c>
      <c r="J6" s="3207"/>
      <c r="K6" s="610" t="s">
        <v>2548</v>
      </c>
      <c r="L6" s="1130"/>
      <c r="M6" s="1131"/>
      <c r="N6" s="1131"/>
      <c r="O6" s="1131"/>
      <c r="P6" s="3198"/>
      <c r="Q6" s="3199"/>
      <c r="R6" s="3202"/>
      <c r="S6" s="3203"/>
      <c r="T6" s="3204"/>
      <c r="U6" s="3205"/>
      <c r="V6" s="3187"/>
      <c r="W6" s="3187"/>
      <c r="X6" s="1812"/>
      <c r="Y6" s="3204"/>
      <c r="Z6" s="3205"/>
      <c r="AA6" s="3190"/>
      <c r="AB6" s="3190"/>
      <c r="AC6" s="3190"/>
    </row>
    <row r="7" spans="1:29" s="116" customFormat="1" ht="15.75" thickBot="1">
      <c r="A7" s="408" t="s">
        <v>2549</v>
      </c>
      <c r="B7" s="409"/>
      <c r="C7" s="410">
        <f>'数据-取费表'!B2</f>
        <v>43070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0" t="s">
        <v>2550</v>
      </c>
      <c r="Q7" s="3212"/>
      <c r="R7" s="770" t="s">
        <v>17</v>
      </c>
      <c r="S7" s="771">
        <f t="shared" ref="S7:S14" si="0">F7</f>
        <v>0</v>
      </c>
      <c r="T7" s="770" t="s">
        <v>17</v>
      </c>
      <c r="U7" s="771">
        <f t="shared" ref="U7:U14" si="1">H7</f>
        <v>0</v>
      </c>
      <c r="V7" s="770" t="s">
        <v>17</v>
      </c>
      <c r="W7" s="771">
        <f t="shared" ref="W7:W14" si="2">J7</f>
        <v>0</v>
      </c>
      <c r="X7" s="772"/>
      <c r="Y7" s="3210" t="s">
        <v>2550</v>
      </c>
      <c r="Z7" s="3211"/>
      <c r="AA7" s="773" t="e">
        <f>D7/F7</f>
        <v>#DIV/0!</v>
      </c>
      <c r="AB7" s="773" t="e">
        <f>D7/H7</f>
        <v>#DIV/0!</v>
      </c>
      <c r="AC7" s="773" t="e">
        <f>D7/J7</f>
        <v>#DIV/0!</v>
      </c>
    </row>
    <row r="8" spans="1:29" s="116"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0" t="s">
        <v>2553</v>
      </c>
      <c r="Q8" s="3211"/>
      <c r="R8" s="770" t="s">
        <v>17</v>
      </c>
      <c r="S8" s="771">
        <f t="shared" si="0"/>
        <v>0</v>
      </c>
      <c r="T8" s="770" t="s">
        <v>17</v>
      </c>
      <c r="U8" s="771">
        <f t="shared" si="1"/>
        <v>0</v>
      </c>
      <c r="V8" s="770" t="s">
        <v>17</v>
      </c>
      <c r="W8" s="771">
        <f t="shared" si="2"/>
        <v>0</v>
      </c>
      <c r="X8" s="772"/>
      <c r="Y8" s="3210" t="s">
        <v>2553</v>
      </c>
      <c r="Z8" s="3211"/>
      <c r="AA8" s="773" t="e">
        <f t="shared" ref="AA8:AA36" si="3">D8/F8</f>
        <v>#DIV/0!</v>
      </c>
      <c r="AB8" s="773" t="e">
        <f t="shared" ref="AB8:AB36" si="4">D8/H8</f>
        <v>#DIV/0!</v>
      </c>
      <c r="AC8" s="773" t="e">
        <f t="shared" ref="AC8:AC36" si="5">D8/J8</f>
        <v>#DIV/0!</v>
      </c>
    </row>
    <row r="9" spans="1:29" s="116" customFormat="1">
      <c r="A9" s="67" t="s">
        <v>2554</v>
      </c>
      <c r="B9" s="640" t="s">
        <v>2555</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181" t="s">
        <v>2556</v>
      </c>
      <c r="Q9" s="1794" t="str">
        <f t="shared" ref="Q9:Q14" si="6">B9</f>
        <v>用途</v>
      </c>
      <c r="R9" s="770" t="s">
        <v>17</v>
      </c>
      <c r="S9" s="771">
        <f t="shared" si="0"/>
        <v>100</v>
      </c>
      <c r="T9" s="770" t="s">
        <v>17</v>
      </c>
      <c r="U9" s="771">
        <f t="shared" si="1"/>
        <v>100</v>
      </c>
      <c r="V9" s="770" t="s">
        <v>17</v>
      </c>
      <c r="W9" s="771">
        <f t="shared" si="2"/>
        <v>100</v>
      </c>
      <c r="X9" s="772"/>
      <c r="Y9" s="3029" t="s">
        <v>2557</v>
      </c>
      <c r="Z9" s="54" t="str">
        <f t="shared" ref="Z9:Z14" si="7">Q9</f>
        <v>用途</v>
      </c>
      <c r="AA9" s="773">
        <f t="shared" si="3"/>
        <v>1</v>
      </c>
      <c r="AB9" s="773">
        <f t="shared" si="4"/>
        <v>1</v>
      </c>
      <c r="AC9" s="773">
        <f t="shared" si="5"/>
        <v>1</v>
      </c>
    </row>
    <row r="10" spans="1:29" s="427" customFormat="1" ht="27">
      <c r="A10" s="641"/>
      <c r="B10" s="642" t="s">
        <v>2558</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181"/>
      <c r="Q10" s="1794" t="str">
        <f t="shared" si="6"/>
        <v>土地使用年限（年）</v>
      </c>
      <c r="R10" s="770" t="s">
        <v>17</v>
      </c>
      <c r="S10" s="771">
        <f t="shared" si="0"/>
        <v>100</v>
      </c>
      <c r="T10" s="770" t="s">
        <v>17</v>
      </c>
      <c r="U10" s="771">
        <f t="shared" si="1"/>
        <v>100</v>
      </c>
      <c r="V10" s="770" t="s">
        <v>17</v>
      </c>
      <c r="W10" s="771">
        <f t="shared" si="2"/>
        <v>100</v>
      </c>
      <c r="X10" s="772"/>
      <c r="Y10" s="3029"/>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181"/>
      <c r="Q11" s="1794">
        <f t="shared" si="6"/>
        <v>111</v>
      </c>
      <c r="R11" s="770" t="s">
        <v>17</v>
      </c>
      <c r="S11" s="771">
        <f t="shared" si="0"/>
        <v>100</v>
      </c>
      <c r="T11" s="770" t="s">
        <v>17</v>
      </c>
      <c r="U11" s="771">
        <f t="shared" si="1"/>
        <v>100</v>
      </c>
      <c r="V11" s="770" t="s">
        <v>17</v>
      </c>
      <c r="W11" s="771">
        <f t="shared" si="2"/>
        <v>100</v>
      </c>
      <c r="X11" s="772"/>
      <c r="Y11" s="3029"/>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181"/>
      <c r="Q12" s="1794">
        <f t="shared" si="6"/>
        <v>111</v>
      </c>
      <c r="R12" s="770" t="s">
        <v>17</v>
      </c>
      <c r="S12" s="771">
        <f t="shared" si="0"/>
        <v>100</v>
      </c>
      <c r="T12" s="770" t="s">
        <v>17</v>
      </c>
      <c r="U12" s="771">
        <f t="shared" si="1"/>
        <v>100</v>
      </c>
      <c r="V12" s="770" t="s">
        <v>17</v>
      </c>
      <c r="W12" s="771">
        <f t="shared" si="2"/>
        <v>100</v>
      </c>
      <c r="X12" s="772"/>
      <c r="Y12" s="3029"/>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181"/>
      <c r="Q13" s="1794">
        <f t="shared" si="6"/>
        <v>111</v>
      </c>
      <c r="R13" s="770" t="s">
        <v>17</v>
      </c>
      <c r="S13" s="771">
        <f t="shared" si="0"/>
        <v>100</v>
      </c>
      <c r="T13" s="770" t="s">
        <v>17</v>
      </c>
      <c r="U13" s="771">
        <f t="shared" si="1"/>
        <v>100</v>
      </c>
      <c r="V13" s="770" t="s">
        <v>17</v>
      </c>
      <c r="W13" s="771">
        <f t="shared" si="2"/>
        <v>100</v>
      </c>
      <c r="X13" s="772"/>
      <c r="Y13" s="3029"/>
      <c r="Z13" s="54">
        <f t="shared" si="7"/>
        <v>111</v>
      </c>
      <c r="AA13" s="773">
        <f t="shared" si="3"/>
        <v>1</v>
      </c>
      <c r="AB13" s="773">
        <f t="shared" si="4"/>
        <v>1</v>
      </c>
      <c r="AC13" s="773">
        <f t="shared" si="5"/>
        <v>1</v>
      </c>
    </row>
    <row r="14" spans="1:29" ht="114">
      <c r="A14" s="401" t="s">
        <v>2560</v>
      </c>
      <c r="B14" s="629"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3" t="s">
        <v>2561</v>
      </c>
      <c r="Q14" s="1809" t="str">
        <f t="shared" si="6"/>
        <v>交通便捷度</v>
      </c>
      <c r="R14" s="774" t="s">
        <v>17</v>
      </c>
      <c r="S14" s="775">
        <f t="shared" si="0"/>
        <v>100</v>
      </c>
      <c r="T14" s="774" t="s">
        <v>17</v>
      </c>
      <c r="U14" s="775">
        <f t="shared" si="1"/>
        <v>100</v>
      </c>
      <c r="V14" s="774" t="s">
        <v>17</v>
      </c>
      <c r="W14" s="775">
        <f t="shared" si="2"/>
        <v>100</v>
      </c>
      <c r="X14" s="1812"/>
      <c r="Y14" s="3183"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4"/>
      <c r="Q15" s="1809"/>
      <c r="R15" s="774"/>
      <c r="S15" s="775"/>
      <c r="T15" s="774"/>
      <c r="U15" s="775"/>
      <c r="V15" s="774"/>
      <c r="W15" s="775"/>
      <c r="X15" s="1812"/>
      <c r="Y15" s="3184"/>
      <c r="Z15" s="1813"/>
      <c r="AA15" s="1810">
        <v>1</v>
      </c>
      <c r="AB15" s="1810">
        <v>1</v>
      </c>
      <c r="AC15" s="1810">
        <v>1</v>
      </c>
    </row>
    <row r="16" spans="1:29" ht="128.25">
      <c r="A16" s="404"/>
      <c r="B16" s="63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4"/>
      <c r="Q16" s="1809" t="str">
        <f>B16</f>
        <v>公共配套设施</v>
      </c>
      <c r="R16" s="774" t="s">
        <v>17</v>
      </c>
      <c r="S16" s="775">
        <f>F16</f>
        <v>100</v>
      </c>
      <c r="T16" s="774" t="s">
        <v>17</v>
      </c>
      <c r="U16" s="775">
        <f>H16</f>
        <v>100</v>
      </c>
      <c r="V16" s="774" t="s">
        <v>17</v>
      </c>
      <c r="W16" s="775">
        <f>J16</f>
        <v>100</v>
      </c>
      <c r="X16" s="1812"/>
      <c r="Y16" s="3184"/>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184"/>
      <c r="Q17" s="1809"/>
      <c r="R17" s="774"/>
      <c r="S17" s="775"/>
      <c r="T17" s="774"/>
      <c r="U17" s="775"/>
      <c r="V17" s="774"/>
      <c r="W17" s="775"/>
      <c r="X17" s="1812"/>
      <c r="Y17" s="3184"/>
      <c r="Z17" s="1813"/>
      <c r="AA17" s="1810">
        <v>1</v>
      </c>
      <c r="AB17" s="1810">
        <v>1</v>
      </c>
      <c r="AC17" s="1810">
        <v>1</v>
      </c>
    </row>
    <row r="18" spans="1:29" ht="42.75">
      <c r="A18" s="404"/>
      <c r="B18" s="633" t="s">
        <v>2690</v>
      </c>
      <c r="C18" s="2609"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4"/>
      <c r="Q18" s="1809" t="str">
        <f>B18</f>
        <v>基础设施水平</v>
      </c>
      <c r="R18" s="774" t="s">
        <v>17</v>
      </c>
      <c r="S18" s="775">
        <f>F18</f>
        <v>100</v>
      </c>
      <c r="T18" s="774" t="s">
        <v>17</v>
      </c>
      <c r="U18" s="775">
        <f>H18</f>
        <v>100</v>
      </c>
      <c r="V18" s="774" t="s">
        <v>17</v>
      </c>
      <c r="W18" s="775">
        <f>J18</f>
        <v>100</v>
      </c>
      <c r="X18" s="1812"/>
      <c r="Y18" s="3184"/>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184"/>
      <c r="Q19" s="1809"/>
      <c r="R19" s="774"/>
      <c r="S19" s="775"/>
      <c r="T19" s="774"/>
      <c r="U19" s="775"/>
      <c r="V19" s="774"/>
      <c r="W19" s="775"/>
      <c r="X19" s="1812"/>
      <c r="Y19" s="3184"/>
      <c r="Z19" s="1813"/>
      <c r="AA19" s="1810">
        <v>1</v>
      </c>
      <c r="AB19" s="1810">
        <v>1</v>
      </c>
      <c r="AC19" s="1810">
        <v>1</v>
      </c>
    </row>
    <row r="20" spans="1:29" ht="71.25">
      <c r="A20" s="404"/>
      <c r="B20" s="631" t="s">
        <v>2711</v>
      </c>
      <c r="C20" s="2609" t="str">
        <f>IF(B1="工业",估价对象房地状况!G7,估价对象房地状况!C9)</f>
        <v>区域自然环境：水系：京杭运河；人文环境；综合评价环境状况一般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4"/>
      <c r="Q20" s="1809" t="str">
        <f>B20</f>
        <v>自然及人文环境</v>
      </c>
      <c r="R20" s="774" t="s">
        <v>17</v>
      </c>
      <c r="S20" s="775">
        <f>F20</f>
        <v>100</v>
      </c>
      <c r="T20" s="774" t="s">
        <v>17</v>
      </c>
      <c r="U20" s="775">
        <f>H20</f>
        <v>100</v>
      </c>
      <c r="V20" s="774" t="s">
        <v>17</v>
      </c>
      <c r="W20" s="775">
        <f>J20</f>
        <v>100</v>
      </c>
      <c r="X20" s="1812"/>
      <c r="Y20" s="318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4"/>
      <c r="Q21" s="1809"/>
      <c r="R21" s="774"/>
      <c r="S21" s="775"/>
      <c r="T21" s="774"/>
      <c r="U21" s="775"/>
      <c r="V21" s="774"/>
      <c r="W21" s="775"/>
      <c r="X21" s="1812"/>
      <c r="Y21" s="3184"/>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4"/>
      <c r="Q22" s="1809" t="str">
        <f>B22</f>
        <v>楼层</v>
      </c>
      <c r="R22" s="774" t="s">
        <v>17</v>
      </c>
      <c r="S22" s="775">
        <f>F22</f>
        <v>100</v>
      </c>
      <c r="T22" s="774" t="s">
        <v>17</v>
      </c>
      <c r="U22" s="775">
        <f>H22</f>
        <v>100</v>
      </c>
      <c r="V22" s="774" t="s">
        <v>17</v>
      </c>
      <c r="W22" s="775">
        <f>J22</f>
        <v>100</v>
      </c>
      <c r="X22" s="1812"/>
      <c r="Y22" s="318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4"/>
      <c r="Q23" s="1809">
        <f>B23</f>
        <v>111</v>
      </c>
      <c r="R23" s="774" t="s">
        <v>17</v>
      </c>
      <c r="S23" s="775">
        <f>F23</f>
        <v>100</v>
      </c>
      <c r="T23" s="774" t="s">
        <v>17</v>
      </c>
      <c r="U23" s="775">
        <f>H23</f>
        <v>100</v>
      </c>
      <c r="V23" s="774" t="s">
        <v>17</v>
      </c>
      <c r="W23" s="775">
        <f>J23</f>
        <v>100</v>
      </c>
      <c r="X23" s="1812"/>
      <c r="Y23" s="318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4"/>
      <c r="Q24" s="1809">
        <f t="shared" ref="Q24:Q36" si="11">B24</f>
        <v>111</v>
      </c>
      <c r="R24" s="774" t="s">
        <v>17</v>
      </c>
      <c r="S24" s="775">
        <f>F24</f>
        <v>100</v>
      </c>
      <c r="T24" s="774" t="s">
        <v>17</v>
      </c>
      <c r="U24" s="775">
        <f>H24</f>
        <v>100</v>
      </c>
      <c r="V24" s="774" t="s">
        <v>17</v>
      </c>
      <c r="W24" s="775">
        <f>J24</f>
        <v>100</v>
      </c>
      <c r="X24" s="1812"/>
      <c r="Y24" s="3184"/>
      <c r="Z24" s="1813">
        <f>Q24</f>
        <v>111</v>
      </c>
      <c r="AA24" s="1810">
        <f t="shared" si="3"/>
        <v>1</v>
      </c>
      <c r="AB24" s="1810">
        <f t="shared" si="4"/>
        <v>1</v>
      </c>
      <c r="AC24" s="1810">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4"/>
      <c r="Q25" s="1794">
        <f t="shared" si="11"/>
        <v>111</v>
      </c>
      <c r="R25" s="770" t="s">
        <v>17</v>
      </c>
      <c r="S25" s="771">
        <f>F25</f>
        <v>100</v>
      </c>
      <c r="T25" s="770" t="s">
        <v>17</v>
      </c>
      <c r="U25" s="771">
        <f>H25</f>
        <v>100</v>
      </c>
      <c r="V25" s="770" t="s">
        <v>17</v>
      </c>
      <c r="W25" s="771">
        <f>J25</f>
        <v>100</v>
      </c>
      <c r="X25" s="772"/>
      <c r="Y25" s="3184"/>
      <c r="Z25" s="54">
        <f>Q25</f>
        <v>111</v>
      </c>
      <c r="AA25" s="1810">
        <f>D25/F25</f>
        <v>1</v>
      </c>
      <c r="AB25" s="1810">
        <f>D25/H25</f>
        <v>1</v>
      </c>
      <c r="AC25" s="1810">
        <f>D25/J25</f>
        <v>1</v>
      </c>
    </row>
    <row r="26" spans="1:29" ht="15">
      <c r="A26" s="652" t="s">
        <v>2564</v>
      </c>
      <c r="B26" s="69"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5"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6"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5">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6"/>
      <c r="Q27" s="776" t="str">
        <f t="shared" si="11"/>
        <v>项目停车位配比</v>
      </c>
      <c r="R27" s="777" t="s">
        <v>17</v>
      </c>
      <c r="S27" s="778">
        <f t="shared" si="12"/>
        <v>100</v>
      </c>
      <c r="T27" s="777" t="s">
        <v>17</v>
      </c>
      <c r="U27" s="778">
        <f t="shared" si="13"/>
        <v>100</v>
      </c>
      <c r="V27" s="777" t="s">
        <v>17</v>
      </c>
      <c r="W27" s="778">
        <f t="shared" si="14"/>
        <v>100</v>
      </c>
      <c r="X27" s="779"/>
      <c r="Y27" s="3186"/>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6"/>
      <c r="Q28" s="1809" t="str">
        <f t="shared" si="11"/>
        <v>公共部分装修</v>
      </c>
      <c r="R28" s="774" t="s">
        <v>17</v>
      </c>
      <c r="S28" s="775">
        <f t="shared" si="12"/>
        <v>100</v>
      </c>
      <c r="T28" s="774" t="s">
        <v>17</v>
      </c>
      <c r="U28" s="775">
        <f t="shared" si="13"/>
        <v>100</v>
      </c>
      <c r="V28" s="774" t="s">
        <v>17</v>
      </c>
      <c r="W28" s="775">
        <f t="shared" si="14"/>
        <v>100</v>
      </c>
      <c r="X28" s="1812"/>
      <c r="Y28" s="3186"/>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6"/>
      <c r="Q29" s="1809" t="str">
        <f t="shared" si="11"/>
        <v>成新率</v>
      </c>
      <c r="R29" s="774" t="s">
        <v>17</v>
      </c>
      <c r="S29" s="775" t="e">
        <f t="shared" si="12"/>
        <v>#N/A</v>
      </c>
      <c r="T29" s="774" t="s">
        <v>17</v>
      </c>
      <c r="U29" s="775" t="e">
        <f t="shared" si="13"/>
        <v>#N/A</v>
      </c>
      <c r="V29" s="774" t="s">
        <v>17</v>
      </c>
      <c r="W29" s="775" t="e">
        <f t="shared" si="14"/>
        <v>#N/A</v>
      </c>
      <c r="X29" s="1812"/>
      <c r="Y29" s="3186"/>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6"/>
      <c r="Q30" s="1809" t="str">
        <f t="shared" si="11"/>
        <v>物业等级</v>
      </c>
      <c r="R30" s="774" t="s">
        <v>17</v>
      </c>
      <c r="S30" s="775">
        <f t="shared" si="12"/>
        <v>100</v>
      </c>
      <c r="T30" s="774" t="s">
        <v>17</v>
      </c>
      <c r="U30" s="775">
        <f t="shared" si="13"/>
        <v>100</v>
      </c>
      <c r="V30" s="774" t="s">
        <v>17</v>
      </c>
      <c r="W30" s="775">
        <f t="shared" si="14"/>
        <v>100</v>
      </c>
      <c r="X30" s="1812"/>
      <c r="Y30" s="3186"/>
      <c r="Z30" s="1813" t="str">
        <f t="shared" si="15"/>
        <v>物业等级</v>
      </c>
      <c r="AA30" s="1810">
        <f t="shared" si="3"/>
        <v>1</v>
      </c>
      <c r="AB30" s="1810">
        <f t="shared" si="4"/>
        <v>1</v>
      </c>
      <c r="AC30" s="1810">
        <f t="shared" si="5"/>
        <v>1</v>
      </c>
    </row>
    <row r="31" spans="1:29" s="116" customFormat="1" ht="15">
      <c r="A31" s="658"/>
      <c r="B31" s="654" t="s">
        <v>2718</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6"/>
      <c r="Q31" s="1794" t="str">
        <f t="shared" si="11"/>
        <v>停车位面积</v>
      </c>
      <c r="R31" s="770" t="s">
        <v>17</v>
      </c>
      <c r="S31" s="771" t="e">
        <f t="shared" si="12"/>
        <v>#N/A</v>
      </c>
      <c r="T31" s="770" t="s">
        <v>17</v>
      </c>
      <c r="U31" s="771" t="e">
        <f t="shared" si="13"/>
        <v>#N/A</v>
      </c>
      <c r="V31" s="770" t="s">
        <v>17</v>
      </c>
      <c r="W31" s="771" t="e">
        <f t="shared" si="14"/>
        <v>#N/A</v>
      </c>
      <c r="X31" s="772"/>
      <c r="Y31" s="3186"/>
      <c r="Z31" s="54"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6" t="s">
        <v>2566</v>
      </c>
      <c r="Q32" s="1809" t="str">
        <f t="shared" si="11"/>
        <v>车位类型</v>
      </c>
      <c r="R32" s="774" t="s">
        <v>17</v>
      </c>
      <c r="S32" s="775">
        <f t="shared" si="12"/>
        <v>100</v>
      </c>
      <c r="T32" s="774" t="s">
        <v>17</v>
      </c>
      <c r="U32" s="775">
        <f t="shared" si="13"/>
        <v>100</v>
      </c>
      <c r="V32" s="774" t="s">
        <v>17</v>
      </c>
      <c r="W32" s="775">
        <f t="shared" si="14"/>
        <v>100</v>
      </c>
      <c r="X32" s="1812"/>
      <c r="Y32" s="3186"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6"/>
      <c r="Q33" s="1809" t="str">
        <f t="shared" si="11"/>
        <v>是否直接入户</v>
      </c>
      <c r="R33" s="774" t="s">
        <v>17</v>
      </c>
      <c r="S33" s="775">
        <f t="shared" si="12"/>
        <v>100</v>
      </c>
      <c r="T33" s="774" t="s">
        <v>17</v>
      </c>
      <c r="U33" s="775">
        <f t="shared" si="13"/>
        <v>100</v>
      </c>
      <c r="V33" s="774" t="s">
        <v>17</v>
      </c>
      <c r="W33" s="775">
        <f t="shared" si="14"/>
        <v>100</v>
      </c>
      <c r="X33" s="1812"/>
      <c r="Y33" s="318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6"/>
      <c r="Q34" s="1809">
        <f t="shared" si="11"/>
        <v>111</v>
      </c>
      <c r="R34" s="774" t="s">
        <v>17</v>
      </c>
      <c r="S34" s="775">
        <f t="shared" si="12"/>
        <v>100</v>
      </c>
      <c r="T34" s="774" t="s">
        <v>17</v>
      </c>
      <c r="U34" s="775">
        <f t="shared" si="13"/>
        <v>100</v>
      </c>
      <c r="V34" s="774" t="s">
        <v>17</v>
      </c>
      <c r="W34" s="775">
        <f t="shared" si="14"/>
        <v>100</v>
      </c>
      <c r="X34" s="1812"/>
      <c r="Y34" s="318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6"/>
      <c r="Q35" s="776">
        <f t="shared" si="11"/>
        <v>111</v>
      </c>
      <c r="R35" s="777" t="s">
        <v>17</v>
      </c>
      <c r="S35" s="778">
        <f t="shared" si="12"/>
        <v>100</v>
      </c>
      <c r="T35" s="777" t="s">
        <v>17</v>
      </c>
      <c r="U35" s="778">
        <f t="shared" si="13"/>
        <v>100</v>
      </c>
      <c r="V35" s="777" t="s">
        <v>17</v>
      </c>
      <c r="W35" s="778">
        <f t="shared" si="14"/>
        <v>100</v>
      </c>
      <c r="X35" s="779"/>
      <c r="Y35" s="3186"/>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6"/>
      <c r="Q36" s="1809">
        <f t="shared" si="11"/>
        <v>111</v>
      </c>
      <c r="R36" s="774" t="s">
        <v>17</v>
      </c>
      <c r="S36" s="775">
        <f t="shared" si="12"/>
        <v>100</v>
      </c>
      <c r="T36" s="774" t="s">
        <v>17</v>
      </c>
      <c r="U36" s="775">
        <f t="shared" si="13"/>
        <v>100</v>
      </c>
      <c r="V36" s="774" t="s">
        <v>17</v>
      </c>
      <c r="W36" s="775">
        <f t="shared" si="14"/>
        <v>100</v>
      </c>
      <c r="X36" s="1812"/>
      <c r="Y36" s="3186"/>
      <c r="Z36" s="1813">
        <f t="shared" si="15"/>
        <v>111</v>
      </c>
      <c r="AA36" s="1810">
        <f t="shared" si="3"/>
        <v>1</v>
      </c>
      <c r="AB36" s="1810">
        <f t="shared" si="4"/>
        <v>1</v>
      </c>
      <c r="AC36" s="1810">
        <f t="shared" si="5"/>
        <v>1</v>
      </c>
    </row>
    <row r="37" spans="1:29" ht="15">
      <c r="A37" s="479" t="s">
        <v>2721</v>
      </c>
      <c r="B37" s="2697" t="s">
        <v>2722</v>
      </c>
      <c r="C37" s="1406" t="s">
        <v>1</v>
      </c>
      <c r="D37" s="1407"/>
      <c r="E37" s="1408"/>
      <c r="F37" s="1409"/>
      <c r="G37" s="1410"/>
      <c r="H37" s="1411"/>
      <c r="I37" s="1408"/>
      <c r="J37" s="1411"/>
      <c r="K37" s="619"/>
      <c r="L37" s="1143"/>
      <c r="M37" s="1144"/>
      <c r="N37" s="1131"/>
      <c r="O37" s="1144"/>
      <c r="P37" s="3181" t="str">
        <f>A37</f>
        <v>成交单价</v>
      </c>
      <c r="Q37" s="3181"/>
      <c r="R37" s="3260">
        <f>E37</f>
        <v>0</v>
      </c>
      <c r="S37" s="3260"/>
      <c r="T37" s="3260">
        <f>G37</f>
        <v>0</v>
      </c>
      <c r="U37" s="3260"/>
      <c r="V37" s="3260">
        <f>I37</f>
        <v>0</v>
      </c>
      <c r="W37" s="3260"/>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81" t="str">
        <f>A38</f>
        <v>比较价值（元/平方米）</v>
      </c>
      <c r="Q38" s="3181"/>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3"/>
      <c r="M39" s="1144"/>
      <c r="N39" s="1144"/>
      <c r="O39" s="1144"/>
      <c r="P39" s="3175" t="str">
        <f>A39</f>
        <v>估价对象XX用房的比较价值（楼面单价，元/平方米）</v>
      </c>
      <c r="Q39" s="3176"/>
      <c r="R39" s="3259" t="e">
        <f>IF(F1="售价",ROUND(AVERAGE(R38:V38),0),ROUND(AVERAGE(R38:V38),1))</f>
        <v>#DIV/0!</v>
      </c>
      <c r="S39" s="3259"/>
      <c r="T39" s="3259"/>
      <c r="U39" s="3259"/>
      <c r="V39" s="3259"/>
      <c r="W39" s="325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2729</v>
      </c>
      <c r="B48" s="506"/>
      <c r="C48" s="1573" t="str">
        <f>YEAR(C7)&amp;"-"&amp;MONTH(C7)</f>
        <v>2017-12</v>
      </c>
      <c r="D48" s="1574">
        <f>EDATE(C48,-1)</f>
        <v>43040</v>
      </c>
      <c r="E48" s="1574">
        <f t="shared" ref="E48:O48" si="16">EDATE(D48,-1)</f>
        <v>43009</v>
      </c>
      <c r="F48" s="1574">
        <f t="shared" si="16"/>
        <v>42979</v>
      </c>
      <c r="G48" s="1574">
        <f t="shared" si="16"/>
        <v>42948</v>
      </c>
      <c r="H48" s="1574">
        <f t="shared" si="16"/>
        <v>42917</v>
      </c>
      <c r="I48" s="1574">
        <f t="shared" si="16"/>
        <v>42887</v>
      </c>
      <c r="J48" s="1574">
        <f t="shared" si="16"/>
        <v>42856</v>
      </c>
      <c r="K48" s="1574">
        <f t="shared" si="16"/>
        <v>42826</v>
      </c>
      <c r="L48" s="1574">
        <f t="shared" si="16"/>
        <v>42795</v>
      </c>
      <c r="M48" s="1574">
        <f t="shared" si="16"/>
        <v>42767</v>
      </c>
      <c r="N48" s="1574">
        <f t="shared" si="16"/>
        <v>42736</v>
      </c>
      <c r="O48" s="1574">
        <f t="shared" si="16"/>
        <v>42705</v>
      </c>
      <c r="P48" s="1437"/>
      <c r="Q48" s="1438"/>
      <c r="R48" s="1438"/>
      <c r="S48" s="1438"/>
      <c r="T48" s="1438"/>
      <c r="U48" s="1438"/>
      <c r="V48" s="1438"/>
      <c r="W48" s="1438"/>
      <c r="X48" s="1438"/>
      <c r="Y48" s="1438"/>
      <c r="Z48" s="1438"/>
      <c r="AA48" s="1438"/>
      <c r="AB48" s="1438"/>
      <c r="AC48" s="1438"/>
    </row>
    <row r="49" spans="1:29" s="116"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6"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6" customFormat="1" ht="15">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6"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6"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6"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6"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78" t="s">
        <v>2647</v>
      </c>
      <c r="D4" s="3191"/>
      <c r="E4" s="3192" t="s">
        <v>2648</v>
      </c>
      <c r="F4" s="3193"/>
      <c r="G4" s="3178" t="s">
        <v>2649</v>
      </c>
      <c r="H4" s="3191"/>
      <c r="I4" s="3178" t="s">
        <v>2650</v>
      </c>
      <c r="J4" s="3191"/>
      <c r="K4" s="610" t="s">
        <v>2651</v>
      </c>
      <c r="L4" s="1130"/>
      <c r="M4" s="1131"/>
      <c r="N4" s="1131"/>
      <c r="O4" s="1131"/>
      <c r="P4" s="3194" t="s">
        <v>2652</v>
      </c>
      <c r="Q4" s="3195"/>
      <c r="R4" s="3200" t="s">
        <v>2648</v>
      </c>
      <c r="S4" s="3201"/>
      <c r="T4" s="3200" t="s">
        <v>2649</v>
      </c>
      <c r="U4" s="3201"/>
      <c r="V4" s="3187" t="s">
        <v>2650</v>
      </c>
      <c r="W4" s="3187"/>
      <c r="X4" s="1812"/>
      <c r="Y4" s="3200" t="s">
        <v>2652</v>
      </c>
      <c r="Z4" s="3201"/>
      <c r="AA4" s="3188" t="s">
        <v>2648</v>
      </c>
      <c r="AB4" s="3189" t="s">
        <v>2649</v>
      </c>
      <c r="AC4" s="3188" t="s">
        <v>2650</v>
      </c>
    </row>
    <row r="5" spans="1:29" ht="15">
      <c r="A5" s="404"/>
      <c r="B5" s="405"/>
      <c r="C5" s="3208" t="s">
        <v>2543</v>
      </c>
      <c r="D5" s="3209"/>
      <c r="E5" s="3215" t="s">
        <v>2544</v>
      </c>
      <c r="F5" s="3216"/>
      <c r="G5" s="3208" t="s">
        <v>2545</v>
      </c>
      <c r="H5" s="3209"/>
      <c r="I5" s="3208" t="s">
        <v>2546</v>
      </c>
      <c r="J5" s="3209"/>
      <c r="K5" s="610"/>
      <c r="L5" s="1130"/>
      <c r="M5" s="1131"/>
      <c r="N5" s="1131"/>
      <c r="O5" s="1131"/>
      <c r="P5" s="3196"/>
      <c r="Q5" s="3197"/>
      <c r="R5" s="3202"/>
      <c r="S5" s="3203"/>
      <c r="T5" s="3202"/>
      <c r="U5" s="3203"/>
      <c r="V5" s="3187"/>
      <c r="W5" s="3187"/>
      <c r="X5" s="1812"/>
      <c r="Y5" s="3202"/>
      <c r="Z5" s="3203"/>
      <c r="AA5" s="3189"/>
      <c r="AB5" s="3189"/>
      <c r="AC5" s="3189"/>
    </row>
    <row r="6" spans="1:29" ht="15.75" thickBot="1">
      <c r="A6" s="406"/>
      <c r="B6" s="407"/>
      <c r="C6" s="3206" t="s">
        <v>2547</v>
      </c>
      <c r="D6" s="3207"/>
      <c r="E6" s="3213" t="s">
        <v>2547</v>
      </c>
      <c r="F6" s="3214"/>
      <c r="G6" s="3206" t="s">
        <v>2547</v>
      </c>
      <c r="H6" s="3207"/>
      <c r="I6" s="3206" t="s">
        <v>2547</v>
      </c>
      <c r="J6" s="3207"/>
      <c r="K6" s="610" t="s">
        <v>2548</v>
      </c>
      <c r="L6" s="1130"/>
      <c r="M6" s="1131"/>
      <c r="N6" s="1131"/>
      <c r="O6" s="1131"/>
      <c r="P6" s="3198"/>
      <c r="Q6" s="3199"/>
      <c r="R6" s="3202"/>
      <c r="S6" s="3203"/>
      <c r="T6" s="3204"/>
      <c r="U6" s="3205"/>
      <c r="V6" s="3187"/>
      <c r="W6" s="3187"/>
      <c r="X6" s="1812"/>
      <c r="Y6" s="3204"/>
      <c r="Z6" s="3205"/>
      <c r="AA6" s="3190"/>
      <c r="AB6" s="3190"/>
      <c r="AC6" s="3190"/>
    </row>
    <row r="7" spans="1:29" s="116" customFormat="1" ht="15.75" thickBot="1">
      <c r="A7" s="408" t="s">
        <v>2549</v>
      </c>
      <c r="B7" s="409"/>
      <c r="C7" s="410">
        <f>'数据-取费表'!B2</f>
        <v>43070</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10" t="s">
        <v>2550</v>
      </c>
      <c r="Q7" s="3212"/>
      <c r="R7" s="770" t="s">
        <v>17</v>
      </c>
      <c r="S7" s="771">
        <f t="shared" ref="S7:S14" si="0">F7</f>
        <v>0</v>
      </c>
      <c r="T7" s="770" t="s">
        <v>17</v>
      </c>
      <c r="U7" s="771">
        <f t="shared" ref="U7:U14" si="1">H7</f>
        <v>0</v>
      </c>
      <c r="V7" s="770" t="s">
        <v>17</v>
      </c>
      <c r="W7" s="771">
        <f t="shared" ref="W7:W14" si="2">J7</f>
        <v>0</v>
      </c>
      <c r="X7" s="772"/>
      <c r="Y7" s="3210" t="s">
        <v>2550</v>
      </c>
      <c r="Z7" s="3211"/>
      <c r="AA7" s="773" t="e">
        <f>D7/F7</f>
        <v>#DIV/0!</v>
      </c>
      <c r="AB7" s="773" t="e">
        <f>D7/H7</f>
        <v>#DIV/0!</v>
      </c>
      <c r="AC7" s="773" t="e">
        <f>D7/J7</f>
        <v>#DIV/0!</v>
      </c>
    </row>
    <row r="8" spans="1:29" s="116"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0" t="s">
        <v>2553</v>
      </c>
      <c r="Q8" s="3211"/>
      <c r="R8" s="770" t="s">
        <v>17</v>
      </c>
      <c r="S8" s="771">
        <f t="shared" si="0"/>
        <v>0</v>
      </c>
      <c r="T8" s="770" t="s">
        <v>17</v>
      </c>
      <c r="U8" s="771">
        <f t="shared" si="1"/>
        <v>0</v>
      </c>
      <c r="V8" s="770" t="s">
        <v>17</v>
      </c>
      <c r="W8" s="771">
        <f t="shared" si="2"/>
        <v>0</v>
      </c>
      <c r="X8" s="772"/>
      <c r="Y8" s="3210" t="s">
        <v>2553</v>
      </c>
      <c r="Z8" s="3211"/>
      <c r="AA8" s="773" t="e">
        <f t="shared" ref="AA8:AA34" si="3">D8/F8</f>
        <v>#DIV/0!</v>
      </c>
      <c r="AB8" s="773" t="e">
        <f t="shared" ref="AB8:AB34" si="4">D8/H8</f>
        <v>#DIV/0!</v>
      </c>
      <c r="AC8" s="773" t="e">
        <f t="shared" ref="AC8:AC34" si="5">D8/J8</f>
        <v>#DIV/0!</v>
      </c>
    </row>
    <row r="9" spans="1:29" s="116" customFormat="1">
      <c r="A9" s="415" t="s">
        <v>2554</v>
      </c>
      <c r="B9" s="70" t="s">
        <v>2555</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181" t="s">
        <v>2556</v>
      </c>
      <c r="Q9" s="1794" t="str">
        <f t="shared" ref="Q9:Q14" si="6">B9</f>
        <v>用途</v>
      </c>
      <c r="R9" s="770" t="s">
        <v>17</v>
      </c>
      <c r="S9" s="771">
        <f t="shared" si="0"/>
        <v>100</v>
      </c>
      <c r="T9" s="770" t="s">
        <v>17</v>
      </c>
      <c r="U9" s="771">
        <f t="shared" si="1"/>
        <v>100</v>
      </c>
      <c r="V9" s="770" t="s">
        <v>17</v>
      </c>
      <c r="W9" s="771">
        <f t="shared" si="2"/>
        <v>100</v>
      </c>
      <c r="X9" s="772"/>
      <c r="Y9" s="3029" t="s">
        <v>2557</v>
      </c>
      <c r="Z9" s="54" t="str">
        <f t="shared" ref="Z9:Z14" si="7">Q9</f>
        <v>用途</v>
      </c>
      <c r="AA9" s="773">
        <f t="shared" si="3"/>
        <v>1</v>
      </c>
      <c r="AB9" s="773">
        <f t="shared" si="4"/>
        <v>1</v>
      </c>
      <c r="AC9" s="773">
        <f t="shared" si="5"/>
        <v>1</v>
      </c>
    </row>
    <row r="10" spans="1:29" s="427" customFormat="1" ht="27">
      <c r="A10" s="421"/>
      <c r="B10" s="422" t="s">
        <v>2558</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181"/>
      <c r="Q10" s="1794" t="str">
        <f t="shared" si="6"/>
        <v>土地使用年限（年）</v>
      </c>
      <c r="R10" s="770" t="s">
        <v>17</v>
      </c>
      <c r="S10" s="771">
        <f t="shared" si="0"/>
        <v>100</v>
      </c>
      <c r="T10" s="770" t="s">
        <v>17</v>
      </c>
      <c r="U10" s="771">
        <f t="shared" si="1"/>
        <v>100</v>
      </c>
      <c r="V10" s="770" t="s">
        <v>17</v>
      </c>
      <c r="W10" s="771">
        <f t="shared" si="2"/>
        <v>100</v>
      </c>
      <c r="X10" s="772"/>
      <c r="Y10" s="3029"/>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181"/>
      <c r="Q11" s="1794">
        <f t="shared" si="6"/>
        <v>111</v>
      </c>
      <c r="R11" s="770" t="s">
        <v>17</v>
      </c>
      <c r="S11" s="771">
        <f t="shared" si="0"/>
        <v>100</v>
      </c>
      <c r="T11" s="770" t="s">
        <v>17</v>
      </c>
      <c r="U11" s="771">
        <f t="shared" si="1"/>
        <v>100</v>
      </c>
      <c r="V11" s="770" t="s">
        <v>17</v>
      </c>
      <c r="W11" s="771">
        <f t="shared" si="2"/>
        <v>100</v>
      </c>
      <c r="X11" s="772"/>
      <c r="Y11" s="3029"/>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181"/>
      <c r="Q12" s="1794">
        <f t="shared" si="6"/>
        <v>111</v>
      </c>
      <c r="R12" s="770" t="s">
        <v>17</v>
      </c>
      <c r="S12" s="771">
        <f t="shared" si="0"/>
        <v>100</v>
      </c>
      <c r="T12" s="770" t="s">
        <v>17</v>
      </c>
      <c r="U12" s="771">
        <f t="shared" si="1"/>
        <v>100</v>
      </c>
      <c r="V12" s="770" t="s">
        <v>17</v>
      </c>
      <c r="W12" s="771">
        <f t="shared" si="2"/>
        <v>100</v>
      </c>
      <c r="X12" s="772"/>
      <c r="Y12" s="3029"/>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81"/>
      <c r="Q13" s="1794">
        <f t="shared" si="6"/>
        <v>111</v>
      </c>
      <c r="R13" s="770" t="s">
        <v>17</v>
      </c>
      <c r="S13" s="771">
        <f t="shared" si="0"/>
        <v>100</v>
      </c>
      <c r="T13" s="770" t="s">
        <v>17</v>
      </c>
      <c r="U13" s="771">
        <f t="shared" si="1"/>
        <v>100</v>
      </c>
      <c r="V13" s="770" t="s">
        <v>17</v>
      </c>
      <c r="W13" s="771">
        <f t="shared" si="2"/>
        <v>100</v>
      </c>
      <c r="X13" s="772"/>
      <c r="Y13" s="3029"/>
      <c r="Z13" s="54">
        <f t="shared" si="7"/>
        <v>111</v>
      </c>
      <c r="AA13" s="773">
        <f t="shared" si="3"/>
        <v>1</v>
      </c>
      <c r="AB13" s="773">
        <f t="shared" si="4"/>
        <v>1</v>
      </c>
      <c r="AC13" s="773">
        <f t="shared" si="5"/>
        <v>1</v>
      </c>
    </row>
    <row r="14" spans="1:29" ht="114">
      <c r="A14" s="440" t="s">
        <v>2560</v>
      </c>
      <c r="B14" s="68"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3" t="s">
        <v>2561</v>
      </c>
      <c r="Q14" s="1809" t="str">
        <f t="shared" si="6"/>
        <v>交通便捷度</v>
      </c>
      <c r="R14" s="774" t="s">
        <v>17</v>
      </c>
      <c r="S14" s="775">
        <f t="shared" si="0"/>
        <v>100</v>
      </c>
      <c r="T14" s="774" t="s">
        <v>17</v>
      </c>
      <c r="U14" s="775">
        <f t="shared" si="1"/>
        <v>100</v>
      </c>
      <c r="V14" s="774" t="s">
        <v>17</v>
      </c>
      <c r="W14" s="775">
        <f t="shared" si="2"/>
        <v>100</v>
      </c>
      <c r="X14" s="1812"/>
      <c r="Y14" s="3183"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4"/>
      <c r="Q15" s="1809"/>
      <c r="R15" s="774"/>
      <c r="S15" s="775"/>
      <c r="T15" s="774"/>
      <c r="U15" s="775"/>
      <c r="V15" s="774"/>
      <c r="W15" s="775"/>
      <c r="X15" s="1812"/>
      <c r="Y15" s="3184"/>
      <c r="Z15" s="1813"/>
      <c r="AA15" s="1810">
        <v>1</v>
      </c>
      <c r="AB15" s="1810">
        <v>1</v>
      </c>
      <c r="AC15" s="1810">
        <v>1</v>
      </c>
    </row>
    <row r="16" spans="1:29" ht="128.25">
      <c r="A16" s="428"/>
      <c r="B16" s="45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4"/>
      <c r="Q16" s="1809" t="str">
        <f>B16</f>
        <v>公共配套设施</v>
      </c>
      <c r="R16" s="774" t="s">
        <v>17</v>
      </c>
      <c r="S16" s="775">
        <f>F16</f>
        <v>100</v>
      </c>
      <c r="T16" s="774" t="s">
        <v>17</v>
      </c>
      <c r="U16" s="775">
        <f>H16</f>
        <v>100</v>
      </c>
      <c r="V16" s="774" t="s">
        <v>17</v>
      </c>
      <c r="W16" s="775">
        <f>J16</f>
        <v>100</v>
      </c>
      <c r="X16" s="1812"/>
      <c r="Y16" s="3184"/>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184"/>
      <c r="Q17" s="1809"/>
      <c r="R17" s="774"/>
      <c r="S17" s="775"/>
      <c r="T17" s="774"/>
      <c r="U17" s="775"/>
      <c r="V17" s="774"/>
      <c r="W17" s="775"/>
      <c r="X17" s="1812"/>
      <c r="Y17" s="3184"/>
      <c r="Z17" s="1813"/>
      <c r="AA17" s="1810">
        <v>1</v>
      </c>
      <c r="AB17" s="1810">
        <v>1</v>
      </c>
      <c r="AC17" s="1810">
        <v>1</v>
      </c>
    </row>
    <row r="18" spans="1:29" ht="42.75">
      <c r="A18" s="428"/>
      <c r="B18" s="1384" t="s">
        <v>2690</v>
      </c>
      <c r="C18" s="2609"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4"/>
      <c r="Q18" s="1809" t="str">
        <f>B18</f>
        <v>基础设施水平</v>
      </c>
      <c r="R18" s="774" t="s">
        <v>17</v>
      </c>
      <c r="S18" s="775">
        <f>F18</f>
        <v>100</v>
      </c>
      <c r="T18" s="774" t="s">
        <v>17</v>
      </c>
      <c r="U18" s="775">
        <f>H18</f>
        <v>100</v>
      </c>
      <c r="V18" s="774" t="s">
        <v>17</v>
      </c>
      <c r="W18" s="775">
        <f>J18</f>
        <v>100</v>
      </c>
      <c r="X18" s="1812"/>
      <c r="Y18" s="3184"/>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184"/>
      <c r="Q19" s="1809"/>
      <c r="R19" s="774"/>
      <c r="S19" s="775"/>
      <c r="T19" s="774"/>
      <c r="U19" s="775"/>
      <c r="V19" s="774"/>
      <c r="W19" s="775"/>
      <c r="X19" s="1812"/>
      <c r="Y19" s="3184"/>
      <c r="Z19" s="1813"/>
      <c r="AA19" s="1810">
        <v>1</v>
      </c>
      <c r="AB19" s="1810">
        <v>1</v>
      </c>
      <c r="AC19" s="1810">
        <v>1</v>
      </c>
    </row>
    <row r="20" spans="1:29" ht="71.25">
      <c r="A20" s="428"/>
      <c r="B20" s="451" t="s">
        <v>2711</v>
      </c>
      <c r="C20" s="2609" t="str">
        <f>IF(B1="工业",估价对象房地状况!G7,估价对象房地状况!C9)</f>
        <v>区域自然环境：水系：京杭运河；人文环境；综合评价环境状况一般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4"/>
      <c r="Q20" s="1809" t="str">
        <f>B20</f>
        <v>自然及人文环境</v>
      </c>
      <c r="R20" s="774" t="s">
        <v>17</v>
      </c>
      <c r="S20" s="775">
        <f>F20</f>
        <v>100</v>
      </c>
      <c r="T20" s="774" t="s">
        <v>17</v>
      </c>
      <c r="U20" s="775">
        <f>H20</f>
        <v>100</v>
      </c>
      <c r="V20" s="774" t="s">
        <v>17</v>
      </c>
      <c r="W20" s="775">
        <f>J20</f>
        <v>100</v>
      </c>
      <c r="X20" s="1812"/>
      <c r="Y20" s="318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4"/>
      <c r="Q21" s="1809"/>
      <c r="R21" s="774"/>
      <c r="S21" s="775"/>
      <c r="T21" s="774"/>
      <c r="U21" s="775"/>
      <c r="V21" s="774"/>
      <c r="W21" s="775"/>
      <c r="X21" s="1812"/>
      <c r="Y21" s="3184"/>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4"/>
      <c r="Q22" s="1809" t="str">
        <f>B22</f>
        <v>楼层</v>
      </c>
      <c r="R22" s="774" t="s">
        <v>17</v>
      </c>
      <c r="S22" s="775">
        <f>F22</f>
        <v>100</v>
      </c>
      <c r="T22" s="774" t="s">
        <v>17</v>
      </c>
      <c r="U22" s="775">
        <f>H22</f>
        <v>100</v>
      </c>
      <c r="V22" s="774" t="s">
        <v>17</v>
      </c>
      <c r="W22" s="775">
        <f>J22</f>
        <v>100</v>
      </c>
      <c r="X22" s="1812"/>
      <c r="Y22" s="3184"/>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4"/>
      <c r="Q23" s="1809">
        <f>B23</f>
        <v>111</v>
      </c>
      <c r="R23" s="774" t="s">
        <v>17</v>
      </c>
      <c r="S23" s="775">
        <f>F23</f>
        <v>100</v>
      </c>
      <c r="T23" s="774" t="s">
        <v>17</v>
      </c>
      <c r="U23" s="775">
        <f>H23</f>
        <v>100</v>
      </c>
      <c r="V23" s="774" t="s">
        <v>17</v>
      </c>
      <c r="W23" s="775">
        <f>J23</f>
        <v>100</v>
      </c>
      <c r="X23" s="1812"/>
      <c r="Y23" s="3184"/>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4"/>
      <c r="Q24" s="1809">
        <f t="shared" ref="Q24:Q34" si="11">B24</f>
        <v>111</v>
      </c>
      <c r="R24" s="774" t="s">
        <v>17</v>
      </c>
      <c r="S24" s="775">
        <f>F24</f>
        <v>100</v>
      </c>
      <c r="T24" s="774" t="s">
        <v>17</v>
      </c>
      <c r="U24" s="775">
        <f>H24</f>
        <v>100</v>
      </c>
      <c r="V24" s="774" t="s">
        <v>17</v>
      </c>
      <c r="W24" s="775">
        <f>J24</f>
        <v>100</v>
      </c>
      <c r="X24" s="1812"/>
      <c r="Y24" s="3184"/>
      <c r="Z24" s="1813">
        <f>Q24</f>
        <v>111</v>
      </c>
      <c r="AA24" s="1810">
        <f t="shared" si="3"/>
        <v>1</v>
      </c>
      <c r="AB24" s="1810">
        <f t="shared" si="4"/>
        <v>1</v>
      </c>
      <c r="AC24" s="1810">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84"/>
      <c r="Q25" s="1794">
        <f t="shared" si="11"/>
        <v>111</v>
      </c>
      <c r="R25" s="770" t="s">
        <v>17</v>
      </c>
      <c r="S25" s="771">
        <f>F25</f>
        <v>100</v>
      </c>
      <c r="T25" s="770" t="s">
        <v>17</v>
      </c>
      <c r="U25" s="771">
        <f>H25</f>
        <v>100</v>
      </c>
      <c r="V25" s="770" t="s">
        <v>17</v>
      </c>
      <c r="W25" s="771">
        <f>J25</f>
        <v>100</v>
      </c>
      <c r="X25" s="772"/>
      <c r="Y25" s="3184"/>
      <c r="Z25" s="54">
        <f>Q25</f>
        <v>111</v>
      </c>
      <c r="AA25" s="1810">
        <f>D25/F25</f>
        <v>1</v>
      </c>
      <c r="AB25" s="1810">
        <f>D25/H25</f>
        <v>1</v>
      </c>
      <c r="AC25" s="1810">
        <f>D25/J25</f>
        <v>1</v>
      </c>
    </row>
    <row r="26" spans="1:29" ht="15">
      <c r="A26" s="466" t="s">
        <v>2564</v>
      </c>
      <c r="B26" s="70"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185"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6"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6"/>
      <c r="Q27" s="776" t="str">
        <f t="shared" si="11"/>
        <v>成新率</v>
      </c>
      <c r="R27" s="777" t="s">
        <v>17</v>
      </c>
      <c r="S27" s="778" t="e">
        <f t="shared" si="12"/>
        <v>#N/A</v>
      </c>
      <c r="T27" s="777" t="s">
        <v>17</v>
      </c>
      <c r="U27" s="778" t="e">
        <f t="shared" si="13"/>
        <v>#N/A</v>
      </c>
      <c r="V27" s="777" t="s">
        <v>17</v>
      </c>
      <c r="W27" s="778" t="e">
        <f t="shared" si="14"/>
        <v>#N/A</v>
      </c>
      <c r="X27" s="779"/>
      <c r="Y27" s="3186"/>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6"/>
      <c r="Q28" s="1809" t="str">
        <f t="shared" si="11"/>
        <v>物业等级</v>
      </c>
      <c r="R28" s="774" t="s">
        <v>17</v>
      </c>
      <c r="S28" s="775">
        <f t="shared" si="12"/>
        <v>100</v>
      </c>
      <c r="T28" s="774" t="s">
        <v>17</v>
      </c>
      <c r="U28" s="775">
        <f t="shared" si="13"/>
        <v>100</v>
      </c>
      <c r="V28" s="774" t="s">
        <v>17</v>
      </c>
      <c r="W28" s="775">
        <f t="shared" si="14"/>
        <v>100</v>
      </c>
      <c r="X28" s="1812"/>
      <c r="Y28" s="3186"/>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6"/>
      <c r="Q29" s="1809" t="str">
        <f t="shared" si="11"/>
        <v>有无电梯</v>
      </c>
      <c r="R29" s="774" t="s">
        <v>17</v>
      </c>
      <c r="S29" s="775">
        <f t="shared" si="12"/>
        <v>100</v>
      </c>
      <c r="T29" s="774" t="s">
        <v>17</v>
      </c>
      <c r="U29" s="775">
        <f t="shared" si="13"/>
        <v>100</v>
      </c>
      <c r="V29" s="774" t="s">
        <v>17</v>
      </c>
      <c r="W29" s="775">
        <f t="shared" si="14"/>
        <v>100</v>
      </c>
      <c r="X29" s="1812"/>
      <c r="Y29" s="3186"/>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6"/>
      <c r="Q30" s="1809" t="str">
        <f t="shared" si="11"/>
        <v>建筑面积</v>
      </c>
      <c r="R30" s="774" t="s">
        <v>17</v>
      </c>
      <c r="S30" s="775" t="e">
        <f t="shared" si="12"/>
        <v>#N/A</v>
      </c>
      <c r="T30" s="774" t="s">
        <v>17</v>
      </c>
      <c r="U30" s="775" t="e">
        <f t="shared" si="13"/>
        <v>#N/A</v>
      </c>
      <c r="V30" s="774" t="s">
        <v>17</v>
      </c>
      <c r="W30" s="775" t="e">
        <f t="shared" si="14"/>
        <v>#N/A</v>
      </c>
      <c r="X30" s="1812"/>
      <c r="Y30" s="3186"/>
      <c r="Z30" s="1813" t="str">
        <f t="shared" si="15"/>
        <v>建筑面积</v>
      </c>
      <c r="AA30" s="1810" t="e">
        <f t="shared" si="3"/>
        <v>#N/A</v>
      </c>
      <c r="AB30" s="1810" t="e">
        <f t="shared" si="4"/>
        <v>#N/A</v>
      </c>
      <c r="AC30" s="1810" t="e">
        <f t="shared" si="5"/>
        <v>#N/A</v>
      </c>
    </row>
    <row r="31" spans="1:29" s="116" customFormat="1" ht="15">
      <c r="A31" s="473"/>
      <c r="B31" s="422" t="s">
        <v>2740</v>
      </c>
      <c r="C31" s="657"/>
      <c r="D31" s="135">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6"/>
      <c r="Q31" s="1794" t="str">
        <f t="shared" si="11"/>
        <v>是否封闭</v>
      </c>
      <c r="R31" s="770" t="s">
        <v>17</v>
      </c>
      <c r="S31" s="771">
        <f t="shared" si="12"/>
        <v>100</v>
      </c>
      <c r="T31" s="770" t="s">
        <v>17</v>
      </c>
      <c r="U31" s="771">
        <f t="shared" si="13"/>
        <v>100</v>
      </c>
      <c r="V31" s="770" t="s">
        <v>17</v>
      </c>
      <c r="W31" s="771">
        <f t="shared" si="14"/>
        <v>100</v>
      </c>
      <c r="X31" s="772"/>
      <c r="Y31" s="3186"/>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6" t="s">
        <v>2566</v>
      </c>
      <c r="Q32" s="1809">
        <f t="shared" si="11"/>
        <v>111</v>
      </c>
      <c r="R32" s="774" t="s">
        <v>17</v>
      </c>
      <c r="S32" s="775">
        <f t="shared" si="12"/>
        <v>100</v>
      </c>
      <c r="T32" s="774" t="s">
        <v>17</v>
      </c>
      <c r="U32" s="775">
        <f t="shared" si="13"/>
        <v>100</v>
      </c>
      <c r="V32" s="774" t="s">
        <v>17</v>
      </c>
      <c r="W32" s="775">
        <f t="shared" si="14"/>
        <v>100</v>
      </c>
      <c r="X32" s="1812"/>
      <c r="Y32" s="3186"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6"/>
      <c r="Q33" s="1809">
        <f t="shared" si="11"/>
        <v>111</v>
      </c>
      <c r="R33" s="774" t="s">
        <v>17</v>
      </c>
      <c r="S33" s="775">
        <f t="shared" si="12"/>
        <v>100</v>
      </c>
      <c r="T33" s="774" t="s">
        <v>17</v>
      </c>
      <c r="U33" s="775">
        <f t="shared" si="13"/>
        <v>100</v>
      </c>
      <c r="V33" s="774" t="s">
        <v>17</v>
      </c>
      <c r="W33" s="775">
        <f t="shared" si="14"/>
        <v>100</v>
      </c>
      <c r="X33" s="1812"/>
      <c r="Y33" s="3186"/>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86"/>
      <c r="Q34" s="1809">
        <f t="shared" si="11"/>
        <v>111</v>
      </c>
      <c r="R34" s="774" t="s">
        <v>17</v>
      </c>
      <c r="S34" s="775">
        <f t="shared" si="12"/>
        <v>100</v>
      </c>
      <c r="T34" s="774" t="s">
        <v>17</v>
      </c>
      <c r="U34" s="775">
        <f t="shared" si="13"/>
        <v>100</v>
      </c>
      <c r="V34" s="774" t="s">
        <v>17</v>
      </c>
      <c r="W34" s="775">
        <f t="shared" si="14"/>
        <v>100</v>
      </c>
      <c r="X34" s="1812"/>
      <c r="Y34" s="3186"/>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3"/>
      <c r="M35" s="1144"/>
      <c r="N35" s="1131"/>
      <c r="O35" s="1144"/>
      <c r="P35" s="3181" t="str">
        <f>A35</f>
        <v>成交单价（元/平方米）</v>
      </c>
      <c r="Q35" s="3181"/>
      <c r="R35" s="3260">
        <f>E35</f>
        <v>0</v>
      </c>
      <c r="S35" s="3260"/>
      <c r="T35" s="3260">
        <f>G35</f>
        <v>0</v>
      </c>
      <c r="U35" s="3260"/>
      <c r="V35" s="3260">
        <f>I35</f>
        <v>0</v>
      </c>
      <c r="W35" s="3260"/>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181" t="str">
        <f>A36</f>
        <v>比较价值（元/平方米）</v>
      </c>
      <c r="Q36" s="3181"/>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3"/>
      <c r="M37" s="1144"/>
      <c r="N37" s="1144"/>
      <c r="O37" s="1144"/>
      <c r="P37" s="3175" t="str">
        <f>A37</f>
        <v>估价对象XX用房的比较价值（楼面单价，元/平方米）</v>
      </c>
      <c r="Q37" s="3176"/>
      <c r="R37" s="3259" t="e">
        <f>IF(F1="售价",ROUND(AVERAGE(R36:V36),0),ROUND(AVERAGE(R36:V36),1))</f>
        <v>#DIV/0!</v>
      </c>
      <c r="S37" s="3259"/>
      <c r="T37" s="3259"/>
      <c r="U37" s="3259"/>
      <c r="V37" s="3259"/>
      <c r="W37" s="325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2017-12</v>
      </c>
      <c r="D46" s="1574">
        <f>EDATE(C46,-1)</f>
        <v>43040</v>
      </c>
      <c r="E46" s="1574">
        <f t="shared" ref="E46:O46" si="16">EDATE(D46,-1)</f>
        <v>43009</v>
      </c>
      <c r="F46" s="1574">
        <f t="shared" si="16"/>
        <v>42979</v>
      </c>
      <c r="G46" s="1574">
        <f t="shared" si="16"/>
        <v>42948</v>
      </c>
      <c r="H46" s="1574">
        <f t="shared" si="16"/>
        <v>42917</v>
      </c>
      <c r="I46" s="1574">
        <f t="shared" si="16"/>
        <v>42887</v>
      </c>
      <c r="J46" s="1574">
        <f t="shared" si="16"/>
        <v>42856</v>
      </c>
      <c r="K46" s="1574">
        <f t="shared" si="16"/>
        <v>42826</v>
      </c>
      <c r="L46" s="1574">
        <f t="shared" si="16"/>
        <v>42795</v>
      </c>
      <c r="M46" s="1574">
        <f t="shared" si="16"/>
        <v>42767</v>
      </c>
      <c r="N46" s="1574">
        <f t="shared" si="16"/>
        <v>42736</v>
      </c>
      <c r="O46" s="1574">
        <f t="shared" si="16"/>
        <v>42705</v>
      </c>
      <c r="P46" s="507"/>
    </row>
    <row r="47" spans="1:29" s="116" customFormat="1" ht="15">
      <c r="A47" s="509"/>
      <c r="B47" s="510"/>
      <c r="C47" s="1572">
        <v>100</v>
      </c>
      <c r="D47" s="512"/>
      <c r="E47" s="512"/>
      <c r="F47" s="512"/>
      <c r="G47" s="512"/>
      <c r="H47" s="512"/>
      <c r="I47" s="512"/>
      <c r="J47" s="512"/>
      <c r="K47" s="512"/>
      <c r="L47" s="512"/>
      <c r="M47" s="513"/>
      <c r="N47" s="512"/>
      <c r="O47" s="514"/>
      <c r="P47" s="504"/>
    </row>
    <row r="48" spans="1:29" s="116" customFormat="1" ht="15.75" thickBot="1">
      <c r="A48" s="515" t="s">
        <v>2586</v>
      </c>
      <c r="B48" s="516"/>
      <c r="C48" s="517"/>
      <c r="D48" s="518"/>
      <c r="E48" s="518"/>
      <c r="F48" s="518"/>
      <c r="G48" s="518"/>
      <c r="H48" s="518"/>
      <c r="I48" s="518"/>
      <c r="J48" s="518"/>
      <c r="K48" s="518"/>
      <c r="L48" s="518"/>
      <c r="M48" s="519"/>
      <c r="N48" s="518"/>
      <c r="O48" s="520"/>
      <c r="P48" s="504"/>
      <c r="Q48" s="504"/>
    </row>
    <row r="49" spans="1:17" s="116" customFormat="1" ht="15">
      <c r="A49" s="521" t="s">
        <v>2551</v>
      </c>
      <c r="B49" s="510"/>
      <c r="C49" s="522" t="s">
        <v>2653</v>
      </c>
      <c r="D49" s="523"/>
      <c r="E49" s="523"/>
      <c r="F49" s="523"/>
      <c r="G49" s="523"/>
      <c r="H49" s="523"/>
      <c r="I49" s="523"/>
      <c r="J49" s="523"/>
      <c r="K49" s="523"/>
      <c r="L49" s="524"/>
      <c r="M49" s="525"/>
      <c r="N49" s="1151"/>
      <c r="O49" s="1151"/>
      <c r="P49" s="526"/>
      <c r="Q49" s="504"/>
    </row>
    <row r="50" spans="1:17" s="116"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60">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4"/>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2730</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60"/>
      <c r="J80" s="660"/>
      <c r="K80" s="668"/>
      <c r="L80" s="669"/>
      <c r="M80" s="670"/>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2742</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78" t="s">
        <v>2647</v>
      </c>
      <c r="D4" s="3191"/>
      <c r="E4" s="3192" t="s">
        <v>2648</v>
      </c>
      <c r="F4" s="3193"/>
      <c r="G4" s="3178" t="s">
        <v>2649</v>
      </c>
      <c r="H4" s="3191"/>
      <c r="I4" s="3178" t="s">
        <v>2650</v>
      </c>
      <c r="J4" s="3191"/>
      <c r="K4" s="610" t="s">
        <v>2651</v>
      </c>
      <c r="L4" s="1130"/>
      <c r="M4" s="1131"/>
      <c r="N4" s="1131"/>
      <c r="O4" s="1131"/>
      <c r="P4" s="3194" t="s">
        <v>2652</v>
      </c>
      <c r="Q4" s="3195"/>
      <c r="R4" s="3200" t="s">
        <v>2648</v>
      </c>
      <c r="S4" s="3201"/>
      <c r="T4" s="3200" t="s">
        <v>2649</v>
      </c>
      <c r="U4" s="3201"/>
      <c r="V4" s="3187" t="s">
        <v>2650</v>
      </c>
      <c r="W4" s="3187"/>
      <c r="X4" s="1812"/>
      <c r="Y4" s="3200" t="s">
        <v>2652</v>
      </c>
      <c r="Z4" s="3201"/>
      <c r="AA4" s="3188" t="s">
        <v>2648</v>
      </c>
      <c r="AB4" s="3189" t="s">
        <v>2649</v>
      </c>
      <c r="AC4" s="3188" t="s">
        <v>2650</v>
      </c>
    </row>
    <row r="5" spans="1:29" ht="15">
      <c r="A5" s="404"/>
      <c r="B5" s="405"/>
      <c r="C5" s="3208" t="s">
        <v>2543</v>
      </c>
      <c r="D5" s="3209"/>
      <c r="E5" s="3215" t="s">
        <v>2544</v>
      </c>
      <c r="F5" s="3216"/>
      <c r="G5" s="3208" t="s">
        <v>2545</v>
      </c>
      <c r="H5" s="3209"/>
      <c r="I5" s="3208" t="s">
        <v>2546</v>
      </c>
      <c r="J5" s="3209"/>
      <c r="K5" s="610"/>
      <c r="L5" s="1130"/>
      <c r="M5" s="1131"/>
      <c r="N5" s="1131"/>
      <c r="O5" s="1131"/>
      <c r="P5" s="3196"/>
      <c r="Q5" s="3197"/>
      <c r="R5" s="3202"/>
      <c r="S5" s="3203"/>
      <c r="T5" s="3202"/>
      <c r="U5" s="3203"/>
      <c r="V5" s="3187"/>
      <c r="W5" s="3187"/>
      <c r="X5" s="1812"/>
      <c r="Y5" s="3202"/>
      <c r="Z5" s="3203"/>
      <c r="AA5" s="3189"/>
      <c r="AB5" s="3189"/>
      <c r="AC5" s="3189"/>
    </row>
    <row r="6" spans="1:29" ht="15.75" thickBot="1">
      <c r="A6" s="406"/>
      <c r="B6" s="407"/>
      <c r="C6" s="3282" t="s">
        <v>2796</v>
      </c>
      <c r="D6" s="3283"/>
      <c r="E6" s="3284" t="s">
        <v>2796</v>
      </c>
      <c r="F6" s="3285"/>
      <c r="G6" s="3282" t="s">
        <v>2796</v>
      </c>
      <c r="H6" s="3283"/>
      <c r="I6" s="3282" t="s">
        <v>2796</v>
      </c>
      <c r="J6" s="3283"/>
      <c r="K6" s="610" t="s">
        <v>2548</v>
      </c>
      <c r="L6" s="1130"/>
      <c r="M6" s="1131"/>
      <c r="N6" s="1131"/>
      <c r="O6" s="1131"/>
      <c r="P6" s="3198"/>
      <c r="Q6" s="3199"/>
      <c r="R6" s="3202"/>
      <c r="S6" s="3203"/>
      <c r="T6" s="3204"/>
      <c r="U6" s="3205"/>
      <c r="V6" s="3187"/>
      <c r="W6" s="3187"/>
      <c r="X6" s="1812"/>
      <c r="Y6" s="3204"/>
      <c r="Z6" s="3205"/>
      <c r="AA6" s="3190"/>
      <c r="AB6" s="3190"/>
      <c r="AC6" s="3190"/>
    </row>
    <row r="7" spans="1:29" s="116" customFormat="1" ht="15.75" thickBot="1">
      <c r="A7" s="408" t="s">
        <v>2549</v>
      </c>
      <c r="B7" s="409"/>
      <c r="C7" s="410">
        <f>'数据-取费表'!B2</f>
        <v>43070</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10" t="s">
        <v>2550</v>
      </c>
      <c r="Q7" s="3212"/>
      <c r="R7" s="770" t="s">
        <v>17</v>
      </c>
      <c r="S7" s="771">
        <f t="shared" ref="S7:S15" si="0">F7</f>
        <v>0</v>
      </c>
      <c r="T7" s="770" t="s">
        <v>17</v>
      </c>
      <c r="U7" s="771">
        <f t="shared" ref="U7:U15" si="1">H7</f>
        <v>0</v>
      </c>
      <c r="V7" s="770" t="s">
        <v>17</v>
      </c>
      <c r="W7" s="771">
        <f t="shared" ref="W7:W15" si="2">J7</f>
        <v>0</v>
      </c>
      <c r="X7" s="772"/>
      <c r="Y7" s="3210" t="s">
        <v>2550</v>
      </c>
      <c r="Z7" s="3211"/>
      <c r="AA7" s="773" t="e">
        <f>D7/F7</f>
        <v>#DIV/0!</v>
      </c>
      <c r="AB7" s="773" t="e">
        <f>D7/H7</f>
        <v>#DIV/0!</v>
      </c>
      <c r="AC7" s="773" t="e">
        <f>D7/J7</f>
        <v>#DIV/0!</v>
      </c>
    </row>
    <row r="8" spans="1:29" s="116"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0" t="s">
        <v>2553</v>
      </c>
      <c r="Q8" s="3211"/>
      <c r="R8" s="770" t="s">
        <v>17</v>
      </c>
      <c r="S8" s="771">
        <f t="shared" si="0"/>
        <v>0</v>
      </c>
      <c r="T8" s="770" t="s">
        <v>17</v>
      </c>
      <c r="U8" s="771">
        <f t="shared" si="1"/>
        <v>0</v>
      </c>
      <c r="V8" s="770" t="s">
        <v>17</v>
      </c>
      <c r="W8" s="771">
        <f t="shared" si="2"/>
        <v>0</v>
      </c>
      <c r="X8" s="772"/>
      <c r="Y8" s="3210" t="s">
        <v>2553</v>
      </c>
      <c r="Z8" s="3211"/>
      <c r="AA8" s="773" t="e">
        <f t="shared" ref="AA8:AA40" si="3">D8/F8</f>
        <v>#DIV/0!</v>
      </c>
      <c r="AB8" s="773" t="e">
        <f t="shared" ref="AB8:AB40" si="4">D8/H8</f>
        <v>#DIV/0!</v>
      </c>
      <c r="AC8" s="773" t="e">
        <f t="shared" ref="AC8:AC40" si="5">D8/J8</f>
        <v>#DIV/0!</v>
      </c>
    </row>
    <row r="9" spans="1:29" s="116" customFormat="1">
      <c r="A9" s="415" t="s">
        <v>2554</v>
      </c>
      <c r="B9" s="70" t="s">
        <v>2555</v>
      </c>
      <c r="C9" s="2701"/>
      <c r="D9" s="134">
        <v>100</v>
      </c>
      <c r="E9" s="2701"/>
      <c r="F9" s="134">
        <f>SUMIF(70:70,E9,71:71)-SUMIF(70:70,C9,71:71)+100</f>
        <v>100</v>
      </c>
      <c r="G9" s="2701"/>
      <c r="H9" s="134">
        <f>SUMIF(70:70,G9,71:71)-SUMIF(70:70,C9,71:71)+100</f>
        <v>100</v>
      </c>
      <c r="I9" s="2701"/>
      <c r="J9" s="134">
        <f>SUMIF(70:70,I9,71:71)-SUMIF(70:70,C9,71:71)+100</f>
        <v>100</v>
      </c>
      <c r="K9" s="611"/>
      <c r="L9" s="1132"/>
      <c r="M9" s="1133"/>
      <c r="N9" s="1133"/>
      <c r="O9" s="1134"/>
      <c r="P9" s="3181" t="s">
        <v>2556</v>
      </c>
      <c r="Q9" s="1794" t="str">
        <f t="shared" ref="Q9:Q15" si="6">B9</f>
        <v>用途</v>
      </c>
      <c r="R9" s="770" t="s">
        <v>17</v>
      </c>
      <c r="S9" s="771">
        <f t="shared" si="0"/>
        <v>100</v>
      </c>
      <c r="T9" s="770" t="s">
        <v>17</v>
      </c>
      <c r="U9" s="771">
        <f t="shared" si="1"/>
        <v>100</v>
      </c>
      <c r="V9" s="770" t="s">
        <v>17</v>
      </c>
      <c r="W9" s="771">
        <f t="shared" si="2"/>
        <v>100</v>
      </c>
      <c r="X9" s="772"/>
      <c r="Y9" s="3029" t="s">
        <v>2557</v>
      </c>
      <c r="Z9" s="54" t="str">
        <f t="shared" ref="Z9:Z15" si="7">Q9</f>
        <v>用途</v>
      </c>
      <c r="AA9" s="773">
        <f t="shared" si="3"/>
        <v>1</v>
      </c>
      <c r="AB9" s="773">
        <f t="shared" si="4"/>
        <v>1</v>
      </c>
      <c r="AC9" s="773">
        <f t="shared" si="5"/>
        <v>1</v>
      </c>
    </row>
    <row r="10" spans="1:29" s="427" customFormat="1" ht="27">
      <c r="A10" s="421"/>
      <c r="B10" s="422" t="s">
        <v>2558</v>
      </c>
      <c r="C10" s="432"/>
      <c r="D10" s="135">
        <v>100</v>
      </c>
      <c r="E10" s="432"/>
      <c r="F10" s="135">
        <f>ROUND(100/'数据-取费表'!G16,0)</f>
        <v>113</v>
      </c>
      <c r="G10" s="432"/>
      <c r="H10" s="135">
        <f>ROUND(100/'数据-取费表'!G16,0)</f>
        <v>113</v>
      </c>
      <c r="I10" s="432"/>
      <c r="J10" s="135">
        <f>ROUND(100/'数据-取费表'!G16,0)</f>
        <v>113</v>
      </c>
      <c r="K10" s="672"/>
      <c r="L10" s="1135"/>
      <c r="M10" s="1136"/>
      <c r="N10" s="1136"/>
      <c r="O10" s="1137"/>
      <c r="P10" s="3181"/>
      <c r="Q10" s="1794" t="str">
        <f t="shared" si="6"/>
        <v>土地使用年限（年）</v>
      </c>
      <c r="R10" s="770" t="s">
        <v>17</v>
      </c>
      <c r="S10" s="771">
        <f t="shared" si="0"/>
        <v>113</v>
      </c>
      <c r="T10" s="770" t="s">
        <v>17</v>
      </c>
      <c r="U10" s="771">
        <f t="shared" si="1"/>
        <v>113</v>
      </c>
      <c r="V10" s="770" t="s">
        <v>17</v>
      </c>
      <c r="W10" s="771">
        <f t="shared" si="2"/>
        <v>113</v>
      </c>
      <c r="X10" s="772"/>
      <c r="Y10" s="3029"/>
      <c r="Z10" s="54" t="str">
        <f t="shared" si="7"/>
        <v>土地使用年限（年）</v>
      </c>
      <c r="AA10" s="773">
        <f t="shared" si="3"/>
        <v>0.88495575221238942</v>
      </c>
      <c r="AB10" s="773">
        <f t="shared" si="4"/>
        <v>0.88495575221238942</v>
      </c>
      <c r="AC10" s="773">
        <f t="shared" si="5"/>
        <v>0.88495575221238942</v>
      </c>
    </row>
    <row r="11" spans="1:29" ht="15">
      <c r="A11" s="428"/>
      <c r="B11" s="422" t="s">
        <v>2559</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8"/>
      <c r="M11" s="1131"/>
      <c r="N11" s="1131"/>
      <c r="O11" s="1139"/>
      <c r="P11" s="3181"/>
      <c r="Q11" s="1794" t="str">
        <f t="shared" si="6"/>
        <v>容积率</v>
      </c>
      <c r="R11" s="770" t="s">
        <v>17</v>
      </c>
      <c r="S11" s="771" t="e">
        <f t="shared" si="0"/>
        <v>#N/A</v>
      </c>
      <c r="T11" s="770" t="s">
        <v>17</v>
      </c>
      <c r="U11" s="771" t="e">
        <f t="shared" si="1"/>
        <v>#N/A</v>
      </c>
      <c r="V11" s="770" t="s">
        <v>17</v>
      </c>
      <c r="W11" s="771" t="e">
        <f t="shared" si="2"/>
        <v>#N/A</v>
      </c>
      <c r="X11" s="772"/>
      <c r="Y11" s="3029"/>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2"/>
      <c r="M12" s="1133"/>
      <c r="N12" s="1133"/>
      <c r="O12" s="1134"/>
      <c r="P12" s="3181"/>
      <c r="Q12" s="1794">
        <f t="shared" si="6"/>
        <v>111</v>
      </c>
      <c r="R12" s="770" t="s">
        <v>17</v>
      </c>
      <c r="S12" s="771">
        <f t="shared" si="0"/>
        <v>100</v>
      </c>
      <c r="T12" s="770" t="s">
        <v>17</v>
      </c>
      <c r="U12" s="771">
        <f t="shared" si="1"/>
        <v>100</v>
      </c>
      <c r="V12" s="770" t="s">
        <v>17</v>
      </c>
      <c r="W12" s="771">
        <f t="shared" si="2"/>
        <v>100</v>
      </c>
      <c r="X12" s="772"/>
      <c r="Y12" s="3029"/>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0"/>
      <c r="M13" s="1131"/>
      <c r="N13" s="1131"/>
      <c r="O13" s="1139"/>
      <c r="P13" s="3181"/>
      <c r="Q13" s="1794">
        <f t="shared" si="6"/>
        <v>111</v>
      </c>
      <c r="R13" s="770" t="s">
        <v>17</v>
      </c>
      <c r="S13" s="771">
        <f t="shared" si="0"/>
        <v>100</v>
      </c>
      <c r="T13" s="770" t="s">
        <v>17</v>
      </c>
      <c r="U13" s="771">
        <f t="shared" si="1"/>
        <v>100</v>
      </c>
      <c r="V13" s="770" t="s">
        <v>17</v>
      </c>
      <c r="W13" s="771">
        <f t="shared" si="2"/>
        <v>100</v>
      </c>
      <c r="X13" s="772"/>
      <c r="Y13" s="3029"/>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1"/>
      <c r="Q14" s="1794">
        <f t="shared" si="6"/>
        <v>111</v>
      </c>
      <c r="R14" s="770" t="s">
        <v>17</v>
      </c>
      <c r="S14" s="771">
        <f t="shared" si="0"/>
        <v>100</v>
      </c>
      <c r="T14" s="770" t="s">
        <v>17</v>
      </c>
      <c r="U14" s="771">
        <f t="shared" si="1"/>
        <v>100</v>
      </c>
      <c r="V14" s="770" t="s">
        <v>17</v>
      </c>
      <c r="W14" s="771">
        <f t="shared" si="2"/>
        <v>100</v>
      </c>
      <c r="X14" s="772"/>
      <c r="Y14" s="3029"/>
      <c r="Z14" s="54">
        <f t="shared" si="7"/>
        <v>111</v>
      </c>
      <c r="AA14" s="773">
        <f t="shared" si="3"/>
        <v>1</v>
      </c>
      <c r="AB14" s="773">
        <f t="shared" si="4"/>
        <v>1</v>
      </c>
      <c r="AC14" s="773">
        <f t="shared" si="5"/>
        <v>1</v>
      </c>
    </row>
    <row r="15" spans="1:29" ht="57">
      <c r="A15" s="440" t="s">
        <v>2560</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3" t="s">
        <v>2561</v>
      </c>
      <c r="Q15" s="1809" t="str">
        <f t="shared" si="6"/>
        <v>产业集聚程度</v>
      </c>
      <c r="R15" s="774" t="s">
        <v>17</v>
      </c>
      <c r="S15" s="775">
        <f t="shared" si="0"/>
        <v>100</v>
      </c>
      <c r="T15" s="774" t="s">
        <v>17</v>
      </c>
      <c r="U15" s="775">
        <f t="shared" si="1"/>
        <v>100</v>
      </c>
      <c r="V15" s="774" t="s">
        <v>17</v>
      </c>
      <c r="W15" s="775">
        <f t="shared" si="2"/>
        <v>100</v>
      </c>
      <c r="X15" s="1812"/>
      <c r="Y15" s="3183"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184"/>
      <c r="Q16" s="1809"/>
      <c r="R16" s="774"/>
      <c r="S16" s="775"/>
      <c r="T16" s="774"/>
      <c r="U16" s="775"/>
      <c r="V16" s="774"/>
      <c r="W16" s="775"/>
      <c r="X16" s="1812"/>
      <c r="Y16" s="3184"/>
      <c r="Z16" s="1813"/>
      <c r="AA16" s="1810">
        <v>1</v>
      </c>
      <c r="AB16" s="1810">
        <v>1</v>
      </c>
      <c r="AC16" s="1810">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4"/>
      <c r="Q17" s="1809" t="str">
        <f>B17</f>
        <v>交通便捷度</v>
      </c>
      <c r="R17" s="774" t="s">
        <v>17</v>
      </c>
      <c r="S17" s="775">
        <f>F17</f>
        <v>100</v>
      </c>
      <c r="T17" s="774" t="s">
        <v>17</v>
      </c>
      <c r="U17" s="775">
        <f>H17</f>
        <v>100</v>
      </c>
      <c r="V17" s="774" t="s">
        <v>17</v>
      </c>
      <c r="W17" s="775">
        <f>J17</f>
        <v>100</v>
      </c>
      <c r="X17" s="1812"/>
      <c r="Y17" s="3184"/>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184"/>
      <c r="Q18" s="1809"/>
      <c r="R18" s="774"/>
      <c r="S18" s="775"/>
      <c r="T18" s="774"/>
      <c r="U18" s="775"/>
      <c r="V18" s="774"/>
      <c r="W18" s="775"/>
      <c r="X18" s="1812"/>
      <c r="Y18" s="3184"/>
      <c r="Z18" s="1813"/>
      <c r="AA18" s="1810">
        <v>1</v>
      </c>
      <c r="AB18" s="1810">
        <v>1</v>
      </c>
      <c r="AC18" s="1810">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4"/>
      <c r="Q19" s="1809" t="str">
        <f t="shared" ref="Q19:Q33" si="8">B19</f>
        <v>区域土地利用方向</v>
      </c>
      <c r="R19" s="774" t="s">
        <v>17</v>
      </c>
      <c r="S19" s="775">
        <f>F19</f>
        <v>100</v>
      </c>
      <c r="T19" s="774" t="s">
        <v>17</v>
      </c>
      <c r="U19" s="775">
        <f>H19</f>
        <v>100</v>
      </c>
      <c r="V19" s="774" t="s">
        <v>17</v>
      </c>
      <c r="W19" s="775">
        <f>J19</f>
        <v>100</v>
      </c>
      <c r="X19" s="1812"/>
      <c r="Y19" s="3184"/>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09"/>
      <c r="L20" s="1140"/>
      <c r="M20" s="1131"/>
      <c r="N20" s="1131"/>
      <c r="O20" s="1139"/>
      <c r="P20" s="3184"/>
      <c r="Q20" s="1809"/>
      <c r="R20" s="774"/>
      <c r="S20" s="775"/>
      <c r="T20" s="774"/>
      <c r="U20" s="775"/>
      <c r="V20" s="774"/>
      <c r="W20" s="775"/>
      <c r="X20" s="1812"/>
      <c r="Y20" s="3184"/>
      <c r="Z20" s="1813"/>
      <c r="AA20" s="1810"/>
      <c r="AB20" s="1810"/>
      <c r="AC20" s="1810"/>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4"/>
      <c r="Q21" s="1809" t="str">
        <f t="shared" si="8"/>
        <v>环境状况</v>
      </c>
      <c r="R21" s="774" t="s">
        <v>17</v>
      </c>
      <c r="S21" s="775">
        <f>F21</f>
        <v>100</v>
      </c>
      <c r="T21" s="774" t="s">
        <v>17</v>
      </c>
      <c r="U21" s="775">
        <f>H21</f>
        <v>100</v>
      </c>
      <c r="V21" s="774" t="s">
        <v>17</v>
      </c>
      <c r="W21" s="775">
        <f>J21</f>
        <v>100</v>
      </c>
      <c r="X21" s="1812"/>
      <c r="Y21" s="3184"/>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184"/>
      <c r="Q22" s="1809"/>
      <c r="R22" s="774"/>
      <c r="S22" s="775"/>
      <c r="T22" s="774"/>
      <c r="U22" s="775"/>
      <c r="V22" s="774"/>
      <c r="W22" s="775"/>
      <c r="X22" s="1812"/>
      <c r="Y22" s="3184"/>
      <c r="Z22" s="1813"/>
      <c r="AA22" s="1810">
        <v>1</v>
      </c>
      <c r="AB22" s="1810">
        <v>1</v>
      </c>
      <c r="AC22" s="1810">
        <v>1</v>
      </c>
    </row>
    <row r="23" spans="1:29" s="116"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4"/>
      <c r="Q23" s="1794" t="str">
        <f t="shared" si="8"/>
        <v>公共配套设施</v>
      </c>
      <c r="R23" s="770" t="s">
        <v>17</v>
      </c>
      <c r="S23" s="771">
        <f>F23</f>
        <v>100</v>
      </c>
      <c r="T23" s="770" t="s">
        <v>17</v>
      </c>
      <c r="U23" s="771">
        <f>H23</f>
        <v>100</v>
      </c>
      <c r="V23" s="770" t="s">
        <v>17</v>
      </c>
      <c r="W23" s="771">
        <f>J23</f>
        <v>100</v>
      </c>
      <c r="X23" s="772"/>
      <c r="Y23" s="3184"/>
      <c r="Z23" s="54" t="str">
        <f>Q23</f>
        <v>公共配套设施</v>
      </c>
      <c r="AA23" s="1810">
        <f>D23/F23</f>
        <v>1</v>
      </c>
      <c r="AB23" s="1810">
        <f>D23/H23</f>
        <v>1</v>
      </c>
      <c r="AC23" s="1810">
        <f>D23/J23</f>
        <v>1</v>
      </c>
    </row>
    <row r="24" spans="1:29" s="116" customFormat="1" ht="15">
      <c r="A24" s="649"/>
      <c r="B24" s="632"/>
      <c r="C24" s="2702"/>
      <c r="D24" s="448"/>
      <c r="E24" s="2613"/>
      <c r="F24" s="448"/>
      <c r="G24" s="2613"/>
      <c r="H24" s="448"/>
      <c r="I24" s="447"/>
      <c r="J24" s="448"/>
      <c r="K24" s="672"/>
      <c r="L24" s="1132"/>
      <c r="M24" s="1133"/>
      <c r="N24" s="1133"/>
      <c r="O24" s="1134"/>
      <c r="P24" s="3184"/>
      <c r="Q24" s="1794"/>
      <c r="R24" s="770"/>
      <c r="S24" s="771"/>
      <c r="T24" s="770"/>
      <c r="U24" s="771"/>
      <c r="V24" s="770"/>
      <c r="W24" s="771"/>
      <c r="X24" s="772"/>
      <c r="Y24" s="3184"/>
      <c r="Z24" s="54"/>
      <c r="AA24" s="773">
        <v>1</v>
      </c>
      <c r="AB24" s="773">
        <v>1</v>
      </c>
      <c r="AC24" s="773">
        <v>1</v>
      </c>
    </row>
    <row r="25" spans="1:29" s="116"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4"/>
      <c r="Q25" s="1794" t="str">
        <f t="shared" ref="Q25" si="9">B25</f>
        <v>基础设施水平</v>
      </c>
      <c r="R25" s="770" t="s">
        <v>17</v>
      </c>
      <c r="S25" s="771">
        <f>F25</f>
        <v>100</v>
      </c>
      <c r="T25" s="770" t="s">
        <v>17</v>
      </c>
      <c r="U25" s="771">
        <f>H25</f>
        <v>100</v>
      </c>
      <c r="V25" s="770" t="s">
        <v>17</v>
      </c>
      <c r="W25" s="771">
        <f>J25</f>
        <v>100</v>
      </c>
      <c r="X25" s="772"/>
      <c r="Y25" s="3184"/>
      <c r="Z25" s="54" t="str">
        <f>Q25</f>
        <v>基础设施水平</v>
      </c>
      <c r="AA25" s="1810">
        <f>D25/F25</f>
        <v>1</v>
      </c>
      <c r="AB25" s="1810">
        <f>D25/H25</f>
        <v>1</v>
      </c>
      <c r="AC25" s="1810">
        <f>D25/J25</f>
        <v>1</v>
      </c>
    </row>
    <row r="26" spans="1:29" s="116" customFormat="1" ht="15">
      <c r="A26" s="649"/>
      <c r="B26" s="632"/>
      <c r="C26" s="2702"/>
      <c r="D26" s="448"/>
      <c r="E26" s="2703"/>
      <c r="F26" s="448"/>
      <c r="G26" s="2703"/>
      <c r="H26" s="448"/>
      <c r="I26" s="2703"/>
      <c r="J26" s="448"/>
      <c r="K26" s="672"/>
      <c r="L26" s="1132"/>
      <c r="M26" s="1133"/>
      <c r="N26" s="1133"/>
      <c r="O26" s="1134"/>
      <c r="P26" s="3184"/>
      <c r="Q26" s="1794"/>
      <c r="R26" s="770"/>
      <c r="S26" s="771"/>
      <c r="T26" s="770"/>
      <c r="U26" s="771"/>
      <c r="V26" s="770"/>
      <c r="W26" s="771"/>
      <c r="X26" s="772"/>
      <c r="Y26" s="3184"/>
      <c r="Z26" s="54"/>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4"/>
      <c r="Z27" s="1813" t="str">
        <f t="shared" ref="Z27:Z40" si="13">Q27</f>
        <v>临街状况</v>
      </c>
      <c r="AA27" s="1810">
        <f t="shared" si="3"/>
        <v>1</v>
      </c>
      <c r="AB27" s="1810">
        <f t="shared" si="4"/>
        <v>1</v>
      </c>
      <c r="AC27" s="1810">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4"/>
      <c r="Q28" s="1809" t="str">
        <f t="shared" si="8"/>
        <v>毗邻道路的类型与等级</v>
      </c>
      <c r="R28" s="774" t="s">
        <v>17</v>
      </c>
      <c r="S28" s="775">
        <f t="shared" si="10"/>
        <v>100</v>
      </c>
      <c r="T28" s="774" t="s">
        <v>17</v>
      </c>
      <c r="U28" s="775">
        <f t="shared" si="11"/>
        <v>100</v>
      </c>
      <c r="V28" s="774" t="s">
        <v>17</v>
      </c>
      <c r="W28" s="775">
        <f t="shared" si="12"/>
        <v>100</v>
      </c>
      <c r="X28" s="1812"/>
      <c r="Y28" s="3184"/>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184"/>
      <c r="Q29" s="1809"/>
      <c r="R29" s="774"/>
      <c r="S29" s="775"/>
      <c r="T29" s="774"/>
      <c r="U29" s="775"/>
      <c r="V29" s="774"/>
      <c r="W29" s="775"/>
      <c r="X29" s="1812"/>
      <c r="Y29" s="3184"/>
      <c r="Z29" s="1813"/>
      <c r="AA29" s="1810">
        <v>1</v>
      </c>
      <c r="AB29" s="1810">
        <v>1</v>
      </c>
      <c r="AC29" s="1810">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4"/>
      <c r="Q30" s="1809" t="str">
        <f t="shared" si="8"/>
        <v>土地级别</v>
      </c>
      <c r="R30" s="774" t="s">
        <v>17</v>
      </c>
      <c r="S30" s="775">
        <f t="shared" si="10"/>
        <v>100</v>
      </c>
      <c r="T30" s="774" t="s">
        <v>17</v>
      </c>
      <c r="U30" s="775">
        <f t="shared" si="11"/>
        <v>100</v>
      </c>
      <c r="V30" s="774" t="s">
        <v>17</v>
      </c>
      <c r="W30" s="775">
        <f t="shared" si="12"/>
        <v>100</v>
      </c>
      <c r="X30" s="1812"/>
      <c r="Y30" s="3184"/>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4"/>
      <c r="Q31" s="1809">
        <f t="shared" si="8"/>
        <v>111</v>
      </c>
      <c r="R31" s="774" t="s">
        <v>17</v>
      </c>
      <c r="S31" s="775">
        <f t="shared" si="10"/>
        <v>100</v>
      </c>
      <c r="T31" s="774" t="s">
        <v>17</v>
      </c>
      <c r="U31" s="775">
        <f t="shared" si="11"/>
        <v>100</v>
      </c>
      <c r="V31" s="774" t="s">
        <v>17</v>
      </c>
      <c r="W31" s="775">
        <f t="shared" si="12"/>
        <v>100</v>
      </c>
      <c r="X31" s="1812"/>
      <c r="Y31" s="3184"/>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5" t="s">
        <v>2566</v>
      </c>
      <c r="Q32" s="1809">
        <f t="shared" si="8"/>
        <v>111</v>
      </c>
      <c r="R32" s="774" t="s">
        <v>17</v>
      </c>
      <c r="S32" s="775">
        <f t="shared" si="10"/>
        <v>100</v>
      </c>
      <c r="T32" s="774" t="s">
        <v>17</v>
      </c>
      <c r="U32" s="775">
        <f t="shared" si="11"/>
        <v>100</v>
      </c>
      <c r="V32" s="774" t="s">
        <v>17</v>
      </c>
      <c r="W32" s="775">
        <f t="shared" si="12"/>
        <v>100</v>
      </c>
      <c r="X32" s="1812"/>
      <c r="Y32" s="3186" t="s">
        <v>2566</v>
      </c>
      <c r="Z32" s="1813">
        <f t="shared" si="13"/>
        <v>111</v>
      </c>
      <c r="AA32" s="1810">
        <f t="shared" si="3"/>
        <v>1</v>
      </c>
      <c r="AB32" s="1810">
        <f t="shared" si="4"/>
        <v>1</v>
      </c>
      <c r="AC32" s="1810">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6"/>
      <c r="Q33" s="1809">
        <f t="shared" si="8"/>
        <v>111</v>
      </c>
      <c r="R33" s="777" t="s">
        <v>17</v>
      </c>
      <c r="S33" s="778">
        <f t="shared" si="10"/>
        <v>100</v>
      </c>
      <c r="T33" s="777" t="s">
        <v>17</v>
      </c>
      <c r="U33" s="778">
        <f t="shared" si="11"/>
        <v>100</v>
      </c>
      <c r="V33" s="777" t="s">
        <v>17</v>
      </c>
      <c r="W33" s="778">
        <f t="shared" si="12"/>
        <v>100</v>
      </c>
      <c r="X33" s="779"/>
      <c r="Y33" s="3186"/>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6"/>
      <c r="Q34" s="1809" t="str">
        <f>B34</f>
        <v>宗地面积</v>
      </c>
      <c r="R34" s="774" t="s">
        <v>17</v>
      </c>
      <c r="S34" s="775" t="e">
        <f t="shared" si="10"/>
        <v>#N/A</v>
      </c>
      <c r="T34" s="774" t="s">
        <v>17</v>
      </c>
      <c r="U34" s="775" t="e">
        <f t="shared" si="11"/>
        <v>#N/A</v>
      </c>
      <c r="V34" s="774" t="s">
        <v>17</v>
      </c>
      <c r="W34" s="775" t="e">
        <f t="shared" si="12"/>
        <v>#N/A</v>
      </c>
      <c r="X34" s="1812"/>
      <c r="Y34" s="3186"/>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186"/>
      <c r="Q35" s="1809" t="str">
        <f t="shared" ref="Q35:Q40" si="14">B35</f>
        <v>宗地形状</v>
      </c>
      <c r="R35" s="774" t="s">
        <v>17</v>
      </c>
      <c r="S35" s="775">
        <f t="shared" si="10"/>
        <v>100</v>
      </c>
      <c r="T35" s="774" t="s">
        <v>17</v>
      </c>
      <c r="U35" s="775">
        <f t="shared" si="11"/>
        <v>100</v>
      </c>
      <c r="V35" s="774" t="s">
        <v>17</v>
      </c>
      <c r="W35" s="775">
        <f t="shared" si="12"/>
        <v>100</v>
      </c>
      <c r="X35" s="1812"/>
      <c r="Y35" s="3186"/>
      <c r="Z35" s="1813" t="str">
        <f t="shared" si="13"/>
        <v>宗地形状</v>
      </c>
      <c r="AA35" s="1810">
        <f t="shared" si="3"/>
        <v>1</v>
      </c>
      <c r="AB35" s="1810">
        <f t="shared" si="4"/>
        <v>1</v>
      </c>
      <c r="AC35" s="1810">
        <f t="shared" si="5"/>
        <v>1</v>
      </c>
    </row>
    <row r="36" spans="1:29" s="116" customFormat="1" ht="15">
      <c r="A36" s="473"/>
      <c r="B36" s="422" t="s">
        <v>2755</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86"/>
      <c r="Q36" s="1809" t="str">
        <f t="shared" si="14"/>
        <v>宗地开发程度</v>
      </c>
      <c r="R36" s="770" t="s">
        <v>17</v>
      </c>
      <c r="S36" s="771">
        <f t="shared" si="10"/>
        <v>100</v>
      </c>
      <c r="T36" s="770" t="s">
        <v>17</v>
      </c>
      <c r="U36" s="771">
        <f t="shared" si="11"/>
        <v>100</v>
      </c>
      <c r="V36" s="770" t="s">
        <v>17</v>
      </c>
      <c r="W36" s="771">
        <f t="shared" si="12"/>
        <v>100</v>
      </c>
      <c r="X36" s="772"/>
      <c r="Y36" s="3186"/>
      <c r="Z36" s="54"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86" t="s">
        <v>2566</v>
      </c>
      <c r="Q37" s="1809" t="str">
        <f t="shared" si="14"/>
        <v>工程地质条件</v>
      </c>
      <c r="R37" s="774" t="s">
        <v>17</v>
      </c>
      <c r="S37" s="775">
        <f t="shared" si="10"/>
        <v>100</v>
      </c>
      <c r="T37" s="774" t="s">
        <v>17</v>
      </c>
      <c r="U37" s="775">
        <f t="shared" si="11"/>
        <v>100</v>
      </c>
      <c r="V37" s="774" t="s">
        <v>17</v>
      </c>
      <c r="W37" s="775">
        <f t="shared" si="12"/>
        <v>100</v>
      </c>
      <c r="X37" s="1812"/>
      <c r="Y37" s="3186" t="s">
        <v>2566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6"/>
      <c r="Q38" s="1809">
        <f t="shared" si="14"/>
        <v>111</v>
      </c>
      <c r="R38" s="774" t="s">
        <v>17</v>
      </c>
      <c r="S38" s="775">
        <f t="shared" si="10"/>
        <v>100</v>
      </c>
      <c r="T38" s="774" t="s">
        <v>17</v>
      </c>
      <c r="U38" s="775">
        <f t="shared" si="11"/>
        <v>100</v>
      </c>
      <c r="V38" s="774" t="s">
        <v>17</v>
      </c>
      <c r="W38" s="775">
        <f t="shared" si="12"/>
        <v>100</v>
      </c>
      <c r="X38" s="1812"/>
      <c r="Y38" s="3186"/>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6"/>
      <c r="Q39" s="1809">
        <f t="shared" si="14"/>
        <v>111</v>
      </c>
      <c r="R39" s="774" t="s">
        <v>17</v>
      </c>
      <c r="S39" s="775">
        <f t="shared" si="10"/>
        <v>100</v>
      </c>
      <c r="T39" s="774" t="s">
        <v>17</v>
      </c>
      <c r="U39" s="775">
        <f t="shared" si="11"/>
        <v>100</v>
      </c>
      <c r="V39" s="774" t="s">
        <v>17</v>
      </c>
      <c r="W39" s="775">
        <f t="shared" si="12"/>
        <v>100</v>
      </c>
      <c r="X39" s="1812"/>
      <c r="Y39" s="3186"/>
      <c r="Z39" s="1813">
        <f t="shared" si="13"/>
        <v>111</v>
      </c>
      <c r="AA39" s="1810">
        <f t="shared" si="3"/>
        <v>1</v>
      </c>
      <c r="AB39" s="1810">
        <f t="shared" si="4"/>
        <v>1</v>
      </c>
      <c r="AC39" s="1810">
        <f t="shared" si="5"/>
        <v>1</v>
      </c>
    </row>
    <row r="40" spans="1:29" s="471" customFormat="1" ht="15.75" thickBot="1">
      <c r="A40" s="468"/>
      <c r="B40" s="1387">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6"/>
      <c r="Q40" s="1809">
        <f t="shared" si="14"/>
        <v>111</v>
      </c>
      <c r="R40" s="777" t="s">
        <v>17</v>
      </c>
      <c r="S40" s="778">
        <f t="shared" si="10"/>
        <v>100</v>
      </c>
      <c r="T40" s="777" t="s">
        <v>17</v>
      </c>
      <c r="U40" s="778">
        <f t="shared" si="11"/>
        <v>100</v>
      </c>
      <c r="V40" s="777" t="s">
        <v>17</v>
      </c>
      <c r="W40" s="778">
        <f t="shared" si="12"/>
        <v>100</v>
      </c>
      <c r="X40" s="779"/>
      <c r="Y40" s="3186"/>
      <c r="Z40" s="780">
        <f t="shared" si="13"/>
        <v>111</v>
      </c>
      <c r="AA40" s="1810">
        <f t="shared" si="3"/>
        <v>1</v>
      </c>
      <c r="AB40" s="1810">
        <f t="shared" si="4"/>
        <v>1</v>
      </c>
      <c r="AC40" s="1810">
        <f t="shared" si="5"/>
        <v>1</v>
      </c>
    </row>
    <row r="41" spans="1:29" ht="15">
      <c r="A41" s="479" t="s">
        <v>2721</v>
      </c>
      <c r="B41" s="2706" t="s">
        <v>2799</v>
      </c>
      <c r="C41" s="682" t="s">
        <v>1</v>
      </c>
      <c r="D41" s="481"/>
      <c r="E41" s="482"/>
      <c r="F41" s="483"/>
      <c r="G41" s="484"/>
      <c r="H41" s="485"/>
      <c r="I41" s="482"/>
      <c r="J41" s="485"/>
      <c r="K41" s="783"/>
      <c r="L41" s="1143"/>
      <c r="M41" s="1131"/>
      <c r="N41" s="1131"/>
      <c r="O41" s="1144"/>
      <c r="P41" s="3181" t="str">
        <f>A41</f>
        <v>成交单价</v>
      </c>
      <c r="Q41" s="3181"/>
      <c r="R41" s="3187">
        <f>E41</f>
        <v>0</v>
      </c>
      <c r="S41" s="3187"/>
      <c r="T41" s="3187">
        <f>G41</f>
        <v>0</v>
      </c>
      <c r="U41" s="3187"/>
      <c r="V41" s="3187">
        <f>I41</f>
        <v>0</v>
      </c>
      <c r="W41" s="318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81" t="str">
        <f>A42</f>
        <v>比较价值（元/平方米）</v>
      </c>
      <c r="Q42" s="3181"/>
      <c r="R42" s="3174" t="e">
        <f>ROUND(PRODUCT(R41,AA7:AA40),0)</f>
        <v>#DIV/0!</v>
      </c>
      <c r="S42" s="3174"/>
      <c r="T42" s="3174" t="e">
        <f>ROUND(PRODUCT(T41,AB7:AB40),0)</f>
        <v>#DIV/0!</v>
      </c>
      <c r="U42" s="3174"/>
      <c r="V42" s="3174" t="e">
        <f>ROUND(PRODUCT(V41,AC7:AC40),0)</f>
        <v>#DIV/0!</v>
      </c>
      <c r="W42" s="317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175" t="str">
        <f>A43</f>
        <v>估价对象XX用房的比较价值（楼面单价，元/平方米）</v>
      </c>
      <c r="Q43" s="3176"/>
      <c r="R43" s="3177" t="e">
        <f>ROUND(AVERAGE(R42:V42),0)</f>
        <v>#DIV/0!</v>
      </c>
      <c r="S43" s="3177"/>
      <c r="T43" s="3177"/>
      <c r="U43" s="3177"/>
      <c r="V43" s="3177"/>
      <c r="W43" s="317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178" t="s">
        <v>2764</v>
      </c>
      <c r="H50" s="3179"/>
      <c r="I50" s="1813" t="s">
        <v>2800</v>
      </c>
      <c r="J50" s="1813">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116944.15</v>
      </c>
      <c r="F51" s="691" t="e">
        <f t="shared" ref="F51:F60" si="15">ROUND(B51*E51/10000,0)</f>
        <v>#DIV/0!</v>
      </c>
      <c r="G51" s="3180"/>
      <c r="H51" s="3181"/>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182"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182"/>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182"/>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182"/>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1029</v>
      </c>
      <c r="E61" s="696">
        <f>IF(B41="楼面地价",SUM(E51:E60),'数据-汇总表'!D3)</f>
        <v>138145.20000000001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6" customFormat="1" ht="30.75" customHeight="1">
      <c r="A66" s="2718" t="s">
        <v>2801</v>
      </c>
      <c r="B66" s="332" t="str">
        <f>"北京市平均增长率"&amp;TEXT(基准地价修正!P24,"0.00%")</f>
        <v>北京市平均增长率1.39%</v>
      </c>
      <c r="C66" s="603">
        <v>100</v>
      </c>
      <c r="D66" s="595"/>
      <c r="E66" s="595"/>
      <c r="F66" s="595"/>
      <c r="G66" s="595"/>
      <c r="H66" s="595"/>
      <c r="I66" s="595"/>
      <c r="J66" s="595"/>
      <c r="K66" s="595"/>
      <c r="L66" s="595"/>
      <c r="M66" s="1567"/>
      <c r="N66" s="1567"/>
      <c r="O66" s="1568"/>
      <c r="P66" s="504"/>
    </row>
    <row r="67" spans="1:17" s="116" customFormat="1" ht="15.75" thickBot="1">
      <c r="A67" s="515" t="s">
        <v>2586</v>
      </c>
      <c r="B67" s="516"/>
      <c r="C67" s="517"/>
      <c r="D67" s="518"/>
      <c r="E67" s="518"/>
      <c r="F67" s="518"/>
      <c r="G67" s="518"/>
      <c r="H67" s="518"/>
      <c r="I67" s="518"/>
      <c r="J67" s="518"/>
      <c r="K67" s="518"/>
      <c r="L67" s="518"/>
      <c r="M67" s="519"/>
      <c r="N67" s="519"/>
      <c r="O67" s="520"/>
      <c r="P67" s="504"/>
      <c r="Q67" s="504"/>
    </row>
    <row r="68" spans="1:17" s="116" customFormat="1" ht="15">
      <c r="A68" s="521" t="s">
        <v>2551</v>
      </c>
      <c r="B68" s="510"/>
      <c r="C68" s="522" t="s">
        <v>2653</v>
      </c>
      <c r="D68" s="523"/>
      <c r="E68" s="523"/>
      <c r="F68" s="523"/>
      <c r="G68" s="523"/>
      <c r="H68" s="523"/>
      <c r="I68" s="523"/>
      <c r="J68" s="523"/>
      <c r="K68" s="523"/>
      <c r="L68" s="524"/>
      <c r="M68" s="525"/>
      <c r="N68" s="1151"/>
      <c r="O68" s="1151"/>
      <c r="P68" s="526"/>
      <c r="Q68" s="504"/>
    </row>
    <row r="69" spans="1:17" s="116"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2558</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2784</v>
      </c>
      <c r="C87" s="573" t="s">
        <v>2598</v>
      </c>
      <c r="D87" s="573" t="s">
        <v>2599</v>
      </c>
      <c r="E87" s="573" t="s">
        <v>2600</v>
      </c>
      <c r="F87" s="573" t="s">
        <v>2601</v>
      </c>
      <c r="G87" s="573" t="s">
        <v>2602</v>
      </c>
      <c r="H87" s="578"/>
      <c r="I87" s="578"/>
      <c r="J87" s="578"/>
      <c r="K87" s="578"/>
      <c r="L87" s="698"/>
      <c r="M87" s="622"/>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2785</v>
      </c>
      <c r="C89" s="573" t="s">
        <v>2598</v>
      </c>
      <c r="D89" s="573" t="s">
        <v>2599</v>
      </c>
      <c r="E89" s="573" t="s">
        <v>2600</v>
      </c>
      <c r="F89" s="573" t="s">
        <v>2601</v>
      </c>
      <c r="G89" s="573" t="s">
        <v>2602</v>
      </c>
      <c r="H89" s="578"/>
      <c r="I89" s="578"/>
      <c r="J89" s="578"/>
      <c r="K89" s="578"/>
      <c r="L89" s="578"/>
      <c r="M89" s="622"/>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2692</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2751</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5"/>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2791</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23" t="s">
        <v>2818</v>
      </c>
      <c r="D3" s="2724" t="s">
        <v>2819</v>
      </c>
      <c r="E3" s="2729"/>
      <c r="F3" s="2730" t="s">
        <v>2820</v>
      </c>
      <c r="G3" s="913">
        <f>IF(F3="宗地容积率",'数据-汇总表'!I4,IF(F3="估价对象容积率",'数据-汇总表'!I6,'数据-汇总表'!I7))</f>
        <v>0.85</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9"/>
      <c r="B4" s="3290"/>
      <c r="C4" s="3290"/>
      <c r="D4" s="3291"/>
      <c r="E4" s="3291"/>
      <c r="F4" s="3291"/>
      <c r="G4" s="3291"/>
      <c r="H4" s="3291"/>
      <c r="I4" s="3291"/>
      <c r="J4" s="3292"/>
      <c r="K4" s="1370"/>
      <c r="L4" s="2728" t="s">
        <v>2824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4" t="e">
        <f>ROUND(IF(E2="商业",IF(F16="增加",C6*C7+C16,C6*C7-C16),IF(E2="住宅",IF(F16="增加",C6*C12+C16,C6*C12-C16),IF(F16="增加",C6+C16,C6-C16))),0)</f>
        <v>#DIV/0!</v>
      </c>
      <c r="D5" s="1786">
        <f>ROUND(IF(E2="商业",IF(F16="增加",C6+C16,C6-C16)),0)</f>
        <v>0</v>
      </c>
      <c r="E5" s="2733"/>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75" thickBot="1">
      <c r="A6" s="2741" t="s">
        <v>2827</v>
      </c>
      <c r="B6" s="2742" t="s">
        <v>2828</v>
      </c>
      <c r="C6" s="915">
        <f>SUMIF(L1:L12,G2,M1:M12)</f>
        <v>0</v>
      </c>
      <c r="D6" s="2743" t="s">
        <v>2829</v>
      </c>
      <c r="E6" s="2744"/>
      <c r="F6" s="2744"/>
      <c r="G6" s="2745"/>
      <c r="H6" s="2745"/>
      <c r="I6" s="2745"/>
      <c r="J6" s="2746"/>
      <c r="K6" s="1841"/>
      <c r="L6" s="2728" t="s">
        <v>2830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293" t="str">
        <f>IF(E2="商业",IF(C8="不临58条商业街","",2),"")</f>
        <v/>
      </c>
      <c r="B7" s="2747" t="s">
        <v>2831</v>
      </c>
      <c r="C7" s="916" t="e">
        <f>IF(C8="不临58条商业街",1,ROUND(1+(1.6*E8+1.2*E9+0.8*E10+0.4*E11)*C9,4))</f>
        <v>#DIV/0!</v>
      </c>
      <c r="D7" s="2748" t="s">
        <v>2832</v>
      </c>
      <c r="E7" s="945"/>
      <c r="F7" s="2749"/>
      <c r="G7" s="2750"/>
      <c r="H7" s="2750"/>
      <c r="I7" s="2750"/>
      <c r="J7" s="2751"/>
      <c r="K7" s="1841"/>
      <c r="L7" s="2728" t="s">
        <v>2833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0.85</v>
      </c>
      <c r="AA7" s="1605"/>
      <c r="AB7" s="1605"/>
      <c r="AC7" s="1606"/>
      <c r="AD7" s="1607"/>
      <c r="AE7" s="1607"/>
      <c r="AF7" s="1607"/>
      <c r="AG7" s="1607"/>
      <c r="AH7" s="1607"/>
      <c r="AI7" s="1607"/>
      <c r="AJ7" s="1608"/>
    </row>
    <row r="8" spans="1:36" ht="15">
      <c r="A8" s="3294"/>
      <c r="B8" s="198" t="s">
        <v>2836</v>
      </c>
      <c r="C8" s="2752"/>
      <c r="D8" s="917" t="s">
        <v>139</v>
      </c>
      <c r="E8" s="918"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6" t="s">
        <v>2839</v>
      </c>
      <c r="X8" s="3287"/>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94"/>
      <c r="B9" s="198" t="s">
        <v>2852</v>
      </c>
      <c r="C9" s="919">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8"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4"/>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4"/>
      <c r="B11" s="2756" t="s">
        <v>2860</v>
      </c>
      <c r="C11" s="920">
        <f>C10/4</f>
        <v>0</v>
      </c>
      <c r="D11" s="920" t="s">
        <v>142</v>
      </c>
      <c r="E11" s="920"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8" t="s">
        <v>2863</v>
      </c>
      <c r="X11" s="1613" t="s">
        <v>2864</v>
      </c>
      <c r="Y11" s="1614">
        <f>$G$3</f>
        <v>0.85</v>
      </c>
      <c r="Z11" s="1614">
        <f t="shared" ref="Z11:AJ11" si="3">$G$3</f>
        <v>0.85</v>
      </c>
      <c r="AA11" s="1614">
        <f t="shared" si="3"/>
        <v>0.85</v>
      </c>
      <c r="AB11" s="1614">
        <f t="shared" si="3"/>
        <v>0.85</v>
      </c>
      <c r="AC11" s="1614">
        <f t="shared" si="3"/>
        <v>0.85</v>
      </c>
      <c r="AD11" s="1614">
        <f t="shared" si="3"/>
        <v>0.85</v>
      </c>
      <c r="AE11" s="1614">
        <f t="shared" si="3"/>
        <v>0.85</v>
      </c>
      <c r="AF11" s="1614">
        <f t="shared" si="3"/>
        <v>0.85</v>
      </c>
      <c r="AG11" s="1614">
        <f t="shared" si="3"/>
        <v>0.85</v>
      </c>
      <c r="AH11" s="1614">
        <f t="shared" si="3"/>
        <v>0.85</v>
      </c>
      <c r="AI11" s="1614">
        <f t="shared" si="3"/>
        <v>0.85</v>
      </c>
      <c r="AJ11" s="1614">
        <f t="shared" si="3"/>
        <v>0.85</v>
      </c>
    </row>
    <row r="12" spans="1:36" ht="25.5" thickBot="1">
      <c r="A12" s="3293" t="s">
        <v>2865</v>
      </c>
      <c r="B12" s="2760" t="s">
        <v>2866</v>
      </c>
      <c r="C12" s="916">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8"/>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5"/>
      <c r="B13" s="2766" t="s">
        <v>2870</v>
      </c>
      <c r="C13" s="2767" t="s">
        <v>2871</v>
      </c>
      <c r="D13" s="1807" t="s">
        <v>2872</v>
      </c>
      <c r="E13" s="1807" t="s">
        <v>2873</v>
      </c>
      <c r="F13" s="29" t="s">
        <v>2874</v>
      </c>
      <c r="G13" s="2768" t="s">
        <v>2875</v>
      </c>
      <c r="H13" s="2768" t="s">
        <v>2875</v>
      </c>
      <c r="I13" s="2768" t="s">
        <v>2875</v>
      </c>
      <c r="J13" s="2769" t="s">
        <v>2875</v>
      </c>
      <c r="K13" s="1370"/>
      <c r="L13" s="1370"/>
      <c r="M13" s="1370"/>
      <c r="N13" s="1370"/>
      <c r="O13" s="1370"/>
      <c r="P13" s="1370"/>
      <c r="Q13" s="1370"/>
      <c r="R13" s="1601">
        <v>12</v>
      </c>
      <c r="S13" s="1602"/>
      <c r="T13" s="1601" t="e">
        <f t="shared" si="0"/>
        <v>#DIV/0!</v>
      </c>
      <c r="U13" s="1602"/>
      <c r="V13" s="1601" t="e">
        <f t="shared" si="1"/>
        <v>#DIV/0!</v>
      </c>
      <c r="W13" s="3288"/>
      <c r="X13" s="1615"/>
      <c r="Y13" s="1612">
        <f>(-0.163*(Y12^2)-0.59*Y12+7617)*(10^(-4))/Y11</f>
        <v>0.89611764705882357</v>
      </c>
      <c r="Z13" s="1612">
        <f t="shared" ref="Z13:AJ13" si="5">(-0.163*(Z12^2)-0.59*Z12+7617)*(10^(-4))/Z11</f>
        <v>0.89611764705882357</v>
      </c>
      <c r="AA13" s="1612">
        <f t="shared" si="5"/>
        <v>0.89611764705882357</v>
      </c>
      <c r="AB13" s="1612">
        <f t="shared" si="5"/>
        <v>0.89611764705882357</v>
      </c>
      <c r="AC13" s="1612">
        <f t="shared" si="5"/>
        <v>0.89611764705882357</v>
      </c>
      <c r="AD13" s="1612">
        <f t="shared" si="5"/>
        <v>0.89611764705882357</v>
      </c>
      <c r="AE13" s="1612">
        <f t="shared" si="5"/>
        <v>0.89611764705882357</v>
      </c>
      <c r="AF13" s="1612">
        <f t="shared" si="5"/>
        <v>0.89611764705882357</v>
      </c>
      <c r="AG13" s="1612">
        <f t="shared" si="5"/>
        <v>0.89611764705882357</v>
      </c>
      <c r="AH13" s="1612">
        <f t="shared" si="5"/>
        <v>0.89611764705882357</v>
      </c>
      <c r="AI13" s="1612">
        <f t="shared" si="5"/>
        <v>0.89611764705882357</v>
      </c>
      <c r="AJ13" s="1612">
        <f t="shared" si="5"/>
        <v>0.89611764705882357</v>
      </c>
    </row>
    <row r="14" spans="1:36" ht="15">
      <c r="A14" s="3295"/>
      <c r="B14" s="2770"/>
      <c r="C14" s="2771"/>
      <c r="D14" s="2772"/>
      <c r="E14" s="2772"/>
      <c r="F14" s="2773"/>
      <c r="G14" s="2774" t="s">
        <v>2876</v>
      </c>
      <c r="H14" s="2775"/>
      <c r="I14" s="2776"/>
      <c r="J14" s="2777"/>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6"/>
      <c r="B15" s="2778" t="s">
        <v>2877</v>
      </c>
      <c r="C15" s="229">
        <f>IF(C14="有",1.1,1)</f>
        <v>1</v>
      </c>
      <c r="D15" s="229">
        <f>IF(D14="有",1.1,1)</f>
        <v>1</v>
      </c>
      <c r="E15" s="229">
        <f>IF(E14="有",1.1,1)</f>
        <v>1</v>
      </c>
      <c r="F15" s="229">
        <f>IF(F14="500米范围内",1.2,IF(F14="500-1000米",1.1,1))</f>
        <v>1</v>
      </c>
      <c r="G15" s="946">
        <v>1</v>
      </c>
      <c r="H15" s="946">
        <v>1</v>
      </c>
      <c r="I15" s="946">
        <v>1</v>
      </c>
      <c r="J15" s="947">
        <v>1</v>
      </c>
      <c r="K15" s="1370"/>
      <c r="L15" s="2779" t="s">
        <v>2813</v>
      </c>
      <c r="M15" s="917" t="s">
        <v>2878</v>
      </c>
      <c r="N15" s="917" t="s">
        <v>2879</v>
      </c>
      <c r="O15" s="917" t="s">
        <v>2880</v>
      </c>
      <c r="P15" s="2780" t="s">
        <v>2881</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3" t="s">
        <v>2882</v>
      </c>
      <c r="B16" s="2747" t="s">
        <v>2883</v>
      </c>
      <c r="C16" s="1800" t="e">
        <f>ROUND(SUM(G17:J17)/C17,0)</f>
        <v>#DIV/0!</v>
      </c>
      <c r="D16" s="2781" t="s">
        <v>2884</v>
      </c>
      <c r="E16" s="2782"/>
      <c r="F16" s="2783"/>
      <c r="G16" s="2784"/>
      <c r="H16" s="2784"/>
      <c r="I16" s="2784"/>
      <c r="J16" s="2785"/>
      <c r="K16" s="1370"/>
      <c r="L16" s="2786" t="s">
        <v>2885</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4"/>
      <c r="B17" s="2787" t="s">
        <v>2886</v>
      </c>
      <c r="C17" s="921">
        <f>SUMPRODUCT((修正!A2:A5=E2)*(修正!B1:M1=G2)*(修正!B2:M5))</f>
        <v>0</v>
      </c>
      <c r="D17" s="2788" t="s">
        <v>2887</v>
      </c>
      <c r="E17" s="920" t="str">
        <f>IF(OR(G2="八级",G2="九级",G2="十级",G2="十一级",G2="十二级"),"五通一平","七通一平")</f>
        <v>七通一平</v>
      </c>
      <c r="F17" s="921" t="s">
        <v>2888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2889</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2890</v>
      </c>
      <c r="C18" s="923">
        <f>SUMIF(修正!C18:C39,E3,修正!E18:E39)</f>
        <v>0</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7.75" thickBot="1">
      <c r="A19" s="2791" t="s">
        <v>809</v>
      </c>
      <c r="B19" s="2792" t="s">
        <v>2891</v>
      </c>
      <c r="C19" s="924" t="e">
        <f>ROUND(IF(H19="按公示增长率计算",SUMPRODUCT((地价!A3:A20=YEAR(G19)&amp;"-"&amp;ROUNDUP(MONTH(G19)/3,0))*(地价!X2:AB2=E2)*(地价!X3:AB20)),IF(H19="地价指数",M20/M19,(1+I19)^O19)),4)</f>
        <v>#DIV/0!</v>
      </c>
      <c r="D19" s="2799" t="s">
        <v>2892</v>
      </c>
      <c r="E19" s="925">
        <v>41640</v>
      </c>
      <c r="F19" s="2799" t="s">
        <v>2893</v>
      </c>
      <c r="G19" s="926">
        <f>'数据-取费表'!B2</f>
        <v>43070</v>
      </c>
      <c r="H19" s="2800" t="s">
        <v>2894</v>
      </c>
      <c r="I19" s="927" t="str">
        <f>IF(H19="季度增幅（自定义）",SUMIF(N21:N24,E2,O21:O24),"")</f>
        <v/>
      </c>
      <c r="J19" s="2797"/>
      <c r="K19" s="1377"/>
      <c r="L19" s="2801" t="s">
        <v>2895</v>
      </c>
      <c r="M19" s="1733">
        <f>ROUND(SUMIF(地价!B2:F2,E2,地价!B20:F20),0)</f>
        <v>0</v>
      </c>
      <c r="N19" s="2802" t="s">
        <v>2896</v>
      </c>
      <c r="O19" s="928">
        <f>ROUNDDOWN(DATEDIF(E19,G19,"M")/3,0)</f>
        <v>15</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2897</v>
      </c>
      <c r="C20" s="929" t="e">
        <f>ROUND(POWER(1+G20,J20-I20)*(POWER(1+G20,I20)-1)/(POWER(1+G20,J20)-1),4)</f>
        <v>#DIV/0!</v>
      </c>
      <c r="D20" s="2808" t="s">
        <v>2898</v>
      </c>
      <c r="E20" s="1767">
        <f ca="1">存贷款利率!D4/100</f>
        <v>4.3499999999999997E-2</v>
      </c>
      <c r="F20" s="2808" t="s">
        <v>2889</v>
      </c>
      <c r="G20" s="934">
        <f>SUMIF(M15:P15,E2,M17:P17)</f>
        <v>0</v>
      </c>
      <c r="H20" s="2808" t="s">
        <v>2899</v>
      </c>
      <c r="I20" s="935" t="e">
        <f>SUMIF('数据-取费表'!C6:C15,E2,'数据-取费表'!F6:F15)/COUNTIF('数据-取费表'!C6:C15,E2)</f>
        <v>#DIV/0!</v>
      </c>
      <c r="J20" s="936">
        <f>IF(E2="住宅",70,IF(E2="商业",40,50))</f>
        <v>50</v>
      </c>
      <c r="K20" s="1377"/>
      <c r="L20" s="2809" t="s">
        <v>2900</v>
      </c>
      <c r="M20" s="1734">
        <f>ROUND(SUMPRODUCT((地价!A5:A20=YEAR(G19)&amp;"-"&amp;ROUNDUP(MONTH(G19)/3,0))*(地价!B2:F2=E2)*(地价!B5:F20)),0)</f>
        <v>0</v>
      </c>
      <c r="N20" s="2810" t="s">
        <v>2901</v>
      </c>
      <c r="O20" s="2811" t="s">
        <v>2902</v>
      </c>
      <c r="P20" s="2812" t="s">
        <v>2903</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2904</v>
      </c>
      <c r="C21" s="937">
        <f>IF(B21="容积率修正",IF(G3&lt;=10,D22,J22),C23)</f>
        <v>0</v>
      </c>
      <c r="D21" s="2815"/>
      <c r="E21" s="2815"/>
      <c r="F21" s="2815"/>
      <c r="G21" s="2815"/>
      <c r="H21" s="2815"/>
      <c r="I21" s="2815"/>
      <c r="J21" s="2816"/>
      <c r="K21" s="1377"/>
      <c r="N21" s="2817" t="s">
        <v>2905</v>
      </c>
      <c r="O21" s="1561"/>
      <c r="P21" s="1562">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2906</v>
      </c>
      <c r="B22" s="2818" t="s">
        <v>2907</v>
      </c>
      <c r="C22" s="1809" t="s">
        <v>2908</v>
      </c>
      <c r="D22" s="1809">
        <f>IF(E22=G22,F22,IF(G3&lt;=10,ROUND(F22+(H22-F22)*(G3-E22)/(G22-E22),4),"——"))</f>
        <v>0</v>
      </c>
      <c r="E22" s="913">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7" t="s">
        <v>2909</v>
      </c>
      <c r="O22" s="1561"/>
      <c r="P22" s="1562">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6" t="s">
        <v>2910</v>
      </c>
      <c r="B23" s="2819" t="s">
        <v>2911</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2912</v>
      </c>
      <c r="O23" s="1561"/>
      <c r="P23" s="1562">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2913</v>
      </c>
      <c r="C24" s="924">
        <f>SUMIF(A45:A88,E2,B45:B88)</f>
        <v>0</v>
      </c>
      <c r="D24" s="2795"/>
      <c r="E24" s="2825"/>
      <c r="F24" s="2825"/>
      <c r="G24" s="2825"/>
      <c r="H24" s="2825"/>
      <c r="I24" s="2825"/>
      <c r="J24" s="2826"/>
      <c r="K24" s="1377"/>
      <c r="N24" s="2827" t="s">
        <v>2914</v>
      </c>
      <c r="O24" s="1563"/>
      <c r="P24" s="1564">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2915</v>
      </c>
      <c r="C25" s="930"/>
      <c r="D25" s="2750"/>
      <c r="E25" s="2750"/>
      <c r="F25" s="2829"/>
      <c r="G25" s="2750"/>
      <c r="H25" s="2750"/>
      <c r="I25" s="2750"/>
      <c r="J25" s="2751"/>
      <c r="K25" s="1370"/>
      <c r="N25" s="2830" t="s">
        <v>2916</v>
      </c>
      <c r="O25" s="1565"/>
      <c r="P25" s="1564">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1"/>
      <c r="B26" s="2818" t="s">
        <v>2917</v>
      </c>
      <c r="C26" s="206" t="e">
        <f>E29+SUM(E33:E39)</f>
        <v>#DIV/0!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2918</v>
      </c>
      <c r="C27" s="931" t="e">
        <f>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2919</v>
      </c>
      <c r="C28" s="2842" t="s">
        <v>2920</v>
      </c>
      <c r="D28" s="2842" t="s">
        <v>2921</v>
      </c>
      <c r="E28" s="2843" t="s">
        <v>2922</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2923</v>
      </c>
      <c r="C29" s="206" t="e">
        <f>ROUND(C5*C18*C19*C20*C21*C24,0)</f>
        <v>#DIV/0!</v>
      </c>
      <c r="D29" s="2847"/>
      <c r="E29" s="942" t="e">
        <f>ROUND(C29*D29/10000,0)</f>
        <v>#DIV/0!</v>
      </c>
      <c r="F29" s="2848" t="s">
        <v>2924</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2925</v>
      </c>
      <c r="C30" s="229" t="e">
        <f>ROUND(IF(E2="工业",C29*M39,C29*M38),0)</f>
        <v>#DIV/0!</v>
      </c>
      <c r="D30" s="2853"/>
      <c r="E30" s="942" t="e">
        <f>ROUND(C30*D30/10000,0)</f>
        <v>#DIV/0!</v>
      </c>
      <c r="F30" s="2854" t="s">
        <v>2926</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1" t="s">
        <v>2920</v>
      </c>
      <c r="D32" s="498" t="s">
        <v>2921</v>
      </c>
      <c r="E32" s="498" t="s">
        <v>2922</v>
      </c>
      <c r="F32" s="388" t="s">
        <v>2930</v>
      </c>
      <c r="G32" s="2862" t="s">
        <v>2920</v>
      </c>
      <c r="H32" s="2862" t="s">
        <v>2921</v>
      </c>
      <c r="I32" s="2862"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303" t="s">
        <v>2931</v>
      </c>
      <c r="B33" s="2863" t="s">
        <v>2932</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4"/>
      <c r="B34" s="2767" t="s">
        <v>2933</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4"/>
      <c r="B35" s="2767" t="s">
        <v>2934</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0"/>
      <c r="L35" s="1370"/>
      <c r="M35" s="1370"/>
      <c r="N35" s="1370"/>
      <c r="O35" s="1370"/>
      <c r="P35" s="1370"/>
      <c r="Q35" s="1370"/>
      <c r="R35" s="1370"/>
      <c r="S35" s="1370"/>
      <c r="T35" s="1370"/>
      <c r="U35" s="1370"/>
      <c r="V35" s="1370"/>
      <c r="W35" s="1370"/>
      <c r="X35" s="1370"/>
      <c r="Y35" s="1370"/>
      <c r="Z35" s="1371"/>
    </row>
    <row r="36" spans="1:37" ht="13.5" thickBot="1">
      <c r="A36" s="3305"/>
      <c r="B36" s="2767" t="s">
        <v>2935</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2936</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0"/>
      <c r="L37" s="2866" t="s">
        <v>2937</v>
      </c>
      <c r="M37" s="2867"/>
      <c r="N37" s="1370"/>
      <c r="O37" s="1370"/>
      <c r="P37" s="1370"/>
      <c r="Q37" s="1370"/>
      <c r="R37" s="1370"/>
      <c r="S37" s="1370"/>
      <c r="T37" s="1370"/>
      <c r="U37" s="1370"/>
      <c r="V37" s="1370"/>
      <c r="W37" s="1370"/>
      <c r="X37" s="1370"/>
      <c r="Y37" s="1370"/>
      <c r="Z37" s="1371"/>
    </row>
    <row r="38" spans="1:37">
      <c r="A38" s="2865"/>
      <c r="B38" s="2767" t="s">
        <v>2938</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0"/>
      <c r="L38" s="1886" t="s">
        <v>2939</v>
      </c>
      <c r="M38" s="2868">
        <v>0.25</v>
      </c>
      <c r="N38" s="1370"/>
      <c r="O38" s="1370"/>
      <c r="P38" s="1370"/>
      <c r="Q38" s="1370"/>
      <c r="R38" s="1370"/>
      <c r="S38" s="1370"/>
      <c r="T38" s="1370"/>
      <c r="U38" s="1370"/>
      <c r="V38" s="1370"/>
      <c r="W38" s="1370"/>
      <c r="X38" s="1370"/>
      <c r="Y38" s="1370"/>
      <c r="Z38" s="1371"/>
    </row>
    <row r="39" spans="1:37" ht="13.5" thickBot="1">
      <c r="A39" s="2851"/>
      <c r="B39" s="2869" t="s">
        <v>2940</v>
      </c>
      <c r="C39" s="229" t="e">
        <f>ROUND(C5*C19*C20*C24*F39,0)</f>
        <v>#DIV/0!</v>
      </c>
      <c r="D39" s="2853"/>
      <c r="E39" s="229" t="e">
        <f t="shared" si="7"/>
        <v>#DIV/0!</v>
      </c>
      <c r="F39" s="932">
        <f>SUMIF(修正!A45:A56,G2,修正!H45:H56)</f>
        <v>0</v>
      </c>
      <c r="G39" s="229" t="e">
        <f t="shared" si="6"/>
        <v>#DIV/0!</v>
      </c>
      <c r="H39" s="229">
        <f t="shared" si="8"/>
        <v>0</v>
      </c>
      <c r="I39" s="229" t="e">
        <f t="shared" si="9"/>
        <v>#DIV/0!</v>
      </c>
      <c r="J39" s="2870"/>
      <c r="K39" s="1370"/>
      <c r="L39" s="2871" t="s">
        <v>2881</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2941</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2942</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2943</v>
      </c>
      <c r="B47" s="1808" t="s">
        <v>2944</v>
      </c>
      <c r="C47" s="1808" t="s">
        <v>2945</v>
      </c>
      <c r="D47" s="1808" t="s">
        <v>2946</v>
      </c>
      <c r="E47" s="816" t="s">
        <v>2947</v>
      </c>
      <c r="F47" s="2881" t="s">
        <v>2948</v>
      </c>
      <c r="G47" s="1808" t="s">
        <v>754</v>
      </c>
      <c r="H47" s="2882" t="s">
        <v>2949</v>
      </c>
      <c r="I47" s="1808" t="s">
        <v>2950</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51">
      <c r="A48" s="2880" t="s">
        <v>2951</v>
      </c>
      <c r="B48" s="2883" t="str">
        <f>估价对象房地状况!C4</f>
        <v>估价对象周边有麒麟商业中心、荔隆广场，周边商业氛围一般，人流量一般，商业繁华度一般</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80" t="s">
        <v>2952</v>
      </c>
      <c r="B49" s="2884" t="str">
        <f>估价对象房地状况!C18</f>
        <v>估价对象周边有737路、武清3路，公交便捷度一般，路网密集程度一般，停车较便捷，综合评价交通便捷度一般。</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2953</v>
      </c>
      <c r="B50" s="2884" t="str">
        <f>估价对象房地状况!C19</f>
        <v>较一致</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2954</v>
      </c>
      <c r="B51" s="2885" t="s">
        <v>2955</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2956</v>
      </c>
      <c r="B52" s="2884" t="str">
        <f>估价对象房地状况!C24</f>
        <v>城市支路－福源道</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2957</v>
      </c>
      <c r="B53" s="2886" t="s">
        <v>2958</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76.5">
      <c r="A54" s="2887" t="s">
        <v>2959</v>
      </c>
      <c r="B54" s="1724" t="str">
        <f>估价对象房地状况!C21</f>
        <v>估价对象所在区域公共配套设施较齐备，有购物（麒麟商业中心）、有医院（武清区徐官屯医院）、有银行（天津农村商业银行）</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2960</v>
      </c>
      <c r="B55" s="2884" t="str">
        <f>估价对象房地状况!C22</f>
        <v>估价对象所在区域基础设施水平：七通</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2961</v>
      </c>
      <c r="B56" s="2889" t="str">
        <f>估价对象房地状况!C20</f>
        <v>区域自然环境：水系：京杭运河；人文环境；综合评价环境状况一般</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2962</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2943</v>
      </c>
      <c r="B58" s="1808"/>
      <c r="C58" s="1808" t="s">
        <v>2945</v>
      </c>
      <c r="D58" s="1808" t="s">
        <v>2946</v>
      </c>
      <c r="E58" s="816" t="s">
        <v>2947</v>
      </c>
      <c r="F58" s="2881" t="s">
        <v>2963</v>
      </c>
      <c r="G58" s="1808" t="s">
        <v>754</v>
      </c>
      <c r="H58" s="2882" t="s">
        <v>2949</v>
      </c>
      <c r="I58" s="1808" t="s">
        <v>2950</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24">
      <c r="A59" s="2880" t="s">
        <v>2964</v>
      </c>
      <c r="B59" s="2883">
        <f>估价对象房地状况!C17</f>
        <v>0</v>
      </c>
      <c r="C59" s="2772"/>
      <c r="D59" s="1286">
        <f t="shared" ref="D59:D67" si="15">SUMIF($J$58:$N$58,C59,J59:N59)</f>
        <v>0</v>
      </c>
      <c r="E59" s="818">
        <f>ROUND(SUM(D59:D67),4)</f>
        <v>0</v>
      </c>
      <c r="F59" s="2503"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80" t="s">
        <v>2952</v>
      </c>
      <c r="B60" s="2884" t="str">
        <f>估价对象房地状况!C18</f>
        <v>估价对象周边有737路、武清3路，公交便捷度一般，路网密集程度一般，停车较便捷，综合评价交通便捷度一般。</v>
      </c>
      <c r="C60" s="2772"/>
      <c r="D60" s="1286">
        <f t="shared" si="15"/>
        <v>0</v>
      </c>
      <c r="E60" s="819"/>
      <c r="F60" s="2503"/>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2953</v>
      </c>
      <c r="B61" s="2884" t="str">
        <f>估价对象房地状况!C19</f>
        <v>较一致</v>
      </c>
      <c r="C61" s="2772"/>
      <c r="D61" s="1286">
        <f t="shared" si="15"/>
        <v>0</v>
      </c>
      <c r="E61" s="819"/>
      <c r="F61" s="2503"/>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2954</v>
      </c>
      <c r="B62" s="2885" t="s">
        <v>2955</v>
      </c>
      <c r="C62" s="2772"/>
      <c r="D62" s="1286">
        <f t="shared" si="15"/>
        <v>0</v>
      </c>
      <c r="E62" s="819"/>
      <c r="F62" s="2503"/>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2956</v>
      </c>
      <c r="B63" s="2884" t="str">
        <f>估价对象房地状况!C24</f>
        <v>城市支路－福源道</v>
      </c>
      <c r="C63" s="2772"/>
      <c r="D63" s="1286">
        <f t="shared" si="15"/>
        <v>0</v>
      </c>
      <c r="E63" s="819"/>
      <c r="F63" s="2503"/>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2957</v>
      </c>
      <c r="B64" s="2886" t="s">
        <v>2958</v>
      </c>
      <c r="C64" s="2772"/>
      <c r="D64" s="1286">
        <f t="shared" si="15"/>
        <v>0</v>
      </c>
      <c r="E64" s="819"/>
      <c r="F64" s="2503"/>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76.5">
      <c r="A65" s="2880" t="s">
        <v>2959</v>
      </c>
      <c r="B65" s="1724" t="str">
        <f>估价对象房地状况!C21</f>
        <v>估价对象所在区域公共配套设施较齐备，有购物（麒麟商业中心）、有医院（武清区徐官屯医院）、有银行（天津农村商业银行）</v>
      </c>
      <c r="C65" s="2772"/>
      <c r="D65" s="1286">
        <f t="shared" si="15"/>
        <v>0</v>
      </c>
      <c r="E65" s="819"/>
      <c r="F65" s="2503"/>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2960</v>
      </c>
      <c r="B66" s="1724" t="str">
        <f>估价对象房地状况!C22</f>
        <v>估价对象所在区域基础设施水平：七通</v>
      </c>
      <c r="C66" s="2772"/>
      <c r="D66" s="1286">
        <f t="shared" si="15"/>
        <v>0</v>
      </c>
      <c r="E66" s="819"/>
      <c r="F66" s="2503"/>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2961</v>
      </c>
      <c r="B67" s="2890" t="str">
        <f>估价对象房地状况!C20</f>
        <v>区域自然环境：水系：京杭运河；人文环境；综合评价环境状况一般</v>
      </c>
      <c r="C67" s="2772"/>
      <c r="D67" s="1286">
        <f t="shared" si="15"/>
        <v>0</v>
      </c>
      <c r="E67" s="822"/>
      <c r="F67" s="2503"/>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2965</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2943</v>
      </c>
      <c r="B69" s="1808"/>
      <c r="C69" s="1808" t="s">
        <v>2945</v>
      </c>
      <c r="D69" s="1808" t="s">
        <v>2946</v>
      </c>
      <c r="E69" s="816" t="s">
        <v>2947</v>
      </c>
      <c r="F69" s="2881" t="s">
        <v>2963</v>
      </c>
      <c r="G69" s="1808" t="s">
        <v>754</v>
      </c>
      <c r="H69" s="2882" t="s">
        <v>2949</v>
      </c>
      <c r="I69" s="1808" t="s">
        <v>2950</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24">
      <c r="A70" s="2880" t="s">
        <v>2966</v>
      </c>
      <c r="B70" s="2883">
        <f>估价对象房地状况!C15</f>
        <v>0</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80" t="s">
        <v>2952</v>
      </c>
      <c r="B71" s="2884" t="str">
        <f>估价对象房地状况!C18</f>
        <v>估价对象周边有737路、武清3路，公交便捷度一般，路网密集程度一般，停车较便捷，综合评价交通便捷度一般。</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2953</v>
      </c>
      <c r="B72" s="2884" t="str">
        <f>估价对象房地状况!C19</f>
        <v>较一致</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2967</v>
      </c>
      <c r="B73" s="2884" t="str">
        <f>估价对象房地状况!C24</f>
        <v>城市支路－福源道</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76.5">
      <c r="A74" s="2880" t="s">
        <v>2959</v>
      </c>
      <c r="B74" s="1724" t="str">
        <f>估价对象房地状况!C21</f>
        <v>估价对象所在区域公共配套设施较齐备，有购物（麒麟商业中心）、有医院（武清区徐官屯医院）、有银行（天津农村商业银行）</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2960</v>
      </c>
      <c r="B75" s="1724" t="str">
        <f>估价对象房地状况!C22</f>
        <v>估价对象所在区域基础设施水平：七通</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2957</v>
      </c>
      <c r="B76" s="2886" t="s">
        <v>2958</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2961</v>
      </c>
      <c r="B77" s="2883" t="str">
        <f>估价对象房地状况!C20</f>
        <v>区域自然环境：水系：京杭运河；人文环境；综合评价环境状况一般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2968</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2969</v>
      </c>
      <c r="B79" s="2877">
        <f>1+E81</f>
        <v>1</v>
      </c>
      <c r="C79" s="811"/>
      <c r="D79" s="811"/>
      <c r="E79" s="812"/>
      <c r="F79" s="2879"/>
      <c r="G79" s="6"/>
      <c r="H79" s="6"/>
      <c r="I79" s="6"/>
      <c r="J79" s="7"/>
      <c r="K79" s="7"/>
      <c r="L79" s="7"/>
      <c r="M79" s="7"/>
      <c r="N79" s="7"/>
      <c r="Z79" s="2722"/>
      <c r="AA79" s="2798"/>
      <c r="AG79" s="1372"/>
      <c r="AK79" s="2798"/>
    </row>
    <row r="80" spans="1:37" ht="24.75">
      <c r="A80" s="2880" t="s">
        <v>2943</v>
      </c>
      <c r="B80" s="1808"/>
      <c r="C80" s="1808" t="s">
        <v>2945</v>
      </c>
      <c r="D80" s="1808" t="s">
        <v>2946</v>
      </c>
      <c r="E80" s="816" t="s">
        <v>2947</v>
      </c>
      <c r="F80" s="2881" t="s">
        <v>2963</v>
      </c>
      <c r="G80" s="1808" t="s">
        <v>754</v>
      </c>
      <c r="H80" s="2882" t="s">
        <v>2949</v>
      </c>
      <c r="I80" s="1808" t="s">
        <v>2950</v>
      </c>
      <c r="J80" s="603" t="s">
        <v>2598</v>
      </c>
      <c r="K80" s="603" t="s">
        <v>2599</v>
      </c>
      <c r="L80" s="603" t="s">
        <v>2600</v>
      </c>
      <c r="M80" s="603" t="s">
        <v>2601</v>
      </c>
      <c r="N80" s="603" t="s">
        <v>2602</v>
      </c>
      <c r="Z80" s="2722"/>
      <c r="AA80" s="2798"/>
      <c r="AG80" s="1372"/>
      <c r="AK80" s="2798"/>
    </row>
    <row r="81" spans="1:37" ht="38.25">
      <c r="A81" s="2880" t="s">
        <v>2970</v>
      </c>
      <c r="B81" s="2884" t="str">
        <f>估价对象房地状况!G15</f>
        <v>估价对象位于XX开发区，园区建设成熟度XX，产业集聚程度XX</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2952</v>
      </c>
      <c r="B82" s="2884" t="str">
        <f>估价对象房地状况!G16</f>
        <v>估价对象周边道路状况、公共交通通达情况、停车便捷程度，综合评价交通便捷度较好</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2953</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2967</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2959</v>
      </c>
      <c r="B85" s="1724" t="str">
        <f>估价对象房地状况!G19</f>
        <v>估价对象所在区域公共配套设施齐备情况</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2960</v>
      </c>
      <c r="B86" s="1724" t="str">
        <f>估价对象房地状况!G20</f>
        <v>估价对象所在区域基础设施水平</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2957</v>
      </c>
      <c r="B87" s="2886" t="s">
        <v>2971</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2972</v>
      </c>
      <c r="B88" s="2893" t="str">
        <f>估价对象房地状况!G18</f>
        <v>该园区内是否有污染型企业，绿化情况，卫生条件，整体环境状况判断</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297" t="s">
        <v>2973</v>
      </c>
      <c r="B90" s="3297"/>
      <c r="C90" s="3297"/>
      <c r="D90" s="3297"/>
      <c r="E90" s="3297"/>
      <c r="F90" s="3297"/>
      <c r="G90" s="3297"/>
      <c r="H90" s="3297"/>
      <c r="I90" s="3297"/>
      <c r="J90" s="3297"/>
      <c r="K90" s="2894"/>
      <c r="L90" s="2894"/>
      <c r="M90" s="2894"/>
      <c r="N90" s="2894"/>
    </row>
    <row r="91" spans="1:37">
      <c r="A91" s="3299" t="s">
        <v>2974</v>
      </c>
      <c r="B91" s="3299" t="s">
        <v>2975</v>
      </c>
      <c r="C91" s="2848" t="s">
        <v>2976</v>
      </c>
      <c r="D91" s="2849"/>
      <c r="E91" s="2849"/>
      <c r="F91" s="2849"/>
      <c r="G91" s="2849"/>
      <c r="H91" s="2849"/>
      <c r="I91" s="2849"/>
      <c r="J91" s="2895"/>
      <c r="K91" s="2896"/>
      <c r="L91" s="2896"/>
      <c r="M91" s="2896"/>
      <c r="N91" s="2896"/>
    </row>
    <row r="92" spans="1:37">
      <c r="A92" s="3299"/>
      <c r="B92" s="3299"/>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300"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0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0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0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0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0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01"/>
      <c r="B99" s="2897" t="s">
        <v>2856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0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00" t="s">
        <v>2978</v>
      </c>
      <c r="B101" s="2901" t="s">
        <v>2979</v>
      </c>
      <c r="C101" s="2902">
        <f>$G$3</f>
        <v>0.85</v>
      </c>
      <c r="D101" s="2902">
        <f t="shared" ref="D101:N101" si="31">$G$3</f>
        <v>0.85</v>
      </c>
      <c r="E101" s="2902">
        <f t="shared" si="31"/>
        <v>0.85</v>
      </c>
      <c r="F101" s="2902">
        <f t="shared" si="31"/>
        <v>0.85</v>
      </c>
      <c r="G101" s="2902">
        <f t="shared" si="31"/>
        <v>0.85</v>
      </c>
      <c r="H101" s="2902">
        <f t="shared" si="31"/>
        <v>0.85</v>
      </c>
      <c r="I101" s="2902">
        <f t="shared" si="31"/>
        <v>0.85</v>
      </c>
      <c r="J101" s="2902">
        <f t="shared" si="31"/>
        <v>0.85</v>
      </c>
      <c r="K101" s="2902">
        <f t="shared" si="31"/>
        <v>0.85</v>
      </c>
      <c r="L101" s="2902">
        <f t="shared" si="31"/>
        <v>0.85</v>
      </c>
      <c r="M101" s="2902">
        <f t="shared" si="31"/>
        <v>0.85</v>
      </c>
      <c r="N101" s="2902">
        <f t="shared" si="31"/>
        <v>0.85</v>
      </c>
    </row>
    <row r="102" spans="1:14">
      <c r="A102" s="3301"/>
      <c r="B102" s="2897">
        <v>1</v>
      </c>
      <c r="C102" s="2898">
        <f>1.9362/C101</f>
        <v>2.2778823529411762</v>
      </c>
      <c r="D102" s="2898">
        <f>1.9362/D101</f>
        <v>2.2778823529411762</v>
      </c>
      <c r="E102" s="2898">
        <f>1.8629/E101</f>
        <v>2.1916470588235293</v>
      </c>
      <c r="F102" s="2898">
        <f>1.8629/F101</f>
        <v>2.1916470588235293</v>
      </c>
      <c r="G102" s="2898">
        <f>1.8629/G101</f>
        <v>2.1916470588235293</v>
      </c>
      <c r="H102" s="2898">
        <f>1.8629/H101</f>
        <v>2.1916470588235293</v>
      </c>
      <c r="I102" s="2898">
        <f>1.8629/I101</f>
        <v>2.1916470588235293</v>
      </c>
      <c r="J102" s="2898">
        <f>1.942/J101</f>
        <v>2.2847058823529411</v>
      </c>
      <c r="K102" s="2898">
        <f>1.942/K101</f>
        <v>2.2847058823529411</v>
      </c>
      <c r="L102" s="2898">
        <f>1.942/L101</f>
        <v>2.2847058823529411</v>
      </c>
      <c r="M102" s="2898">
        <f>1.942/M101</f>
        <v>2.2847058823529411</v>
      </c>
      <c r="N102" s="2898">
        <f>1.942/N101</f>
        <v>2.2847058823529411</v>
      </c>
    </row>
    <row r="103" spans="1:14">
      <c r="A103" s="3301"/>
      <c r="B103" s="2897">
        <v>2</v>
      </c>
      <c r="C103" s="2898">
        <f>1.4198/C101</f>
        <v>1.6703529411764706</v>
      </c>
      <c r="D103" s="2898">
        <f>1.4198/D101</f>
        <v>1.6703529411764706</v>
      </c>
      <c r="E103" s="2898">
        <f>1.3372/E101</f>
        <v>1.5731764705882352</v>
      </c>
      <c r="F103" s="2898">
        <f>1.3372/F101</f>
        <v>1.5731764705882352</v>
      </c>
      <c r="G103" s="2898">
        <f>1.3372/G101</f>
        <v>1.5731764705882352</v>
      </c>
      <c r="H103" s="2898">
        <f>1.3372/H101</f>
        <v>1.5731764705882352</v>
      </c>
      <c r="I103" s="2898">
        <f>1.3372/I101</f>
        <v>1.5731764705882352</v>
      </c>
      <c r="J103" s="2898">
        <f>1.2799/J101</f>
        <v>1.5057647058823531</v>
      </c>
      <c r="K103" s="2898">
        <f>1.2799/K101</f>
        <v>1.5057647058823531</v>
      </c>
      <c r="L103" s="2898">
        <f>1.2799/L101</f>
        <v>1.5057647058823531</v>
      </c>
      <c r="M103" s="2898">
        <f>1.2799/M101</f>
        <v>1.5057647058823531</v>
      </c>
      <c r="N103" s="2898">
        <f>1.2799/N101</f>
        <v>1.5057647058823531</v>
      </c>
    </row>
    <row r="104" spans="1:14">
      <c r="A104" s="3301"/>
      <c r="B104" s="2897">
        <v>3</v>
      </c>
      <c r="C104" s="2898">
        <f>1.1594/C101</f>
        <v>1.3640000000000001</v>
      </c>
      <c r="D104" s="2898">
        <f>1.1594/D101</f>
        <v>1.3640000000000001</v>
      </c>
      <c r="E104" s="2898">
        <f>1.0788/E101</f>
        <v>1.2691764705882354</v>
      </c>
      <c r="F104" s="2898">
        <f>1.0788/F101</f>
        <v>1.2691764705882354</v>
      </c>
      <c r="G104" s="2898">
        <f>1.0788/G101</f>
        <v>1.2691764705882354</v>
      </c>
      <c r="H104" s="2898">
        <f>1.0788/H101</f>
        <v>1.2691764705882354</v>
      </c>
      <c r="I104" s="2898">
        <f>1.0788/I101</f>
        <v>1.2691764705882354</v>
      </c>
      <c r="J104" s="2898">
        <f>1.0072/J101</f>
        <v>1.1849411764705884</v>
      </c>
      <c r="K104" s="2898">
        <f>1.0072/K101</f>
        <v>1.1849411764705884</v>
      </c>
      <c r="L104" s="2898">
        <f>1.0072/L101</f>
        <v>1.1849411764705884</v>
      </c>
      <c r="M104" s="2898">
        <f>1.0072/M101</f>
        <v>1.1849411764705884</v>
      </c>
      <c r="N104" s="2898">
        <f>1.0072/N101</f>
        <v>1.1849411764705884</v>
      </c>
    </row>
    <row r="105" spans="1:14">
      <c r="A105" s="3301"/>
      <c r="B105" s="2897">
        <v>4</v>
      </c>
      <c r="C105" s="2898">
        <f>0.9622/C101</f>
        <v>1.1320000000000001</v>
      </c>
      <c r="D105" s="2898">
        <f>0.9622/D101</f>
        <v>1.1320000000000001</v>
      </c>
      <c r="E105" s="2898">
        <f>0.8656/E101</f>
        <v>1.0183529411764707</v>
      </c>
      <c r="F105" s="2898">
        <f>0.8656/F101</f>
        <v>1.0183529411764707</v>
      </c>
      <c r="G105" s="2898">
        <f>0.8656/G101</f>
        <v>1.0183529411764707</v>
      </c>
      <c r="H105" s="2898">
        <f>0.8656/H101</f>
        <v>1.0183529411764707</v>
      </c>
      <c r="I105" s="2898">
        <f>0.8656/I101</f>
        <v>1.0183529411764707</v>
      </c>
      <c r="J105" s="2898">
        <f>0.7525/J101</f>
        <v>0.88529411764705879</v>
      </c>
      <c r="K105" s="2898">
        <f>0.7525/K101</f>
        <v>0.88529411764705879</v>
      </c>
      <c r="L105" s="2898">
        <f>0.7525/L101</f>
        <v>0.88529411764705879</v>
      </c>
      <c r="M105" s="2898">
        <f>0.7525/M101</f>
        <v>0.88529411764705879</v>
      </c>
      <c r="N105" s="2898">
        <f>0.7525/N101</f>
        <v>0.88529411764705879</v>
      </c>
    </row>
    <row r="106" spans="1:14">
      <c r="A106" s="3301"/>
      <c r="B106" s="2897">
        <v>5</v>
      </c>
      <c r="C106" s="2898">
        <f>0.8417/C101</f>
        <v>0.9902352941176471</v>
      </c>
      <c r="D106" s="2898">
        <f>0.8417/D101</f>
        <v>0.9902352941176471</v>
      </c>
      <c r="E106" s="2898">
        <f>0.7371/E101</f>
        <v>0.86717647058823533</v>
      </c>
      <c r="F106" s="2898">
        <f>0.7371/F101</f>
        <v>0.86717647058823533</v>
      </c>
      <c r="G106" s="2898">
        <f>0.7371/G101</f>
        <v>0.86717647058823533</v>
      </c>
      <c r="H106" s="2898">
        <f>0.7371/H101</f>
        <v>0.86717647058823533</v>
      </c>
      <c r="I106" s="2898">
        <f>0.7371/I101</f>
        <v>0.86717647058823533</v>
      </c>
      <c r="J106" s="2898">
        <f>0.5659/J101</f>
        <v>0.66576470588235293</v>
      </c>
      <c r="K106" s="2898">
        <f>0.5659/K101</f>
        <v>0.66576470588235293</v>
      </c>
      <c r="L106" s="2898">
        <f>0.5659/L101</f>
        <v>0.66576470588235293</v>
      </c>
      <c r="M106" s="2898">
        <f>0.5659/M101</f>
        <v>0.66576470588235293</v>
      </c>
      <c r="N106" s="2898">
        <f>0.5659/N101</f>
        <v>0.66576470588235293</v>
      </c>
    </row>
    <row r="107" spans="1:14">
      <c r="A107" s="3301"/>
      <c r="B107" s="2897">
        <v>6</v>
      </c>
      <c r="C107" s="2898">
        <f>0.7608/C101</f>
        <v>0.8950588235294118</v>
      </c>
      <c r="D107" s="2898">
        <f>0.7608/D101</f>
        <v>0.8950588235294118</v>
      </c>
      <c r="E107" s="2898">
        <f>0.6482/E101</f>
        <v>0.76258823529411768</v>
      </c>
      <c r="F107" s="2898">
        <f>0.6482/F101</f>
        <v>0.76258823529411768</v>
      </c>
      <c r="G107" s="2898">
        <f>0.6482/G101</f>
        <v>0.76258823529411768</v>
      </c>
      <c r="H107" s="2898">
        <f>0.6482/H101</f>
        <v>0.76258823529411768</v>
      </c>
      <c r="I107" s="2898">
        <f>0.6482/I101</f>
        <v>0.76258823529411768</v>
      </c>
      <c r="J107" s="2898">
        <f>0.4525/J101</f>
        <v>0.53235294117647058</v>
      </c>
      <c r="K107" s="2898">
        <f>0.4525/K101</f>
        <v>0.53235294117647058</v>
      </c>
      <c r="L107" s="2898">
        <f>0.4525/L101</f>
        <v>0.53235294117647058</v>
      </c>
      <c r="M107" s="2898">
        <f>0.4525/M101</f>
        <v>0.53235294117647058</v>
      </c>
      <c r="N107" s="2898">
        <f>0.4525/N101</f>
        <v>0.53235294117647058</v>
      </c>
    </row>
    <row r="108" spans="1:14">
      <c r="A108" s="3301"/>
      <c r="B108" s="3144" t="s">
        <v>2980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02"/>
      <c r="B109" s="3145"/>
      <c r="C109" s="2900">
        <f>(-0.163*(C108^2)-0.59*C108+7617)*(10^(-4))/C101</f>
        <v>0.89611764705882357</v>
      </c>
      <c r="D109" s="2900">
        <f>(-0.163*(D108^2)-0.59*D108+7617)*(10^(-4))/D101</f>
        <v>0.89611764705882357</v>
      </c>
      <c r="E109" s="2900">
        <f>(-0.161*(E108^2)-7.509*E108+6533)*(10^(-4))/E101</f>
        <v>0.76858823529411768</v>
      </c>
      <c r="F109" s="2900">
        <f>(-0.161*(F108^2)-7.509*F108+6533)*(10^(-4))/F101</f>
        <v>0.76858823529411768</v>
      </c>
      <c r="G109" s="2900">
        <f>(-0.161*(G108^2)-7.509*G108+6533)*(10^(-4))/G101</f>
        <v>0.76858823529411768</v>
      </c>
      <c r="H109" s="2900">
        <f>(-0.161*(H108^2)-7.509*H108+6533)*(10^(-4))/H101</f>
        <v>0.76858823529411768</v>
      </c>
      <c r="I109" s="2900">
        <f>(-0.161*(I108^2)-7.509*I108+6533)*(10^(-4))/I101</f>
        <v>0.76858823529411768</v>
      </c>
      <c r="J109" s="2900">
        <f>(-0.214*(J108^2)-21.991*J108+4665)*(10^(-4))/J101</f>
        <v>0.54882352941176471</v>
      </c>
      <c r="K109" s="2900">
        <f>(-0.214*(K108^2)-21.991*K108+4665)*(10^(-4))/K101</f>
        <v>0.54882352941176471</v>
      </c>
      <c r="L109" s="2900">
        <f>(-0.214*(L108^2)-21.991*L108+4665)*(10^(-4))/L101</f>
        <v>0.54882352941176471</v>
      </c>
      <c r="M109" s="2900">
        <f>(-0.214*(M108^2)-21.991*M108+4665)*(10^(-4))/M101</f>
        <v>0.54882352941176471</v>
      </c>
      <c r="N109" s="2900">
        <f>(-0.214*(N108^2)-21.991*N108+4665)*(10^(-4))/N101</f>
        <v>0.54882352941176471</v>
      </c>
    </row>
    <row r="110" spans="1:14">
      <c r="A110" s="3298" t="s">
        <v>2981</v>
      </c>
      <c r="B110" s="3298"/>
      <c r="C110" s="3298"/>
      <c r="D110" s="3298"/>
      <c r="E110" s="3298"/>
      <c r="F110" s="3298"/>
      <c r="G110" s="3298"/>
      <c r="H110" s="3298"/>
      <c r="I110" s="3298"/>
      <c r="J110" s="3298"/>
      <c r="K110" s="2903"/>
      <c r="L110" s="2903"/>
      <c r="M110" s="2903"/>
      <c r="N110" s="2903"/>
    </row>
    <row r="112" spans="1:14" ht="13.5" thickBot="1"/>
    <row r="113" spans="1:13" ht="25.5" thickBot="1">
      <c r="A113" s="900" t="s">
        <v>2982</v>
      </c>
      <c r="B113" s="1287">
        <f>G3</f>
        <v>0.85</v>
      </c>
      <c r="C113" s="901" t="s">
        <v>2983</v>
      </c>
      <c r="D113" s="902">
        <f>SUMPRODUCT((A115:A118=F113)*(B114:M114=H113)*B115:M118)</f>
        <v>0</v>
      </c>
      <c r="E113" s="2726" t="s">
        <v>2813</v>
      </c>
      <c r="F113" s="2905">
        <f>E2</f>
        <v>0</v>
      </c>
      <c r="G113" s="2726" t="s">
        <v>2814</v>
      </c>
      <c r="H113" s="2905">
        <f>G2</f>
        <v>0</v>
      </c>
      <c r="I113" s="2726"/>
      <c r="J113" s="2906"/>
      <c r="K113" s="2906"/>
      <c r="L113" s="2906"/>
      <c r="M113" s="2906"/>
    </row>
    <row r="114" spans="1:13">
      <c r="A114" s="905"/>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6" t="s">
        <v>2878</v>
      </c>
      <c r="B115" s="907">
        <f>ROUND(0.9335-0.0094*B113,4)</f>
        <v>0.92549999999999999</v>
      </c>
      <c r="C115" s="907">
        <f>B115</f>
        <v>0.92549999999999999</v>
      </c>
      <c r="D115" s="907">
        <f>ROUND(0.8331-0.0109*B113,4)</f>
        <v>0.82379999999999998</v>
      </c>
      <c r="E115" s="907">
        <f>D115</f>
        <v>0.82379999999999998</v>
      </c>
      <c r="F115" s="907">
        <f>E115</f>
        <v>0.82379999999999998</v>
      </c>
      <c r="G115" s="907">
        <f>F115</f>
        <v>0.82379999999999998</v>
      </c>
      <c r="H115" s="907">
        <f>G115</f>
        <v>0.82379999999999998</v>
      </c>
      <c r="I115" s="907">
        <f>ROUND(0.689-0.0155*B113,4)</f>
        <v>0.67579999999999996</v>
      </c>
      <c r="J115" s="907">
        <f t="shared" ref="J115:M118" si="33">I115</f>
        <v>0.67579999999999996</v>
      </c>
      <c r="K115" s="907">
        <f t="shared" si="33"/>
        <v>0.67579999999999996</v>
      </c>
      <c r="L115" s="907">
        <f t="shared" si="33"/>
        <v>0.67579999999999996</v>
      </c>
      <c r="M115" s="908">
        <f t="shared" si="33"/>
        <v>0.67579999999999996</v>
      </c>
    </row>
    <row r="116" spans="1:13">
      <c r="A116" s="906" t="s">
        <v>2879</v>
      </c>
      <c r="B116" s="907">
        <f>ROUND(0.949-0.012*B113,4)</f>
        <v>0.93879999999999997</v>
      </c>
      <c r="C116" s="907">
        <f>B116</f>
        <v>0.93879999999999997</v>
      </c>
      <c r="D116" s="907">
        <f>ROUND(0.8567-0.013*B113,4)</f>
        <v>0.84570000000000001</v>
      </c>
      <c r="E116" s="907">
        <f t="shared" ref="E116:H117" si="34">D116</f>
        <v>0.84570000000000001</v>
      </c>
      <c r="F116" s="907">
        <f t="shared" si="34"/>
        <v>0.84570000000000001</v>
      </c>
      <c r="G116" s="907">
        <f t="shared" si="34"/>
        <v>0.84570000000000001</v>
      </c>
      <c r="H116" s="907">
        <f t="shared" si="34"/>
        <v>0.84570000000000001</v>
      </c>
      <c r="I116" s="907">
        <f>ROUND(0.7694-0.014*B113,4)</f>
        <v>0.75749999999999995</v>
      </c>
      <c r="J116" s="907">
        <f t="shared" si="33"/>
        <v>0.75749999999999995</v>
      </c>
      <c r="K116" s="907">
        <f t="shared" si="33"/>
        <v>0.75749999999999995</v>
      </c>
      <c r="L116" s="907">
        <f t="shared" si="33"/>
        <v>0.75749999999999995</v>
      </c>
      <c r="M116" s="908">
        <f t="shared" si="33"/>
        <v>0.75749999999999995</v>
      </c>
    </row>
    <row r="117" spans="1:13">
      <c r="A117" s="906" t="s">
        <v>2880</v>
      </c>
      <c r="B117" s="907">
        <f>ROUND(0.8808-0.006*B113,4)</f>
        <v>0.87570000000000003</v>
      </c>
      <c r="C117" s="907">
        <f>B117</f>
        <v>0.87570000000000003</v>
      </c>
      <c r="D117" s="907">
        <f>ROUND(0.8748-0.008*B113,4)</f>
        <v>0.86799999999999999</v>
      </c>
      <c r="E117" s="907">
        <f t="shared" si="34"/>
        <v>0.86799999999999999</v>
      </c>
      <c r="F117" s="907">
        <f t="shared" si="34"/>
        <v>0.86799999999999999</v>
      </c>
      <c r="G117" s="907">
        <f t="shared" si="34"/>
        <v>0.86799999999999999</v>
      </c>
      <c r="H117" s="907">
        <f t="shared" si="34"/>
        <v>0.86799999999999999</v>
      </c>
      <c r="I117" s="907">
        <f>ROUND(0.7412-0.0095*B113,4)</f>
        <v>0.73309999999999997</v>
      </c>
      <c r="J117" s="907">
        <f t="shared" si="33"/>
        <v>0.73309999999999997</v>
      </c>
      <c r="K117" s="907">
        <f t="shared" si="33"/>
        <v>0.73309999999999997</v>
      </c>
      <c r="L117" s="907">
        <f t="shared" si="33"/>
        <v>0.73309999999999997</v>
      </c>
      <c r="M117" s="908">
        <f t="shared" si="33"/>
        <v>0.73309999999999997</v>
      </c>
    </row>
    <row r="118" spans="1:13" ht="13.5" thickBot="1">
      <c r="A118" s="714" t="s">
        <v>2881</v>
      </c>
      <c r="B118" s="909">
        <f>ROUND(0.7275-0.01*B113,4)</f>
        <v>0.71899999999999997</v>
      </c>
      <c r="C118" s="909">
        <f>B118</f>
        <v>0.71899999999999997</v>
      </c>
      <c r="D118" s="909">
        <f>ROUND(0.7043-0.012*B113,4)</f>
        <v>0.69410000000000005</v>
      </c>
      <c r="E118" s="909">
        <f>D118</f>
        <v>0.69410000000000005</v>
      </c>
      <c r="F118" s="909">
        <f>E118</f>
        <v>0.69410000000000005</v>
      </c>
      <c r="G118" s="909">
        <f>ROUND(0.6299-0.0122*B113,4)</f>
        <v>0.61950000000000005</v>
      </c>
      <c r="H118" s="909">
        <f>G118</f>
        <v>0.61950000000000005</v>
      </c>
      <c r="I118" s="909">
        <f>ROUND(0.5667-0.0136*B113,4)</f>
        <v>0.55510000000000004</v>
      </c>
      <c r="J118" s="909">
        <f t="shared" si="33"/>
        <v>0.55510000000000004</v>
      </c>
      <c r="K118" s="909">
        <f t="shared" si="33"/>
        <v>0.55510000000000004</v>
      </c>
      <c r="L118" s="909">
        <f t="shared" si="33"/>
        <v>0.55510000000000004</v>
      </c>
      <c r="M118" s="910">
        <f t="shared" si="33"/>
        <v>0.55510000000000004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6" t="s">
        <v>183</v>
      </c>
      <c r="B18" s="879" t="s">
        <v>560</v>
      </c>
      <c r="C18" s="880" t="s">
        <v>561</v>
      </c>
      <c r="D18" s="881"/>
      <c r="E18" s="879">
        <v>1</v>
      </c>
      <c r="F18" s="882" t="s">
        <v>562</v>
      </c>
      <c r="G18" s="883"/>
      <c r="H18" s="875"/>
      <c r="I18" s="875"/>
    </row>
    <row r="19" spans="1:9" s="884" customFormat="1" ht="19.5" customHeight="1">
      <c r="A19" s="3306"/>
      <c r="B19" s="3306" t="s">
        <v>563</v>
      </c>
      <c r="C19" s="880" t="s">
        <v>564</v>
      </c>
      <c r="D19" s="881"/>
      <c r="E19" s="879">
        <v>0.9</v>
      </c>
      <c r="F19" s="882" t="s">
        <v>565</v>
      </c>
      <c r="G19" s="883"/>
      <c r="H19" s="875"/>
      <c r="I19" s="875"/>
    </row>
    <row r="20" spans="1:9" s="884" customFormat="1" ht="19.5" customHeight="1">
      <c r="A20" s="3306"/>
      <c r="B20" s="3306"/>
      <c r="C20" s="880" t="s">
        <v>566</v>
      </c>
      <c r="D20" s="881"/>
      <c r="E20" s="879">
        <v>1.1000000000000001</v>
      </c>
      <c r="F20" s="882" t="s">
        <v>567</v>
      </c>
      <c r="G20" s="883"/>
      <c r="H20" s="875"/>
      <c r="I20" s="875"/>
    </row>
    <row r="21" spans="1:9" s="884" customFormat="1" ht="19.5" customHeight="1">
      <c r="A21" s="3306"/>
      <c r="B21" s="3306"/>
      <c r="C21" s="880" t="s">
        <v>568</v>
      </c>
      <c r="D21" s="881"/>
      <c r="E21" s="879">
        <v>0.8</v>
      </c>
      <c r="F21" s="882" t="s">
        <v>569</v>
      </c>
      <c r="G21" s="883"/>
      <c r="H21" s="875"/>
      <c r="I21" s="875"/>
    </row>
    <row r="22" spans="1:9" s="884" customFormat="1" ht="19.5" customHeight="1">
      <c r="A22" s="3306"/>
      <c r="B22" s="3306"/>
      <c r="C22" s="880" t="s">
        <v>570</v>
      </c>
      <c r="D22" s="881"/>
      <c r="E22" s="879">
        <v>0.5</v>
      </c>
      <c r="F22" s="882"/>
      <c r="G22" s="883"/>
      <c r="H22" s="875"/>
      <c r="I22" s="875"/>
    </row>
    <row r="23" spans="1:9" s="884" customFormat="1" ht="19.5" customHeight="1">
      <c r="A23" s="3306" t="s">
        <v>184</v>
      </c>
      <c r="B23" s="879" t="s">
        <v>560</v>
      </c>
      <c r="C23" s="880" t="s">
        <v>571</v>
      </c>
      <c r="D23" s="881"/>
      <c r="E23" s="879">
        <v>1</v>
      </c>
      <c r="F23" s="882" t="s">
        <v>572</v>
      </c>
      <c r="G23" s="883"/>
      <c r="H23" s="875"/>
      <c r="I23" s="875"/>
    </row>
    <row r="24" spans="1:9" s="884" customFormat="1" ht="19.5" customHeight="1">
      <c r="A24" s="3306"/>
      <c r="B24" s="3306" t="s">
        <v>563</v>
      </c>
      <c r="C24" s="880" t="s">
        <v>573</v>
      </c>
      <c r="D24" s="881"/>
      <c r="E24" s="879">
        <v>0.5</v>
      </c>
      <c r="F24" s="882"/>
      <c r="G24" s="883"/>
      <c r="H24" s="875"/>
      <c r="I24" s="875"/>
    </row>
    <row r="25" spans="1:9" s="884" customFormat="1" ht="19.5" customHeight="1">
      <c r="A25" s="3306"/>
      <c r="B25" s="3306"/>
      <c r="C25" s="880" t="s">
        <v>574</v>
      </c>
      <c r="D25" s="881"/>
      <c r="E25" s="879">
        <v>1.1000000000000001</v>
      </c>
      <c r="F25" s="882"/>
      <c r="G25" s="883"/>
      <c r="H25" s="875"/>
      <c r="I25" s="875"/>
    </row>
    <row r="26" spans="1:9" s="884" customFormat="1" ht="19.5" customHeight="1">
      <c r="A26" s="3306"/>
      <c r="B26" s="3306"/>
      <c r="C26" s="880" t="s">
        <v>575</v>
      </c>
      <c r="D26" s="881"/>
      <c r="E26" s="879">
        <v>1.1000000000000001</v>
      </c>
      <c r="F26" s="882"/>
      <c r="G26" s="883"/>
      <c r="H26" s="875"/>
      <c r="I26" s="875"/>
    </row>
    <row r="27" spans="1:9" s="884" customFormat="1" ht="19.5" customHeight="1">
      <c r="A27" s="3306"/>
      <c r="B27" s="3306"/>
      <c r="C27" s="880" t="s">
        <v>576</v>
      </c>
      <c r="D27" s="881"/>
      <c r="E27" s="879">
        <v>0.9</v>
      </c>
      <c r="F27" s="882" t="s">
        <v>577</v>
      </c>
      <c r="G27" s="883"/>
      <c r="H27" s="875"/>
      <c r="I27" s="875"/>
    </row>
    <row r="28" spans="1:9" s="884" customFormat="1" ht="19.5" customHeight="1">
      <c r="A28" s="3306"/>
      <c r="B28" s="3306"/>
      <c r="C28" s="880" t="s">
        <v>578</v>
      </c>
      <c r="D28" s="881"/>
      <c r="E28" s="879">
        <v>0.9</v>
      </c>
      <c r="F28" s="882" t="s">
        <v>579</v>
      </c>
      <c r="G28" s="883"/>
      <c r="H28" s="875"/>
      <c r="I28" s="875"/>
    </row>
    <row r="29" spans="1:9" s="884" customFormat="1" ht="19.5" customHeight="1">
      <c r="A29" s="3306"/>
      <c r="B29" s="3306"/>
      <c r="C29" s="880" t="s">
        <v>580</v>
      </c>
      <c r="D29" s="881"/>
      <c r="E29" s="879">
        <v>0.9</v>
      </c>
      <c r="F29" s="882" t="s">
        <v>581</v>
      </c>
      <c r="G29" s="883"/>
      <c r="H29" s="875"/>
      <c r="I29" s="875"/>
    </row>
    <row r="30" spans="1:9" s="884" customFormat="1" ht="19.5" customHeight="1">
      <c r="A30" s="3306"/>
      <c r="B30" s="3306"/>
      <c r="C30" s="880" t="s">
        <v>582</v>
      </c>
      <c r="D30" s="881"/>
      <c r="E30" s="879">
        <v>0.9</v>
      </c>
      <c r="F30" s="882" t="s">
        <v>583</v>
      </c>
      <c r="G30" s="883"/>
      <c r="H30" s="875"/>
      <c r="I30" s="875"/>
    </row>
    <row r="31" spans="1:9" s="884" customFormat="1" ht="19.5" customHeight="1">
      <c r="A31" s="3306"/>
      <c r="B31" s="3306"/>
      <c r="C31" s="880" t="s">
        <v>584</v>
      </c>
      <c r="D31" s="881"/>
      <c r="E31" s="879">
        <v>0.8</v>
      </c>
      <c r="F31" s="882" t="s">
        <v>585</v>
      </c>
      <c r="G31" s="883"/>
      <c r="H31" s="875"/>
      <c r="I31" s="875"/>
    </row>
    <row r="32" spans="1:9" s="884" customFormat="1" ht="19.5" customHeight="1">
      <c r="A32" s="3306"/>
      <c r="B32" s="3306"/>
      <c r="C32" s="880" t="s">
        <v>586</v>
      </c>
      <c r="D32" s="881"/>
      <c r="E32" s="879">
        <v>0.8</v>
      </c>
      <c r="F32" s="882" t="s">
        <v>587</v>
      </c>
      <c r="G32" s="883"/>
      <c r="H32" s="875"/>
      <c r="I32" s="875"/>
    </row>
    <row r="33" spans="1:9" s="884" customFormat="1" ht="19.5" customHeight="1">
      <c r="A33" s="3306" t="s">
        <v>185</v>
      </c>
      <c r="B33" s="879" t="s">
        <v>560</v>
      </c>
      <c r="C33" s="880" t="s">
        <v>588</v>
      </c>
      <c r="D33" s="881"/>
      <c r="E33" s="879">
        <v>1</v>
      </c>
      <c r="F33" s="882" t="s">
        <v>589</v>
      </c>
      <c r="G33" s="883"/>
      <c r="H33" s="875"/>
      <c r="I33" s="875"/>
    </row>
    <row r="34" spans="1:9" s="884" customFormat="1" ht="19.5" customHeight="1">
      <c r="A34" s="3306"/>
      <c r="B34" s="879" t="s">
        <v>563</v>
      </c>
      <c r="C34" s="880" t="s">
        <v>590</v>
      </c>
      <c r="D34" s="881"/>
      <c r="E34" s="879">
        <v>1.5</v>
      </c>
      <c r="F34" s="882" t="s">
        <v>591</v>
      </c>
      <c r="G34" s="883"/>
      <c r="H34" s="875"/>
      <c r="I34" s="875"/>
    </row>
    <row r="35" spans="1:9" s="884" customFormat="1" ht="19.5" customHeight="1">
      <c r="A35" s="3306" t="s">
        <v>186</v>
      </c>
      <c r="B35" s="879" t="s">
        <v>560</v>
      </c>
      <c r="C35" s="880" t="s">
        <v>592</v>
      </c>
      <c r="D35" s="881"/>
      <c r="E35" s="879">
        <v>1</v>
      </c>
      <c r="F35" s="882" t="s">
        <v>593</v>
      </c>
      <c r="G35" s="883"/>
      <c r="H35" s="875"/>
      <c r="I35" s="875"/>
    </row>
    <row r="36" spans="1:9" s="884" customFormat="1" ht="19.5" customHeight="1">
      <c r="A36" s="3306"/>
      <c r="B36" s="3306" t="s">
        <v>563</v>
      </c>
      <c r="C36" s="880" t="s">
        <v>594</v>
      </c>
      <c r="D36" s="881"/>
      <c r="E36" s="879">
        <v>1</v>
      </c>
      <c r="F36" s="882" t="s">
        <v>595</v>
      </c>
      <c r="G36" s="883"/>
      <c r="H36" s="875"/>
      <c r="I36" s="875"/>
    </row>
    <row r="37" spans="1:9" s="884" customFormat="1" ht="19.5" customHeight="1">
      <c r="A37" s="3306"/>
      <c r="B37" s="3306"/>
      <c r="C37" s="880" t="s">
        <v>596</v>
      </c>
      <c r="D37" s="881"/>
      <c r="E37" s="879">
        <v>1.5</v>
      </c>
      <c r="F37" s="882" t="s">
        <v>597</v>
      </c>
      <c r="G37" s="883"/>
      <c r="H37" s="875"/>
      <c r="I37" s="875"/>
    </row>
    <row r="38" spans="1:9" s="884" customFormat="1" ht="19.5" customHeight="1">
      <c r="A38" s="3306"/>
      <c r="B38" s="3306"/>
      <c r="C38" s="880" t="s">
        <v>598</v>
      </c>
      <c r="D38" s="881"/>
      <c r="E38" s="879">
        <v>1</v>
      </c>
      <c r="F38" s="882" t="s">
        <v>599</v>
      </c>
      <c r="G38" s="883"/>
      <c r="H38" s="875"/>
      <c r="I38" s="875"/>
    </row>
    <row r="39" spans="1:9" s="884" customFormat="1" ht="19.5" customHeight="1">
      <c r="A39" s="3306"/>
      <c r="B39" s="330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6" t="s">
        <v>614</v>
      </c>
      <c r="C61" s="815" t="s">
        <v>615</v>
      </c>
      <c r="D61" s="815" t="s">
        <v>616</v>
      </c>
      <c r="E61" s="892">
        <v>0.5</v>
      </c>
      <c r="F61" s="879">
        <v>80</v>
      </c>
    </row>
    <row r="62" spans="1:8" s="875" customFormat="1" ht="24">
      <c r="A62" s="879">
        <v>2</v>
      </c>
      <c r="B62" s="3306"/>
      <c r="C62" s="815" t="s">
        <v>617</v>
      </c>
      <c r="D62" s="815" t="s">
        <v>618</v>
      </c>
      <c r="E62" s="892">
        <v>0.5</v>
      </c>
      <c r="F62" s="879">
        <v>80</v>
      </c>
    </row>
    <row r="63" spans="1:8" s="875" customFormat="1" ht="36">
      <c r="A63" s="879">
        <v>3</v>
      </c>
      <c r="B63" s="3306"/>
      <c r="C63" s="815" t="s">
        <v>619</v>
      </c>
      <c r="D63" s="815" t="s">
        <v>620</v>
      </c>
      <c r="E63" s="892">
        <v>0.5</v>
      </c>
      <c r="F63" s="879">
        <v>80</v>
      </c>
    </row>
    <row r="64" spans="1:8" s="875" customFormat="1" ht="36">
      <c r="A64" s="879">
        <v>4</v>
      </c>
      <c r="B64" s="3306"/>
      <c r="C64" s="815" t="s">
        <v>621</v>
      </c>
      <c r="D64" s="815" t="s">
        <v>622</v>
      </c>
      <c r="E64" s="892">
        <v>0.4</v>
      </c>
      <c r="F64" s="879">
        <v>60</v>
      </c>
    </row>
    <row r="65" spans="1:6" s="875" customFormat="1" ht="36">
      <c r="A65" s="879">
        <v>5</v>
      </c>
      <c r="B65" s="3306"/>
      <c r="C65" s="815" t="s">
        <v>623</v>
      </c>
      <c r="D65" s="815" t="s">
        <v>624</v>
      </c>
      <c r="E65" s="892">
        <v>0.2</v>
      </c>
      <c r="F65" s="879">
        <v>30</v>
      </c>
    </row>
    <row r="66" spans="1:6" s="875" customFormat="1" ht="36">
      <c r="A66" s="879">
        <v>6</v>
      </c>
      <c r="B66" s="3306"/>
      <c r="C66" s="815" t="s">
        <v>625</v>
      </c>
      <c r="D66" s="815" t="s">
        <v>626</v>
      </c>
      <c r="E66" s="892">
        <v>0.3</v>
      </c>
      <c r="F66" s="879">
        <v>50</v>
      </c>
    </row>
    <row r="67" spans="1:6" s="875" customFormat="1" ht="36">
      <c r="A67" s="879">
        <v>7</v>
      </c>
      <c r="B67" s="3306"/>
      <c r="C67" s="815" t="s">
        <v>627</v>
      </c>
      <c r="D67" s="815" t="s">
        <v>628</v>
      </c>
      <c r="E67" s="892">
        <v>0.2</v>
      </c>
      <c r="F67" s="879">
        <v>30</v>
      </c>
    </row>
    <row r="68" spans="1:6" s="875" customFormat="1" ht="36">
      <c r="A68" s="879">
        <v>8</v>
      </c>
      <c r="B68" s="3306"/>
      <c r="C68" s="815" t="s">
        <v>629</v>
      </c>
      <c r="D68" s="815" t="s">
        <v>630</v>
      </c>
      <c r="E68" s="892">
        <v>0.2</v>
      </c>
      <c r="F68" s="879">
        <v>30</v>
      </c>
    </row>
    <row r="69" spans="1:6" s="875" customFormat="1" ht="36">
      <c r="A69" s="879">
        <v>9</v>
      </c>
      <c r="B69" s="3306"/>
      <c r="C69" s="815" t="s">
        <v>631</v>
      </c>
      <c r="D69" s="815" t="s">
        <v>632</v>
      </c>
      <c r="E69" s="892">
        <v>0.2</v>
      </c>
      <c r="F69" s="879">
        <v>30</v>
      </c>
    </row>
    <row r="70" spans="1:6" s="875" customFormat="1" ht="48">
      <c r="A70" s="879">
        <v>10</v>
      </c>
      <c r="B70" s="3306"/>
      <c r="C70" s="815" t="s">
        <v>633</v>
      </c>
      <c r="D70" s="815" t="s">
        <v>634</v>
      </c>
      <c r="E70" s="892">
        <v>0.2</v>
      </c>
      <c r="F70" s="879">
        <v>30</v>
      </c>
    </row>
    <row r="71" spans="1:6" s="875" customFormat="1" ht="48">
      <c r="A71" s="879">
        <v>11</v>
      </c>
      <c r="B71" s="3306"/>
      <c r="C71" s="815" t="s">
        <v>635</v>
      </c>
      <c r="D71" s="815" t="s">
        <v>636</v>
      </c>
      <c r="E71" s="892">
        <v>0.2</v>
      </c>
      <c r="F71" s="879">
        <v>30</v>
      </c>
    </row>
    <row r="72" spans="1:6" s="875" customFormat="1" ht="36">
      <c r="A72" s="879">
        <v>12</v>
      </c>
      <c r="B72" s="3306"/>
      <c r="C72" s="815" t="s">
        <v>637</v>
      </c>
      <c r="D72" s="815" t="s">
        <v>638</v>
      </c>
      <c r="E72" s="892">
        <v>0.5</v>
      </c>
      <c r="F72" s="879">
        <v>80</v>
      </c>
    </row>
    <row r="73" spans="1:6" s="875" customFormat="1" ht="24">
      <c r="A73" s="879">
        <v>13</v>
      </c>
      <c r="B73" s="3306"/>
      <c r="C73" s="815" t="s">
        <v>639</v>
      </c>
      <c r="D73" s="815" t="s">
        <v>640</v>
      </c>
      <c r="E73" s="892">
        <v>0.4</v>
      </c>
      <c r="F73" s="879">
        <v>60</v>
      </c>
    </row>
    <row r="74" spans="1:6" s="875" customFormat="1" ht="24">
      <c r="A74" s="879">
        <v>14</v>
      </c>
      <c r="B74" s="3306"/>
      <c r="C74" s="815" t="s">
        <v>641</v>
      </c>
      <c r="D74" s="815" t="s">
        <v>642</v>
      </c>
      <c r="E74" s="892">
        <v>0.2</v>
      </c>
      <c r="F74" s="879">
        <v>30</v>
      </c>
    </row>
    <row r="75" spans="1:6" s="875" customFormat="1" ht="24">
      <c r="A75" s="879">
        <v>15</v>
      </c>
      <c r="B75" s="3306"/>
      <c r="C75" s="815" t="s">
        <v>643</v>
      </c>
      <c r="D75" s="815" t="s">
        <v>644</v>
      </c>
      <c r="E75" s="892">
        <v>0.2</v>
      </c>
      <c r="F75" s="879">
        <v>30</v>
      </c>
    </row>
    <row r="76" spans="1:6" s="875" customFormat="1" ht="24">
      <c r="A76" s="879">
        <v>16</v>
      </c>
      <c r="B76" s="3306" t="s">
        <v>645</v>
      </c>
      <c r="C76" s="815" t="s">
        <v>646</v>
      </c>
      <c r="D76" s="815" t="s">
        <v>647</v>
      </c>
      <c r="E76" s="892">
        <v>0.5</v>
      </c>
      <c r="F76" s="879">
        <v>80</v>
      </c>
    </row>
    <row r="77" spans="1:6" s="875" customFormat="1" ht="24">
      <c r="A77" s="879">
        <v>17</v>
      </c>
      <c r="B77" s="3306"/>
      <c r="C77" s="815" t="s">
        <v>648</v>
      </c>
      <c r="D77" s="815" t="s">
        <v>649</v>
      </c>
      <c r="E77" s="892">
        <v>0.5</v>
      </c>
      <c r="F77" s="879">
        <v>80</v>
      </c>
    </row>
    <row r="78" spans="1:6" s="875" customFormat="1" ht="24">
      <c r="A78" s="879">
        <v>18</v>
      </c>
      <c r="B78" s="3306"/>
      <c r="C78" s="815" t="s">
        <v>650</v>
      </c>
      <c r="D78" s="815" t="s">
        <v>651</v>
      </c>
      <c r="E78" s="892">
        <v>0.2</v>
      </c>
      <c r="F78" s="879">
        <v>30</v>
      </c>
    </row>
    <row r="79" spans="1:6" s="875" customFormat="1" ht="24">
      <c r="A79" s="879">
        <v>19</v>
      </c>
      <c r="B79" s="3306"/>
      <c r="C79" s="815" t="s">
        <v>652</v>
      </c>
      <c r="D79" s="815" t="s">
        <v>653</v>
      </c>
      <c r="E79" s="892">
        <v>0.5</v>
      </c>
      <c r="F79" s="879">
        <v>80</v>
      </c>
    </row>
    <row r="80" spans="1:6" s="875" customFormat="1" ht="36">
      <c r="A80" s="879">
        <v>20</v>
      </c>
      <c r="B80" s="3306"/>
      <c r="C80" s="815" t="s">
        <v>654</v>
      </c>
      <c r="D80" s="815" t="s">
        <v>655</v>
      </c>
      <c r="E80" s="892">
        <v>0.2</v>
      </c>
      <c r="F80" s="879">
        <v>30</v>
      </c>
    </row>
    <row r="81" spans="1:6" s="875" customFormat="1" ht="36">
      <c r="A81" s="879">
        <v>21</v>
      </c>
      <c r="B81" s="3306"/>
      <c r="C81" s="815" t="s">
        <v>656</v>
      </c>
      <c r="D81" s="815" t="s">
        <v>657</v>
      </c>
      <c r="E81" s="892">
        <v>0.2</v>
      </c>
      <c r="F81" s="879">
        <v>30</v>
      </c>
    </row>
    <row r="82" spans="1:6" s="875" customFormat="1" ht="48">
      <c r="A82" s="879">
        <v>22</v>
      </c>
      <c r="B82" s="3306"/>
      <c r="C82" s="815" t="s">
        <v>658</v>
      </c>
      <c r="D82" s="815" t="s">
        <v>659</v>
      </c>
      <c r="E82" s="892">
        <v>0.2</v>
      </c>
      <c r="F82" s="879">
        <v>30</v>
      </c>
    </row>
    <row r="83" spans="1:6" s="875" customFormat="1" ht="48">
      <c r="A83" s="879">
        <v>23</v>
      </c>
      <c r="B83" s="3306"/>
      <c r="C83" s="815" t="s">
        <v>660</v>
      </c>
      <c r="D83" s="815" t="s">
        <v>661</v>
      </c>
      <c r="E83" s="892">
        <v>0.2</v>
      </c>
      <c r="F83" s="879">
        <v>30</v>
      </c>
    </row>
    <row r="84" spans="1:6" s="875" customFormat="1" ht="36">
      <c r="A84" s="879">
        <v>24</v>
      </c>
      <c r="B84" s="3306"/>
      <c r="C84" s="815" t="s">
        <v>662</v>
      </c>
      <c r="D84" s="815" t="s">
        <v>663</v>
      </c>
      <c r="E84" s="892">
        <v>0.2</v>
      </c>
      <c r="F84" s="879">
        <v>30</v>
      </c>
    </row>
    <row r="85" spans="1:6" s="875" customFormat="1" ht="36">
      <c r="A85" s="879">
        <v>25</v>
      </c>
      <c r="B85" s="3306"/>
      <c r="C85" s="815" t="s">
        <v>664</v>
      </c>
      <c r="D85" s="815" t="s">
        <v>665</v>
      </c>
      <c r="E85" s="892">
        <v>0.5</v>
      </c>
      <c r="F85" s="879">
        <v>80</v>
      </c>
    </row>
    <row r="86" spans="1:6" s="875" customFormat="1" ht="36">
      <c r="A86" s="879">
        <v>26</v>
      </c>
      <c r="B86" s="3306"/>
      <c r="C86" s="815" t="s">
        <v>666</v>
      </c>
      <c r="D86" s="815" t="s">
        <v>667</v>
      </c>
      <c r="E86" s="892">
        <v>0.2</v>
      </c>
      <c r="F86" s="879">
        <v>30</v>
      </c>
    </row>
    <row r="87" spans="1:6" s="875" customFormat="1" ht="36">
      <c r="A87" s="879">
        <v>27</v>
      </c>
      <c r="B87" s="3306"/>
      <c r="C87" s="815" t="s">
        <v>668</v>
      </c>
      <c r="D87" s="815" t="s">
        <v>669</v>
      </c>
      <c r="E87" s="892">
        <v>0.2</v>
      </c>
      <c r="F87" s="879">
        <v>30</v>
      </c>
    </row>
    <row r="88" spans="1:6" s="875" customFormat="1" ht="36">
      <c r="A88" s="879">
        <v>28</v>
      </c>
      <c r="B88" s="3306"/>
      <c r="C88" s="815" t="s">
        <v>670</v>
      </c>
      <c r="D88" s="815" t="s">
        <v>671</v>
      </c>
      <c r="E88" s="892">
        <v>0.2</v>
      </c>
      <c r="F88" s="879">
        <v>30</v>
      </c>
    </row>
    <row r="89" spans="1:6" s="875" customFormat="1" ht="24">
      <c r="A89" s="879">
        <v>29</v>
      </c>
      <c r="B89" s="3306"/>
      <c r="C89" s="815" t="s">
        <v>672</v>
      </c>
      <c r="D89" s="815" t="s">
        <v>673</v>
      </c>
      <c r="E89" s="892">
        <v>0.2</v>
      </c>
      <c r="F89" s="879">
        <v>30</v>
      </c>
    </row>
    <row r="90" spans="1:6" s="875" customFormat="1" ht="24">
      <c r="A90" s="879">
        <v>30</v>
      </c>
      <c r="B90" s="3306"/>
      <c r="C90" s="815" t="s">
        <v>674</v>
      </c>
      <c r="D90" s="815" t="s">
        <v>675</v>
      </c>
      <c r="E90" s="892">
        <v>0.2</v>
      </c>
      <c r="F90" s="879">
        <v>30</v>
      </c>
    </row>
    <row r="91" spans="1:6" s="875" customFormat="1" ht="36">
      <c r="A91" s="879">
        <v>31</v>
      </c>
      <c r="B91" s="3306"/>
      <c r="C91" s="815" t="s">
        <v>676</v>
      </c>
      <c r="D91" s="815" t="s">
        <v>677</v>
      </c>
      <c r="E91" s="892">
        <v>0.2</v>
      </c>
      <c r="F91" s="879">
        <v>30</v>
      </c>
    </row>
    <row r="92" spans="1:6" s="875" customFormat="1" ht="24">
      <c r="A92" s="879">
        <v>32</v>
      </c>
      <c r="B92" s="3306" t="s">
        <v>678</v>
      </c>
      <c r="C92" s="879" t="s">
        <v>679</v>
      </c>
      <c r="D92" s="815" t="s">
        <v>680</v>
      </c>
      <c r="E92" s="892">
        <v>0.2</v>
      </c>
      <c r="F92" s="879">
        <v>30</v>
      </c>
    </row>
    <row r="93" spans="1:6" s="875" customFormat="1" ht="36">
      <c r="A93" s="879">
        <v>33</v>
      </c>
      <c r="B93" s="3306"/>
      <c r="C93" s="879" t="s">
        <v>681</v>
      </c>
      <c r="D93" s="815" t="s">
        <v>682</v>
      </c>
      <c r="E93" s="892">
        <v>0.2</v>
      </c>
      <c r="F93" s="879">
        <v>30</v>
      </c>
    </row>
    <row r="94" spans="1:6" s="875" customFormat="1" ht="48">
      <c r="A94" s="879">
        <v>34</v>
      </c>
      <c r="B94" s="3306"/>
      <c r="C94" s="879" t="s">
        <v>683</v>
      </c>
      <c r="D94" s="815" t="s">
        <v>684</v>
      </c>
      <c r="E94" s="892">
        <v>0.2</v>
      </c>
      <c r="F94" s="879">
        <v>30</v>
      </c>
    </row>
    <row r="95" spans="1:6" s="875" customFormat="1" ht="36">
      <c r="A95" s="879">
        <v>35</v>
      </c>
      <c r="B95" s="3306"/>
      <c r="C95" s="879" t="s">
        <v>685</v>
      </c>
      <c r="D95" s="815" t="s">
        <v>686</v>
      </c>
      <c r="E95" s="892">
        <v>0.2</v>
      </c>
      <c r="F95" s="879">
        <v>30</v>
      </c>
    </row>
    <row r="96" spans="1:6" s="875" customFormat="1" ht="48">
      <c r="A96" s="879">
        <v>36</v>
      </c>
      <c r="B96" s="3306"/>
      <c r="C96" s="815" t="s">
        <v>687</v>
      </c>
      <c r="D96" s="815" t="s">
        <v>688</v>
      </c>
      <c r="E96" s="892">
        <v>0.2</v>
      </c>
      <c r="F96" s="879">
        <v>30</v>
      </c>
    </row>
    <row r="97" spans="1:6" s="875" customFormat="1" ht="36">
      <c r="A97" s="879">
        <v>37</v>
      </c>
      <c r="B97" s="3306"/>
      <c r="C97" s="879" t="s">
        <v>689</v>
      </c>
      <c r="D97" s="815" t="s">
        <v>690</v>
      </c>
      <c r="E97" s="892">
        <v>0.2</v>
      </c>
      <c r="F97" s="879">
        <v>30</v>
      </c>
    </row>
    <row r="98" spans="1:6" s="875" customFormat="1" ht="36">
      <c r="A98" s="879">
        <v>38</v>
      </c>
      <c r="B98" s="3306"/>
      <c r="C98" s="879" t="s">
        <v>691</v>
      </c>
      <c r="D98" s="815" t="s">
        <v>692</v>
      </c>
      <c r="E98" s="892">
        <v>0.2</v>
      </c>
      <c r="F98" s="879">
        <v>30</v>
      </c>
    </row>
    <row r="99" spans="1:6" s="875" customFormat="1" ht="36">
      <c r="A99" s="879">
        <v>39</v>
      </c>
      <c r="B99" s="3306" t="s">
        <v>693</v>
      </c>
      <c r="C99" s="879" t="s">
        <v>694</v>
      </c>
      <c r="D99" s="815" t="s">
        <v>695</v>
      </c>
      <c r="E99" s="892">
        <v>0.3</v>
      </c>
      <c r="F99" s="879">
        <v>50</v>
      </c>
    </row>
    <row r="100" spans="1:6" s="875" customFormat="1" ht="24">
      <c r="A100" s="879">
        <v>40</v>
      </c>
      <c r="B100" s="3306"/>
      <c r="C100" s="879" t="s">
        <v>696</v>
      </c>
      <c r="D100" s="815" t="s">
        <v>697</v>
      </c>
      <c r="E100" s="892">
        <v>0.2</v>
      </c>
      <c r="F100" s="879">
        <v>30</v>
      </c>
    </row>
    <row r="101" spans="1:6" s="875" customFormat="1" ht="36">
      <c r="A101" s="879">
        <v>41</v>
      </c>
      <c r="B101" s="330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6" t="s">
        <v>708</v>
      </c>
      <c r="C105" s="879" t="s">
        <v>709</v>
      </c>
      <c r="D105" s="815" t="s">
        <v>710</v>
      </c>
      <c r="E105" s="892">
        <v>0.2</v>
      </c>
      <c r="F105" s="879">
        <v>30</v>
      </c>
    </row>
    <row r="106" spans="1:6" s="875" customFormat="1" ht="36">
      <c r="A106" s="879">
        <v>46</v>
      </c>
      <c r="B106" s="3306"/>
      <c r="C106" s="879" t="s">
        <v>711</v>
      </c>
      <c r="D106" s="815" t="s">
        <v>712</v>
      </c>
      <c r="E106" s="892">
        <v>0.2</v>
      </c>
      <c r="F106" s="879">
        <v>30</v>
      </c>
    </row>
    <row r="107" spans="1:6" s="875" customFormat="1" ht="36">
      <c r="A107" s="879">
        <v>47</v>
      </c>
      <c r="B107" s="3306" t="s">
        <v>713</v>
      </c>
      <c r="C107" s="879" t="s">
        <v>714</v>
      </c>
      <c r="D107" s="815" t="s">
        <v>715</v>
      </c>
      <c r="E107" s="892">
        <v>0.3</v>
      </c>
      <c r="F107" s="879">
        <v>50</v>
      </c>
    </row>
    <row r="108" spans="1:6" s="875" customFormat="1" ht="36">
      <c r="A108" s="879">
        <v>48</v>
      </c>
      <c r="B108" s="330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6" t="s">
        <v>724</v>
      </c>
      <c r="C111" s="879" t="s">
        <v>725</v>
      </c>
      <c r="D111" s="815" t="s">
        <v>726</v>
      </c>
      <c r="E111" s="892">
        <v>0.2</v>
      </c>
      <c r="F111" s="879">
        <v>30</v>
      </c>
    </row>
    <row r="112" spans="1:6" s="875" customFormat="1" ht="24">
      <c r="A112" s="879">
        <v>52</v>
      </c>
      <c r="B112" s="3306"/>
      <c r="C112" s="879" t="s">
        <v>727</v>
      </c>
      <c r="D112" s="815" t="s">
        <v>728</v>
      </c>
      <c r="E112" s="892">
        <v>0.2</v>
      </c>
      <c r="F112" s="879">
        <v>30</v>
      </c>
    </row>
    <row r="113" spans="1:6" s="875" customFormat="1" ht="24">
      <c r="A113" s="879">
        <v>53</v>
      </c>
      <c r="B113" s="330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6" t="s">
        <v>737</v>
      </c>
      <c r="C116" s="879" t="s">
        <v>738</v>
      </c>
      <c r="D116" s="815" t="s">
        <v>739</v>
      </c>
      <c r="E116" s="892">
        <v>0.2</v>
      </c>
      <c r="F116" s="879">
        <v>30</v>
      </c>
    </row>
    <row r="117" spans="1:6" ht="36">
      <c r="A117" s="879">
        <v>57</v>
      </c>
      <c r="B117" s="330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60"/>
      <c r="B4" s="2989" t="s">
        <v>1632</v>
      </c>
      <c r="C4" s="2989"/>
      <c r="D4" s="2989"/>
      <c r="E4" s="1960"/>
    </row>
    <row r="5" spans="1:5" ht="16.5" thickTop="1">
      <c r="A5" s="1958"/>
      <c r="B5" s="2987" t="s">
        <v>1624</v>
      </c>
      <c r="C5" s="1961" t="s">
        <v>1625</v>
      </c>
      <c r="D5" s="1040">
        <f ca="1">结果表!H101</f>
        <v>117820</v>
      </c>
      <c r="E5" s="1958"/>
    </row>
    <row r="6" spans="1:5" ht="15.75">
      <c r="A6" s="1958"/>
      <c r="B6" s="2987"/>
      <c r="C6" s="1961" t="s">
        <v>1626</v>
      </c>
      <c r="D6" s="1040" t="str">
        <f ca="1">NUMBERSTRING(INT(D5*10000),2)&amp;"元整"</f>
        <v>壹拾壹亿柒仟捌佰贰拾万元整</v>
      </c>
      <c r="E6" s="1958"/>
    </row>
    <row r="7" spans="1:5" ht="15.75">
      <c r="A7" s="1958"/>
      <c r="B7" s="2992"/>
      <c r="C7" s="1962" t="s">
        <v>1627</v>
      </c>
      <c r="D7" s="1041">
        <f ca="1">结果表!H102</f>
        <v>10075</v>
      </c>
      <c r="E7" s="1958"/>
    </row>
    <row r="8" spans="1:5" ht="15.75">
      <c r="A8" s="1958"/>
      <c r="B8" s="2993" t="str">
        <f>结果表!E103</f>
        <v>2.估价师知悉的法定优先受偿款</v>
      </c>
      <c r="C8" s="1963" t="s">
        <v>1628</v>
      </c>
      <c r="D8" s="1041">
        <f>结果表!H103</f>
        <v>0</v>
      </c>
      <c r="E8" s="1958"/>
    </row>
    <row r="9" spans="1:5" ht="15.75">
      <c r="A9" s="1958"/>
      <c r="B9" s="2995"/>
      <c r="C9" s="1961" t="s">
        <v>1626</v>
      </c>
      <c r="D9" s="1040" t="str">
        <f>NUMBERSTRING(INT(D8*10000),2)&amp;"元整"</f>
        <v>零元整</v>
      </c>
      <c r="E9" s="1958"/>
    </row>
    <row r="10" spans="1:5" ht="15">
      <c r="A10" s="1958"/>
      <c r="B10" s="1964" t="s">
        <v>1631</v>
      </c>
      <c r="C10" s="1965" t="s">
        <v>1629</v>
      </c>
      <c r="D10" s="1042">
        <f>结果表!H104</f>
        <v>0</v>
      </c>
      <c r="E10" s="1958"/>
    </row>
    <row r="11" spans="1:5" ht="15">
      <c r="A11" s="1958"/>
      <c r="B11" s="1964" t="s">
        <v>1633</v>
      </c>
      <c r="C11" s="1965" t="s">
        <v>1634</v>
      </c>
      <c r="D11" s="1042">
        <f>结果表!H105</f>
        <v>0</v>
      </c>
      <c r="E11" s="1958"/>
    </row>
    <row r="12" spans="1:5" ht="15">
      <c r="A12" s="1958"/>
      <c r="B12" s="1964" t="s">
        <v>1635</v>
      </c>
      <c r="C12" s="1965" t="s">
        <v>1634</v>
      </c>
      <c r="D12" s="1042">
        <f>结果表!H106</f>
        <v>0</v>
      </c>
      <c r="E12" s="1958"/>
    </row>
    <row r="13" spans="1:5" ht="15.75">
      <c r="A13" s="1958"/>
      <c r="B13" s="2986" t="str">
        <f>结果表!E107</f>
        <v>3.房地产抵押价值</v>
      </c>
      <c r="C13" s="1966" t="s">
        <v>1625</v>
      </c>
      <c r="D13" s="1043">
        <f ca="1">结果表!H107</f>
        <v>117820</v>
      </c>
      <c r="E13" s="1958"/>
    </row>
    <row r="14" spans="1:5" ht="15.75">
      <c r="A14" s="1958"/>
      <c r="B14" s="2987"/>
      <c r="C14" s="1961" t="s">
        <v>1626</v>
      </c>
      <c r="D14" s="1040" t="str">
        <f ca="1">NUMBERSTRING(INT(D13*10000),2)&amp;"元整"</f>
        <v>壹拾壹亿柒仟捌佰贰拾万元整</v>
      </c>
      <c r="E14" s="1958"/>
    </row>
    <row r="15" spans="1:5" ht="15">
      <c r="A15" s="1958"/>
      <c r="B15" s="2992"/>
      <c r="C15" s="1962" t="s">
        <v>1636</v>
      </c>
      <c r="D15" s="1052">
        <f ca="1">结果表!H108</f>
        <v>10075</v>
      </c>
      <c r="E15" s="1958"/>
    </row>
    <row r="16" spans="1:5" ht="15">
      <c r="A16" s="1958"/>
      <c r="B16" s="2993" t="str">
        <f>结果表!E109</f>
        <v>——</v>
      </c>
      <c r="C16" s="1966" t="s">
        <v>1637</v>
      </c>
      <c r="D16" s="1967" t="str">
        <f>结果表!H109</f>
        <v>——</v>
      </c>
      <c r="E16" s="1958"/>
    </row>
    <row r="17" spans="1:5" ht="15.75">
      <c r="A17" s="1958"/>
      <c r="B17" s="2994"/>
      <c r="C17" s="1961" t="s">
        <v>1638</v>
      </c>
      <c r="D17" s="1040" t="e">
        <f>NUMBERSTRING(INT(D16*10000),2)&amp;"元整"</f>
        <v>#VALUE!</v>
      </c>
      <c r="E17" s="1958"/>
    </row>
    <row r="18" spans="1:5" ht="15">
      <c r="A18" s="1958"/>
      <c r="B18" s="2995"/>
      <c r="C18" s="1962" t="s">
        <v>1627</v>
      </c>
      <c r="D18" s="1052" t="str">
        <f>结果表!H110</f>
        <v>——</v>
      </c>
      <c r="E18" s="1958"/>
    </row>
    <row r="19" spans="1:5" ht="15.75">
      <c r="A19" s="1958"/>
      <c r="B19" s="2986" t="str">
        <f>结果表!E111</f>
        <v>——</v>
      </c>
      <c r="C19" s="1966" t="s">
        <v>1625</v>
      </c>
      <c r="D19" s="1041" t="str">
        <f>结果表!H111</f>
        <v>——</v>
      </c>
      <c r="E19" s="1958"/>
    </row>
    <row r="20" spans="1:5" ht="15.75">
      <c r="A20" s="1958"/>
      <c r="B20" s="2987"/>
      <c r="C20" s="1961" t="s">
        <v>1638</v>
      </c>
      <c r="D20" s="1040" t="e">
        <f>NUMBERSTRING(INT(D19*10000),2)&amp;"元整"</f>
        <v>#VALUE!</v>
      </c>
      <c r="E20" s="1958"/>
    </row>
    <row r="21" spans="1:5" ht="15.75" thickBot="1">
      <c r="A21" s="1958"/>
      <c r="B21" s="2988"/>
      <c r="C21" s="1968" t="s">
        <v>1636</v>
      </c>
      <c r="D21" s="1053"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12" t="s">
        <v>2996</v>
      </c>
      <c r="B2" s="2913" t="e">
        <f ca="1">SUMIF(B6:B13,"&lt;&gt;#ref!",B6:B13)</f>
        <v>#DIV/0!</v>
      </c>
      <c r="C2" s="2912" t="s">
        <v>2997</v>
      </c>
      <c r="D2" s="2912" t="s">
        <v>2998</v>
      </c>
      <c r="E2" s="2913" t="e">
        <f ca="1">SUM(E6:E13)</f>
        <v>#REF!</v>
      </c>
    </row>
    <row r="3" spans="1:5" ht="15.75">
      <c r="A3" s="2912" t="s">
        <v>2999</v>
      </c>
      <c r="B3" s="2913" t="e">
        <f ca="1">ROUND(B2*10000/E2,0)</f>
        <v>#DIV/0!</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t="e">
        <f ca="1">SUMIF(INDIRECT("'"&amp;A6&amp;"'"&amp;"!A:A"),"总价",INDIRECT("'"&amp;A6&amp;"'"&amp;"!B:B"))</f>
        <v>#DIV/0!</v>
      </c>
      <c r="C6" s="2912" t="s">
        <v>2997</v>
      </c>
      <c r="D6" s="2914"/>
      <c r="E6" s="2577">
        <f ca="1">SUMIF(INDIRECT("'"&amp;A6&amp;"'"&amp;"!C:C"),"建筑面积",INDIRECT("'"&amp;A6&amp;"'"&amp;"!D:D"))</f>
        <v>0</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312" t="s">
        <v>1150</v>
      </c>
      <c r="C1" s="3312"/>
      <c r="D1" s="3312"/>
      <c r="E1" s="3312"/>
      <c r="F1" s="3312"/>
      <c r="G1" s="3311" t="s">
        <v>1151</v>
      </c>
      <c r="H1" s="3311"/>
      <c r="I1" s="3311"/>
      <c r="J1" s="3311"/>
      <c r="K1" s="3311"/>
      <c r="L1" s="3311"/>
      <c r="N1" s="3311" t="s">
        <v>1152</v>
      </c>
      <c r="O1" s="3311"/>
      <c r="P1" s="3311"/>
      <c r="Q1" s="3311"/>
      <c r="R1" s="1445"/>
      <c r="S1" s="3311" t="s">
        <v>1153</v>
      </c>
      <c r="T1" s="3311"/>
      <c r="U1" s="3311"/>
      <c r="V1" s="3311"/>
      <c r="X1" s="3310" t="s">
        <v>1154</v>
      </c>
      <c r="Y1" s="3311"/>
      <c r="Z1" s="3311"/>
      <c r="AA1" s="3311"/>
      <c r="AB1" s="3311"/>
      <c r="AD1" s="3310" t="s">
        <v>1155</v>
      </c>
      <c r="AE1" s="3311"/>
      <c r="AF1" s="3311"/>
      <c r="AG1" s="3311"/>
      <c r="AH1" s="3311"/>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6"/>
      <c r="J3" s="2926"/>
      <c r="K3" s="2926"/>
      <c r="L3" s="2926"/>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3041</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6">
        <f>ROUND(AVERAGE(I5:I20),2)</f>
        <v>2.4900000000000002</v>
      </c>
      <c r="J4" s="2926">
        <f t="shared" ref="J4:L4" si="7">ROUND(AVERAGE(J5:J20),2)</f>
        <v>1.64</v>
      </c>
      <c r="K4" s="2926">
        <f t="shared" si="7"/>
        <v>2.78</v>
      </c>
      <c r="L4" s="2926">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0" customFormat="1">
      <c r="A5" s="1728" t="s">
        <v>3039</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23">
        <v>2017</v>
      </c>
      <c r="H5" s="1729">
        <v>4</v>
      </c>
      <c r="I5" s="2927">
        <f>ROUND(AVERAGE(I6:I20),2)</f>
        <v>2.4900000000000002</v>
      </c>
      <c r="J5" s="2927">
        <f>ROUND(AVERAGE(J6:J20),2)</f>
        <v>1.64</v>
      </c>
      <c r="K5" s="2927">
        <f>ROUND(AVERAGE(K6:K20),2)</f>
        <v>2.78</v>
      </c>
      <c r="L5" s="2927">
        <f>ROUND(AVERAGE(L6:L20),2)</f>
        <v>1.39</v>
      </c>
      <c r="N5" s="1466">
        <f t="shared" si="8"/>
        <v>2.4900000000000002E-2</v>
      </c>
      <c r="O5" s="1466">
        <f t="shared" ref="O5" si="17">J5/100</f>
        <v>1.6399999999999998E-2</v>
      </c>
      <c r="P5" s="1466">
        <f t="shared" ref="P5" si="18">K5/100</f>
        <v>2.7799999999999998E-2</v>
      </c>
      <c r="Q5" s="1466">
        <f t="shared" ref="Q5" si="19">L5/100</f>
        <v>1.3899999999999999E-2</v>
      </c>
      <c r="R5" s="1731"/>
      <c r="S5" s="1732"/>
      <c r="T5" s="1731"/>
      <c r="U5" s="1731"/>
      <c r="V5" s="1731"/>
      <c r="W5" s="1467"/>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3040</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5"/>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4"/>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2"/>
      <c r="AD7" s="1788">
        <f>ROUND(AVERAGE(I7:I$20)/100,4)</f>
        <v>2.46E-2</v>
      </c>
      <c r="AE7" s="1788">
        <f>ROUND(AVERAGE(J7:J$20)/100,4)</f>
        <v>1.6E-2</v>
      </c>
      <c r="AF7" s="1788">
        <f t="shared" si="1"/>
        <v>1.6E-2</v>
      </c>
      <c r="AG7" s="1788">
        <f>ROUND(AVERAGE(K7:K$20)/100,4)</f>
        <v>2.75E-2</v>
      </c>
      <c r="AH7" s="1788">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5"/>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60" t="s">
        <v>154</v>
      </c>
      <c r="B9" s="1469">
        <v>392</v>
      </c>
      <c r="C9" s="1469">
        <v>302</v>
      </c>
      <c r="D9" s="1469">
        <f>C9</f>
        <v>302</v>
      </c>
      <c r="E9" s="1469">
        <v>553</v>
      </c>
      <c r="F9" s="1470">
        <v>266</v>
      </c>
      <c r="G9" s="3313">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308"/>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308"/>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309"/>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307">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308"/>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308"/>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309"/>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307">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308"/>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308"/>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309"/>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60" t="s">
        <v>1164</v>
      </c>
      <c r="B21" s="1469">
        <v>299</v>
      </c>
      <c r="C21" s="1469">
        <v>252</v>
      </c>
      <c r="D21" s="1469">
        <f t="shared" si="34"/>
        <v>252</v>
      </c>
      <c r="E21" s="1469">
        <v>409</v>
      </c>
      <c r="F21" s="1470">
        <v>227</v>
      </c>
      <c r="G21" s="3314">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315"/>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315"/>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316"/>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307">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308"/>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308"/>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309"/>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307">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308">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308">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309">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307">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308">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308">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309">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307">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308">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308">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309">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307">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308">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308">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309">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307">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308">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308">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309">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307">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308">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308">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309">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307">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308">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308">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309">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307">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308">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308">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309">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307">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308">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308">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309">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307">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308">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308">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309">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4" t="s">
        <v>3006</v>
      </c>
      <c r="C1" s="3318" t="s">
        <v>3007</v>
      </c>
      <c r="D1" s="3319"/>
      <c r="E1" s="3319"/>
      <c r="F1" s="3319"/>
      <c r="G1" s="3319"/>
      <c r="H1" s="3319"/>
      <c r="I1" s="3319"/>
      <c r="J1" s="3319"/>
      <c r="K1" s="3319"/>
      <c r="L1" s="3319"/>
      <c r="M1" s="3319"/>
      <c r="N1" s="3319"/>
      <c r="O1" s="3319"/>
      <c r="P1" s="3319"/>
      <c r="Q1" s="3319"/>
      <c r="R1" s="3319"/>
      <c r="S1" s="3320"/>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3016</v>
      </c>
      <c r="B17" s="2919"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7"/>
      <c r="B19" s="168"/>
      <c r="C19" s="168"/>
      <c r="D19" s="2920" t="s">
        <v>3018</v>
      </c>
      <c r="E19" s="1791"/>
      <c r="F19" s="1791"/>
      <c r="G19" s="1791"/>
      <c r="H19" s="1280"/>
      <c r="I19" s="168"/>
      <c r="J19" s="168"/>
      <c r="K19" s="168"/>
      <c r="L19" s="168"/>
      <c r="M19" s="168"/>
      <c r="N19" s="168"/>
      <c r="O19" s="168"/>
      <c r="P19" s="168"/>
      <c r="Q19" s="168"/>
      <c r="R19" s="788"/>
      <c r="S19" s="137"/>
    </row>
    <row r="20" spans="1:45" ht="16.5" thickBot="1">
      <c r="A20" s="715" t="s">
        <v>3019</v>
      </c>
      <c r="B20" s="338" t="e">
        <f ca="1">IF(D20="——",S22,S22-F20)</f>
        <v>#REF!</v>
      </c>
      <c r="C20" s="168"/>
      <c r="D20" s="2921" t="s">
        <v>3020</v>
      </c>
      <c r="E20" s="1792"/>
      <c r="F20" s="1204" t="e">
        <f ca="1">SUMIF(INDIRECT("'"&amp;H20&amp;"'"&amp;"!A:A"),"承租人权益价值",INDIRECT("'"&amp;H20&amp;"'"&amp;"!c:c"))</f>
        <v>#REF!</v>
      </c>
      <c r="G20" s="1204" t="s">
        <v>3021</v>
      </c>
      <c r="H20" s="2922"/>
      <c r="I20" s="168"/>
      <c r="J20" s="168"/>
      <c r="K20" s="168"/>
      <c r="L20" s="168"/>
      <c r="M20" s="168"/>
      <c r="N20" s="168"/>
      <c r="O20" s="168"/>
      <c r="P20" s="168"/>
      <c r="Q20" s="168"/>
      <c r="R20" s="788"/>
      <c r="S20" s="137"/>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7"/>
    </row>
    <row r="22" spans="1:45">
      <c r="A22" s="361" t="s">
        <v>3023</v>
      </c>
      <c r="B22" s="23">
        <f>SUM(B24:B10000)</f>
        <v>100</v>
      </c>
      <c r="C22" s="3166" t="s">
        <v>33</v>
      </c>
      <c r="D22" s="3167"/>
      <c r="E22" s="3167"/>
      <c r="F22" s="3167"/>
      <c r="G22" s="3167"/>
      <c r="H22" s="3167"/>
      <c r="I22" s="3167"/>
      <c r="J22" s="3167"/>
      <c r="K22" s="3167"/>
      <c r="L22" s="3167"/>
      <c r="M22" s="3167"/>
      <c r="N22" s="3167"/>
      <c r="O22" s="3167"/>
      <c r="P22" s="3167"/>
      <c r="Q22" s="3317"/>
      <c r="R22" s="716">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103726</v>
      </c>
      <c r="C2" s="2" t="s">
        <v>133</v>
      </c>
      <c r="D2" s="243"/>
      <c r="E2" s="243"/>
      <c r="F2" s="243"/>
      <c r="G2" s="243"/>
    </row>
    <row r="3" spans="1:7" s="244" customFormat="1" ht="18" customHeight="1" thickBot="1">
      <c r="A3" s="247" t="s">
        <v>85</v>
      </c>
      <c r="B3" s="248">
        <f ca="1">ROUND(B2*10000/'数据-汇总表'!E3,0)</f>
        <v>8870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2573</v>
      </c>
      <c r="D10" s="1032">
        <f>'数据-汇总表'!E6</f>
        <v>116944.15</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2339</v>
      </c>
      <c r="D19" s="1036">
        <f>'数据-汇总表'!E3</f>
        <v>116944.15</v>
      </c>
      <c r="E19" s="255">
        <f>'数据-取费表'!B31</f>
        <v>200</v>
      </c>
      <c r="F19" s="275"/>
      <c r="G19" s="1" t="s">
        <v>1074</v>
      </c>
    </row>
    <row r="20" spans="1:7" s="258" customFormat="1" ht="13.5" customHeight="1">
      <c r="A20" s="948" t="s">
        <v>1057</v>
      </c>
      <c r="B20" s="254" t="s">
        <v>104</v>
      </c>
      <c r="C20" s="276">
        <f>ROUND((C5+C19)*F20,0)</f>
        <v>688</v>
      </c>
      <c r="D20" s="276"/>
      <c r="E20" s="276"/>
      <c r="F20" s="277">
        <f>'数据-取费表'!B37</f>
        <v>0.03</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3478</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3079</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349</v>
      </c>
      <c r="D24" s="282"/>
      <c r="E24" s="282"/>
      <c r="F24" s="283"/>
      <c r="G24" s="284" t="s">
        <v>109</v>
      </c>
    </row>
    <row r="25" spans="1:7" s="258" customFormat="1" ht="24">
      <c r="A25" s="951" t="s">
        <v>793</v>
      </c>
      <c r="B25" s="259" t="s">
        <v>1058</v>
      </c>
      <c r="C25" s="1355">
        <f ca="1">ROUND(IF('数据-取费表'!B22&lt;=1,C20*F22*'数据-取费表'!B23/2,C20*(POWER((1+F22),'数据-取费表'!B23/2)-1)),0)</f>
        <v>50</v>
      </c>
      <c r="D25" s="282"/>
      <c r="E25" s="285"/>
      <c r="F25" s="283"/>
      <c r="G25" s="286" t="s">
        <v>110</v>
      </c>
    </row>
    <row r="26" spans="1:7" s="258" customFormat="1">
      <c r="A26" s="951" t="s">
        <v>795</v>
      </c>
      <c r="B26" s="259" t="s">
        <v>1060</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4727</v>
      </c>
      <c r="D27" s="279">
        <f>C29</f>
        <v>6.0000000000000001E-3</v>
      </c>
      <c r="E27" s="280" t="s">
        <v>126</v>
      </c>
      <c r="F27" s="290">
        <f>'数据-取费表'!Q16</f>
        <v>0.2</v>
      </c>
      <c r="G27" s="291" t="s">
        <v>1069</v>
      </c>
    </row>
    <row r="28" spans="1:7" s="258" customFormat="1" ht="13.5" customHeight="1">
      <c r="A28" s="951" t="s">
        <v>794</v>
      </c>
      <c r="B28" s="292" t="s">
        <v>1062</v>
      </c>
      <c r="C28" s="293">
        <f>ROUND((C5+C19+C20)*F27*'数据-取费表'!B21/'数据-取费表'!B20,0)</f>
        <v>4727</v>
      </c>
      <c r="D28" s="279"/>
      <c r="E28" s="280"/>
      <c r="F28" s="290"/>
      <c r="G28" s="291"/>
    </row>
    <row r="29" spans="1:7" s="258" customFormat="1" ht="13.5" customHeight="1">
      <c r="A29" s="951" t="s">
        <v>792</v>
      </c>
      <c r="B29" s="292" t="s">
        <v>1063</v>
      </c>
      <c r="C29" s="282">
        <f>ROUND(C21*F27*'数据-取费表'!B21/'数据-取费表'!B20,4)</f>
        <v>6.0000000000000001E-3</v>
      </c>
      <c r="D29" s="279"/>
      <c r="E29" s="280"/>
      <c r="F29" s="290"/>
      <c r="G29" s="291"/>
    </row>
    <row r="30" spans="1:7" s="258" customFormat="1" ht="13.5" customHeight="1">
      <c r="A30" s="948" t="s">
        <v>788</v>
      </c>
      <c r="B30" s="254" t="s">
        <v>58</v>
      </c>
      <c r="C30" s="279">
        <f>F30</f>
        <v>6.0499999999999998E-2</v>
      </c>
      <c r="D30" s="280" t="s">
        <v>127</v>
      </c>
      <c r="E30" s="285"/>
      <c r="F30" s="281">
        <f>'数据-取费表'!B41</f>
        <v>6.0499999999999998E-2</v>
      </c>
      <c r="G30" s="278" t="s">
        <v>113</v>
      </c>
    </row>
    <row r="31" spans="1:7" ht="16.5" customHeight="1">
      <c r="A31" s="253">
        <v>1</v>
      </c>
      <c r="B31" s="254" t="s">
        <v>128</v>
      </c>
      <c r="C31" s="255">
        <f ca="1">ROUND((C5+C19+C20+C22+C27)/(1-C21-D22-D27-C30/(1+'数据-取费表'!B42)),0)</f>
        <v>35206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57332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52625</v>
      </c>
      <c r="D34" s="261"/>
      <c r="E34" s="264"/>
      <c r="F34" s="301">
        <f>IF('数据-取费表'!B24=0,1,'数据-取费表'!N16)</f>
        <v>1</v>
      </c>
      <c r="G34" s="263" t="s">
        <v>116</v>
      </c>
    </row>
    <row r="35" spans="1:7" ht="13.5" customHeight="1">
      <c r="A35" s="951" t="s">
        <v>796</v>
      </c>
      <c r="B35" s="259" t="s">
        <v>60</v>
      </c>
      <c r="C35" s="264">
        <f>ROUND(C34*F35,0)</f>
        <v>1579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2339</v>
      </c>
      <c r="D37" s="261">
        <f>'数据-汇总表'!E3</f>
        <v>116944.15</v>
      </c>
      <c r="E37" s="293">
        <f>'数据-取费表'!B35</f>
        <v>200</v>
      </c>
      <c r="F37" s="303"/>
      <c r="G37" s="305" t="s">
        <v>119</v>
      </c>
    </row>
    <row r="38" spans="1:7" ht="13.5" customHeight="1">
      <c r="A38" s="951" t="s">
        <v>799</v>
      </c>
      <c r="B38" s="259" t="s">
        <v>63</v>
      </c>
      <c r="C38" s="264">
        <f>ROUND(C34*F38,0)</f>
        <v>789</v>
      </c>
      <c r="D38" s="264"/>
      <c r="E38" s="264"/>
      <c r="F38" s="303">
        <f>'数据-取费表'!B36</f>
        <v>1.4999999999999999E-2</v>
      </c>
      <c r="G38" s="263" t="s">
        <v>117</v>
      </c>
    </row>
    <row r="39" spans="1:7" s="258" customFormat="1" ht="13.5" customHeight="1">
      <c r="A39" s="948" t="s">
        <v>783</v>
      </c>
      <c r="B39" s="254" t="s">
        <v>104</v>
      </c>
      <c r="C39" s="276">
        <f>ROUND(C33*F20,0)</f>
        <v>1720</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4257</v>
      </c>
      <c r="D41" s="279">
        <f ca="1">C44</f>
        <v>2.2000000000000001E-3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4133</v>
      </c>
      <c r="D42" s="282"/>
      <c r="E42" s="282"/>
      <c r="F42" s="283"/>
      <c r="G42" s="3171" t="s">
        <v>121</v>
      </c>
    </row>
    <row r="43" spans="1:7" ht="13.5" customHeight="1">
      <c r="A43" s="951" t="s">
        <v>792</v>
      </c>
      <c r="B43" s="259" t="s">
        <v>1064</v>
      </c>
      <c r="C43" s="282">
        <f ca="1">ROUND(IF('数据-取费表'!B22&lt;=1,C39*F22*'数据-取费表'!B21/2,C39*(POWER((1+F22),'数据-取费表'!B21/2)-1)),0)</f>
        <v>124</v>
      </c>
      <c r="D43" s="282"/>
      <c r="E43" s="282"/>
      <c r="F43" s="283"/>
      <c r="G43" s="3172"/>
    </row>
    <row r="44" spans="1:7" ht="13.5" customHeight="1">
      <c r="A44" s="951" t="s">
        <v>793</v>
      </c>
      <c r="B44" s="259" t="s">
        <v>1066</v>
      </c>
      <c r="C44" s="282">
        <f ca="1">ROUND(IF('数据-取费表'!B22&lt;=1,C40*F22*'数据-取费表'!B21/2,C40*(POWER((1+F22),'数据-取费表'!B21/2)-1)),4)</f>
        <v>2.2000000000000001E-3</v>
      </c>
      <c r="D44" s="282"/>
      <c r="E44" s="282"/>
      <c r="F44" s="283"/>
      <c r="G44" s="3173"/>
    </row>
    <row r="45" spans="1:7" s="258" customFormat="1" ht="13.5" customHeight="1">
      <c r="A45" s="948" t="s">
        <v>786</v>
      </c>
      <c r="B45" s="288" t="s">
        <v>112</v>
      </c>
      <c r="C45" s="289">
        <f>C46</f>
        <v>11810</v>
      </c>
      <c r="D45" s="279">
        <f>C47</f>
        <v>6.0000000000000001E-3</v>
      </c>
      <c r="E45" s="280" t="s">
        <v>129</v>
      </c>
      <c r="F45" s="290"/>
      <c r="G45" s="291" t="s">
        <v>1072</v>
      </c>
    </row>
    <row r="46" spans="1:7" s="258" customFormat="1" ht="13.5" customHeight="1">
      <c r="A46" s="951" t="s">
        <v>794</v>
      </c>
      <c r="B46" s="292" t="s">
        <v>1065</v>
      </c>
      <c r="C46" s="293">
        <f>ROUND((C33+C39)*F27,0)</f>
        <v>11810</v>
      </c>
      <c r="D46" s="307"/>
      <c r="E46" s="280"/>
      <c r="F46" s="290"/>
      <c r="G46" s="291"/>
    </row>
    <row r="47" spans="1:7" s="258" customFormat="1" ht="13.5" customHeight="1">
      <c r="A47" s="951" t="s">
        <v>792</v>
      </c>
      <c r="B47" s="292" t="s">
        <v>1067</v>
      </c>
      <c r="C47" s="282">
        <f>ROUND(C40*F27,4)</f>
        <v>6.0000000000000001E-3</v>
      </c>
      <c r="D47" s="307"/>
      <c r="E47" s="280"/>
      <c r="F47" s="290"/>
      <c r="G47" s="291"/>
    </row>
    <row r="48" spans="1:7" s="258" customFormat="1" ht="13.5" customHeight="1">
      <c r="A48" s="948" t="s">
        <v>787</v>
      </c>
      <c r="B48" s="254" t="s">
        <v>122</v>
      </c>
      <c r="C48" s="306">
        <f>F30</f>
        <v>6.0499999999999998E-2</v>
      </c>
      <c r="D48" s="280" t="s">
        <v>130</v>
      </c>
      <c r="E48" s="276"/>
      <c r="F48" s="281"/>
      <c r="G48" s="278" t="s">
        <v>123</v>
      </c>
    </row>
    <row r="49" spans="1:7" ht="16.5" customHeight="1">
      <c r="A49" s="948" t="s">
        <v>788</v>
      </c>
      <c r="B49" s="254" t="s">
        <v>131</v>
      </c>
      <c r="C49" s="276">
        <f ca="1">ROUND((C33+C39+C41+C45)/(1-C40-D41-D45-C48/(1+'数据-取费表'!B42)),0)</f>
        <v>83055</v>
      </c>
      <c r="D49" s="276"/>
      <c r="E49" s="276"/>
      <c r="F49" s="308"/>
      <c r="G49" s="278" t="s">
        <v>1073</v>
      </c>
    </row>
    <row r="50" spans="1:7" s="302" customFormat="1" ht="24">
      <c r="A50" s="948" t="s">
        <v>789</v>
      </c>
      <c r="B50" s="254" t="s">
        <v>124</v>
      </c>
      <c r="C50" s="276"/>
      <c r="D50" s="276"/>
      <c r="E50" s="276"/>
      <c r="F50" s="308">
        <f>IF('数据-取费表'!B24=0,'数据-取费表'!N16,1)</f>
        <v>0.82499999999999996</v>
      </c>
      <c r="G50" s="291" t="s">
        <v>125</v>
      </c>
    </row>
    <row r="51" spans="1:7" ht="16.5" customHeight="1">
      <c r="A51" s="948" t="s">
        <v>790</v>
      </c>
      <c r="B51" s="254" t="s">
        <v>132</v>
      </c>
      <c r="C51" s="276">
        <f ca="1">ROUND(C49*F50,0)</f>
        <v>68520</v>
      </c>
      <c r="D51" s="276"/>
      <c r="E51" s="276"/>
      <c r="F51" s="308"/>
      <c r="G51" s="278" t="s">
        <v>64</v>
      </c>
    </row>
    <row r="52" spans="1:7" s="252" customFormat="1" ht="16.5" thickBot="1">
      <c r="A52" s="309" t="s">
        <v>65</v>
      </c>
      <c r="B52" s="310"/>
      <c r="C52" s="311">
        <f ca="1">C31+C51</f>
        <v>103726</v>
      </c>
      <c r="D52" s="310"/>
      <c r="E52" s="310"/>
      <c r="F52" s="310"/>
      <c r="G52" s="312"/>
    </row>
    <row r="55" spans="1:7" ht="15">
      <c r="B55" s="314" t="s">
        <v>66</v>
      </c>
      <c r="C55" s="315"/>
    </row>
    <row r="56" spans="1:7">
      <c r="B56" s="317" t="s">
        <v>67</v>
      </c>
      <c r="C56" s="318">
        <f ca="1">ROUND(C51/C52,3)</f>
        <v>0.66100000000000003</v>
      </c>
    </row>
    <row r="57" spans="1:7">
      <c r="B57" s="317" t="s">
        <v>68</v>
      </c>
      <c r="C57" s="319">
        <f ca="1">1-C56</f>
        <v>0.33899999999999997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21" t="s">
        <v>156</v>
      </c>
      <c r="B1" s="3321"/>
      <c r="C1" s="3321"/>
      <c r="D1" s="3321"/>
      <c r="E1" s="3321"/>
      <c r="F1" s="332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2" t="s">
        <v>169</v>
      </c>
      <c r="B2" s="3322"/>
      <c r="C2" s="3322"/>
      <c r="D2" s="3322"/>
      <c r="E2" s="3322"/>
      <c r="F2" s="332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1" t="s">
        <v>871</v>
      </c>
      <c r="B1" s="3321"/>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43070</v>
      </c>
      <c r="D1" s="1699" t="s">
        <v>1302</v>
      </c>
      <c r="E1" s="1694">
        <f>'数据-取费表'!B22</f>
        <v>3</v>
      </c>
      <c r="F1" s="1699" t="s">
        <v>1303</v>
      </c>
      <c r="G1" s="1695">
        <f ca="1">INDIRECT("d"&amp;$K$1)/100</f>
        <v>4.7500000000000001E-2</v>
      </c>
      <c r="H1" s="1699" t="s">
        <v>1333</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1643</v>
      </c>
      <c r="B2" s="3006" t="s">
        <v>1644</v>
      </c>
      <c r="C2" s="3006" t="s">
        <v>1645</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0"/>
      <c r="B3" s="3000"/>
      <c r="C3" s="3000"/>
      <c r="D3" s="1044" t="s">
        <v>1640</v>
      </c>
      <c r="E3" s="1044" t="s">
        <v>1646</v>
      </c>
      <c r="F3" s="1044" t="s">
        <v>1640</v>
      </c>
      <c r="G3" s="1044" t="s">
        <v>1641</v>
      </c>
      <c r="H3" s="1044" t="s">
        <v>1640</v>
      </c>
      <c r="I3" s="1044" t="s">
        <v>1641</v>
      </c>
    </row>
    <row r="4" spans="1:9" ht="15">
      <c r="A4" s="1972" t="str">
        <f>项目基本情况!S2</f>
        <v>房地产</v>
      </c>
      <c r="B4" s="1044">
        <f>项目基本情况!C17</f>
        <v>116944.15</v>
      </c>
      <c r="C4" s="1044">
        <f>项目基本情况!C18</f>
        <v>138145.20000000001</v>
      </c>
      <c r="D4" s="1044">
        <f ca="1">结果表!D118</f>
        <v>56907</v>
      </c>
      <c r="E4" s="1044">
        <f ca="1">结果表!E118</f>
        <v>4866</v>
      </c>
      <c r="F4" s="1044">
        <f ca="1">结果表!F118</f>
        <v>60913</v>
      </c>
      <c r="G4" s="1044">
        <f ca="1">结果表!G118</f>
        <v>5209</v>
      </c>
      <c r="H4" s="1044">
        <f ca="1">结果表!H118</f>
        <v>117820</v>
      </c>
      <c r="I4" s="1044">
        <f ca="1">结果表!I118</f>
        <v>10075</v>
      </c>
    </row>
    <row r="5" spans="1:9" ht="30" customHeight="1">
      <c r="A5" s="3000" t="s">
        <v>1642</v>
      </c>
      <c r="B5" s="3000"/>
      <c r="C5" s="3000"/>
      <c r="D5" s="3001" t="str">
        <f ca="1">结果表!D119</f>
        <v>伍亿陆仟玖佰零柒万元整</v>
      </c>
      <c r="E5" s="3001"/>
      <c r="F5" s="3001" t="str">
        <f ca="1">结果表!F119</f>
        <v>陆亿零玖佰壹拾叁万元整</v>
      </c>
      <c r="G5" s="3001"/>
      <c r="H5" s="3001" t="str">
        <f ca="1">结果表!H119</f>
        <v>壹拾壹亿柒仟捌佰贰拾万元整</v>
      </c>
      <c r="I5" s="3001"/>
    </row>
    <row r="6" spans="1:9" ht="15.75">
      <c r="A6" s="2999" t="str">
        <f>结果表!A120</f>
        <v>估价师知悉的法定优先受偿款</v>
      </c>
      <c r="B6" s="2999"/>
      <c r="C6" s="2999"/>
      <c r="D6" s="2999">
        <f>结果表!D120</f>
        <v>0</v>
      </c>
      <c r="E6" s="2999"/>
      <c r="F6" s="2999"/>
      <c r="G6" s="2999"/>
      <c r="H6" s="2999"/>
      <c r="I6" s="2999"/>
    </row>
    <row r="7" spans="1:9" ht="15">
      <c r="A7" s="3000" t="s">
        <v>1642</v>
      </c>
      <c r="B7" s="3000"/>
      <c r="C7" s="3000"/>
      <c r="D7" s="3002" t="str">
        <f>结果表!D121</f>
        <v>零元整</v>
      </c>
      <c r="E7" s="3003"/>
      <c r="F7" s="3003"/>
      <c r="G7" s="3003"/>
      <c r="H7" s="3003"/>
      <c r="I7" s="3004"/>
    </row>
    <row r="8" spans="1:9" ht="15.75">
      <c r="A8" s="2999" t="str">
        <f>结果表!A122</f>
        <v>房地产抵押价值</v>
      </c>
      <c r="B8" s="2999"/>
      <c r="C8" s="2999"/>
      <c r="D8" s="2999">
        <f ca="1">结果表!D122</f>
        <v>117820</v>
      </c>
      <c r="E8" s="2999"/>
      <c r="F8" s="2999"/>
      <c r="G8" s="2999"/>
      <c r="H8" s="2999"/>
      <c r="I8" s="2999"/>
    </row>
    <row r="9" spans="1:9" ht="15">
      <c r="A9" s="3000" t="s">
        <v>1642</v>
      </c>
      <c r="B9" s="3000"/>
      <c r="C9" s="3000"/>
      <c r="D9" s="3001" t="str">
        <f ca="1">结果表!D123</f>
        <v>壹拾壹亿柒仟捌佰贰拾万元整</v>
      </c>
      <c r="E9" s="3001"/>
      <c r="F9" s="3001"/>
      <c r="G9" s="3001"/>
      <c r="H9" s="3001"/>
      <c r="I9" s="3001"/>
    </row>
    <row r="10" spans="1:9" ht="15.75">
      <c r="A10" s="2999" t="str">
        <f>结果表!A124</f>
        <v/>
      </c>
      <c r="B10" s="2999"/>
      <c r="C10" s="2999"/>
      <c r="D10" s="2999" t="str">
        <f>结果表!D124</f>
        <v>——</v>
      </c>
      <c r="E10" s="2999"/>
      <c r="F10" s="2999"/>
      <c r="G10" s="2999"/>
      <c r="H10" s="2999"/>
      <c r="I10" s="2999"/>
    </row>
    <row r="11" spans="1:9" ht="15">
      <c r="A11" s="3000" t="s">
        <v>1642</v>
      </c>
      <c r="B11" s="3000"/>
      <c r="C11" s="3000"/>
      <c r="D11" s="3001" t="e">
        <f>结果表!D125</f>
        <v>#VALUE!</v>
      </c>
      <c r="E11" s="3001"/>
      <c r="F11" s="3001"/>
      <c r="G11" s="3001"/>
      <c r="H11" s="3001"/>
      <c r="I11" s="3001"/>
    </row>
    <row r="12" spans="1:9" ht="15.75">
      <c r="A12" s="2999" t="str">
        <f>结果表!A126</f>
        <v/>
      </c>
      <c r="B12" s="2999"/>
      <c r="C12" s="2999"/>
      <c r="D12" s="2999" t="str">
        <f>结果表!D126</f>
        <v>——</v>
      </c>
      <c r="E12" s="2999"/>
      <c r="F12" s="2999"/>
      <c r="G12" s="2999"/>
      <c r="H12" s="2999"/>
      <c r="I12" s="2999"/>
    </row>
    <row r="13" spans="1:9" ht="15.75" thickBot="1">
      <c r="A13" s="2996" t="s">
        <v>1642</v>
      </c>
      <c r="B13" s="2996"/>
      <c r="C13" s="2996"/>
      <c r="D13" s="2997" t="e">
        <f>结果表!D127</f>
        <v>#VALUE!</v>
      </c>
      <c r="E13" s="2997"/>
      <c r="F13" s="2997"/>
      <c r="G13" s="2997"/>
      <c r="H13" s="2997"/>
      <c r="I13" s="2997"/>
    </row>
    <row r="14" spans="1:9" ht="15" thickTop="1">
      <c r="A14" s="2998" t="s">
        <v>1647</v>
      </c>
      <c r="B14" s="2998"/>
      <c r="C14" s="2998"/>
      <c r="D14" s="2998"/>
      <c r="E14" s="2998"/>
      <c r="F14" s="2998"/>
      <c r="G14" s="2998"/>
      <c r="H14" s="2998"/>
      <c r="I14" s="2998"/>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3" t="s">
        <v>1664</v>
      </c>
      <c r="B1" s="3013"/>
      <c r="C1" s="3013"/>
      <c r="D1" s="3013"/>
    </row>
    <row r="2" spans="1:4" ht="18">
      <c r="A2" s="3014" t="s">
        <v>1648</v>
      </c>
      <c r="B2" s="3014"/>
      <c r="C2" s="3014"/>
      <c r="D2" s="3014"/>
    </row>
    <row r="3" spans="1:4" ht="18.75">
      <c r="A3" s="1976" t="s">
        <v>1649</v>
      </c>
      <c r="B3" s="1976" t="s">
        <v>1650</v>
      </c>
      <c r="C3" s="1976" t="s">
        <v>1651</v>
      </c>
      <c r="D3" s="1976" t="s">
        <v>1652</v>
      </c>
    </row>
    <row r="4" spans="1:4" ht="56.25" customHeight="1">
      <c r="A4" s="1977" t="str">
        <f>项目基本情况!B4</f>
        <v>刘梅</v>
      </c>
      <c r="B4" s="1978">
        <f ca="1">项目基本情况!C4</f>
        <v>1120140022</v>
      </c>
      <c r="C4" s="1979"/>
      <c r="D4" s="1980" t="s">
        <v>1653</v>
      </c>
    </row>
    <row r="5" spans="1:4" ht="56.25" customHeight="1">
      <c r="A5" s="1977" t="str">
        <f>项目基本情况!D4</f>
        <v>吴薇</v>
      </c>
      <c r="B5" s="1978">
        <f ca="1">项目基本情况!E4</f>
        <v>1419970001</v>
      </c>
      <c r="C5" s="1981"/>
      <c r="D5" s="1980" t="s">
        <v>1653</v>
      </c>
    </row>
    <row r="6" spans="1:4" ht="18">
      <c r="A6" s="3014" t="s">
        <v>1654</v>
      </c>
      <c r="B6" s="3014"/>
      <c r="C6" s="3014"/>
      <c r="D6" s="3014"/>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15" t="s">
        <v>1657</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2"/>
      <c r="C12" s="3012"/>
      <c r="D12" s="3012"/>
    </row>
    <row r="13" spans="1:4" ht="30" customHeight="1">
      <c r="A13" s="3007" t="str">
        <f>IF(项目基本情况!B8="抵押","3.抵押双方在办理抵押登记手续时，应使用本公司出具的正式《房地产评估报告》，特提醒报告使用者注意。","——")</f>
        <v>——</v>
      </c>
      <c r="B13" s="3012"/>
      <c r="C13" s="3012"/>
      <c r="D13" s="3012"/>
    </row>
    <row r="14" spans="1:4" ht="15.75" customHeight="1">
      <c r="A14" s="3007" t="str">
        <f>IF(项目基本情况!B8="抵押","4.本次评估估价师所知悉的法定优先受偿款情况说明如下：","——")</f>
        <v>——</v>
      </c>
      <c r="B14" s="3012"/>
      <c r="C14" s="3012"/>
      <c r="D14" s="3012"/>
    </row>
    <row r="15" spans="1:4" ht="42" customHeight="1">
      <c r="A15" s="3007" t="str">
        <f>IF(项目基本情况!B8="抵押","（1）"&amp;CONCATENATE(项目基本情况!L20,项目基本情况!L21,项目基本情况!L22),"——")</f>
        <v>——</v>
      </c>
      <c r="B15" s="3007"/>
      <c r="C15" s="3007"/>
      <c r="D15" s="3007"/>
    </row>
    <row r="16" spans="1:4" ht="30" customHeight="1">
      <c r="A16" s="3009" t="s">
        <v>1658</v>
      </c>
      <c r="B16" s="3009"/>
      <c r="C16" s="3009"/>
      <c r="D16" s="3009"/>
    </row>
    <row r="17" spans="1:4" ht="144" customHeight="1">
      <c r="A17" s="3009" t="s">
        <v>1659</v>
      </c>
      <c r="B17" s="3009"/>
      <c r="C17" s="3009"/>
      <c r="D17" s="3009"/>
    </row>
    <row r="18" spans="1:4" ht="15.75" customHeight="1">
      <c r="A18" s="3007" t="str">
        <f>IF(项目基本情况!B8="抵押",结果表!K120,"——")</f>
        <v>——</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1660</v>
      </c>
      <c r="B22" s="3011"/>
      <c r="C22" s="3011"/>
      <c r="D22" s="3011"/>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15" sqref="F15"/>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21" t="s">
        <v>1671</v>
      </c>
      <c r="B15" s="3016" t="s">
        <v>136</v>
      </c>
      <c r="C15" s="3017"/>
    </row>
    <row r="16" spans="1:7" ht="13.5">
      <c r="A16" s="3022"/>
      <c r="B16" s="3016" t="s">
        <v>69</v>
      </c>
      <c r="C16" s="3017"/>
    </row>
    <row r="17" spans="1:3" ht="13.5">
      <c r="A17" s="3022"/>
      <c r="B17" s="3019" t="s">
        <v>1672</v>
      </c>
      <c r="C17" s="1999" t="s">
        <v>1671</v>
      </c>
    </row>
    <row r="18" spans="1:3" ht="13.5">
      <c r="A18" s="3022"/>
      <c r="B18" s="3019"/>
      <c r="C18" s="1999" t="s">
        <v>1673</v>
      </c>
    </row>
    <row r="19" spans="1:3" ht="13.5">
      <c r="A19" s="3022"/>
      <c r="B19" s="3019"/>
      <c r="C19" s="1999" t="s">
        <v>1674</v>
      </c>
    </row>
    <row r="20" spans="1:3" ht="13.5">
      <c r="A20" s="3023"/>
      <c r="B20" s="3018" t="s">
        <v>1675</v>
      </c>
      <c r="C20" s="3017"/>
    </row>
    <row r="21" spans="1:3" ht="13.5">
      <c r="A21" s="2000" t="s">
        <v>1676</v>
      </c>
      <c r="B21" s="2001"/>
      <c r="C21" s="2002"/>
    </row>
    <row r="22" spans="1:3" ht="13.5">
      <c r="A22" s="3020" t="s">
        <v>1677</v>
      </c>
      <c r="B22" s="3018" t="s">
        <v>1678</v>
      </c>
      <c r="C22" s="3017"/>
    </row>
    <row r="23" spans="1:3" ht="13.5">
      <c r="A23" s="3020"/>
      <c r="B23" s="3018" t="s">
        <v>1679</v>
      </c>
      <c r="C23" s="3017"/>
    </row>
    <row r="24" spans="1:3" ht="13.5">
      <c r="A24" s="3020"/>
      <c r="B24" s="3018" t="s">
        <v>1680</v>
      </c>
      <c r="C24" s="3017"/>
    </row>
    <row r="25" spans="1:3" ht="13.5">
      <c r="A25" s="3020"/>
      <c r="B25" s="3019" t="s">
        <v>1681</v>
      </c>
      <c r="C25" s="1999" t="s">
        <v>1682</v>
      </c>
    </row>
    <row r="26" spans="1:3" ht="13.5">
      <c r="A26" s="3020"/>
      <c r="B26" s="3019"/>
      <c r="C26" s="1999" t="s">
        <v>1683</v>
      </c>
    </row>
    <row r="27" spans="1:3" ht="13.5">
      <c r="A27" s="3020"/>
      <c r="B27" s="3019"/>
      <c r="C27" s="1999" t="s">
        <v>1684</v>
      </c>
    </row>
    <row r="28" spans="1:3" ht="13.5">
      <c r="A28" s="3020"/>
      <c r="B28" s="3019"/>
      <c r="C28" s="1999" t="s">
        <v>1685</v>
      </c>
    </row>
    <row r="29" spans="1:3" ht="13.5">
      <c r="A29" s="3020"/>
      <c r="B29" s="3019"/>
      <c r="C29" s="1999" t="s">
        <v>1686</v>
      </c>
    </row>
    <row r="30" spans="1:3" ht="13.5">
      <c r="A30" s="3020"/>
      <c r="B30" s="3019"/>
      <c r="C30" s="1999" t="s">
        <v>1687</v>
      </c>
    </row>
    <row r="31" spans="1:3" ht="13.5">
      <c r="A31" s="3020"/>
      <c r="B31" s="3019"/>
      <c r="C31" s="1999" t="s">
        <v>1688</v>
      </c>
    </row>
    <row r="32" spans="1:3" ht="13.5">
      <c r="A32" s="3020"/>
      <c r="B32" s="3019"/>
      <c r="C32" s="1999" t="s">
        <v>1689</v>
      </c>
    </row>
    <row r="33" spans="1:3" ht="13.5">
      <c r="A33" s="3020"/>
      <c r="B33" s="3019"/>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43077</v>
      </c>
      <c r="C2" s="1019" t="s">
        <v>826</v>
      </c>
      <c r="D2" s="1019"/>
    </row>
    <row r="3" spans="1:6" ht="24" customHeight="1">
      <c r="A3" s="1020" t="s">
        <v>827</v>
      </c>
      <c r="B3" s="1021" t="s">
        <v>828</v>
      </c>
      <c r="C3" s="2347" t="s">
        <v>829</v>
      </c>
      <c r="D3" s="2350" t="s">
        <v>830</v>
      </c>
      <c r="E3" s="1022" t="s">
        <v>831</v>
      </c>
      <c r="F3" s="1021" t="s">
        <v>829</v>
      </c>
    </row>
    <row r="4" spans="1:6" ht="24" customHeight="1">
      <c r="A4" s="1701" t="s">
        <v>832</v>
      </c>
      <c r="B4" s="1022">
        <f ca="1">IF(C4&lt;B2,"已过期",1119970066)</f>
        <v>1119970066</v>
      </c>
      <c r="C4" s="2348">
        <v>43849</v>
      </c>
      <c r="D4" s="2351" t="s">
        <v>832</v>
      </c>
      <c r="E4" s="1022">
        <f ca="1">IF(F4&lt;B2,"已过期",96010014)</f>
        <v>96010014</v>
      </c>
      <c r="F4" s="1030">
        <v>47118</v>
      </c>
    </row>
    <row r="5" spans="1:6" ht="24" customHeight="1">
      <c r="A5" s="1701" t="s">
        <v>833</v>
      </c>
      <c r="B5" s="1022">
        <f ca="1">IF(C5&lt;B2,"已过期",1119970074)</f>
        <v>1119970074</v>
      </c>
      <c r="C5" s="2348">
        <v>43849</v>
      </c>
      <c r="D5" s="2351" t="s">
        <v>833</v>
      </c>
      <c r="E5" s="1022">
        <f ca="1">IF(F5&lt;B2,"已过期",2002110027)</f>
        <v>2002110027</v>
      </c>
      <c r="F5" s="1030">
        <v>46752</v>
      </c>
    </row>
    <row r="6" spans="1:6" ht="24" customHeight="1">
      <c r="A6" s="1701" t="s">
        <v>834</v>
      </c>
      <c r="B6" s="1022">
        <f ca="1">IF(C6&lt;B2,"已过期",1119970111)</f>
        <v>1119970111</v>
      </c>
      <c r="C6" s="2348">
        <v>43849</v>
      </c>
      <c r="D6" s="2351" t="s">
        <v>834</v>
      </c>
      <c r="E6" s="1022">
        <f ca="1">IF(F6&lt;B2,"已过期",94010078)</f>
        <v>94010078</v>
      </c>
      <c r="F6" s="1030">
        <v>46387</v>
      </c>
    </row>
    <row r="7" spans="1:6" ht="24" customHeight="1">
      <c r="A7" s="1701" t="s">
        <v>835</v>
      </c>
      <c r="B7" s="1022">
        <f ca="1">IF(C7&lt;B2,"已过期",1120050019)</f>
        <v>1120050019</v>
      </c>
      <c r="C7" s="2348">
        <v>43359</v>
      </c>
      <c r="D7" s="2351" t="s">
        <v>835</v>
      </c>
      <c r="E7" s="1022">
        <f ca="1">IF(F7&lt;B2,"已过期",2002110030)</f>
        <v>2002110030</v>
      </c>
      <c r="F7" s="1030">
        <v>46387</v>
      </c>
    </row>
    <row r="8" spans="1:6" ht="24" customHeight="1">
      <c r="A8" s="1701" t="s">
        <v>836</v>
      </c>
      <c r="B8" s="1022">
        <f ca="1">IF(C8&lt;B2,"已过期",1120000080)</f>
        <v>1120000080</v>
      </c>
      <c r="C8" s="2348">
        <v>43849</v>
      </c>
      <c r="D8" s="2351" t="s">
        <v>836</v>
      </c>
      <c r="E8" s="1022">
        <f ca="1">IF(F8&lt;B2,"已过期",2000110082)</f>
        <v>2000110082</v>
      </c>
      <c r="F8" s="1030">
        <v>46387</v>
      </c>
    </row>
    <row r="9" spans="1:6" ht="24" customHeight="1">
      <c r="A9" s="1701" t="s">
        <v>837</v>
      </c>
      <c r="B9" s="1022">
        <f ca="1">IF(C9&lt;B2,"已过期",1419970001)</f>
        <v>1419970001</v>
      </c>
      <c r="C9" s="2348">
        <v>43867</v>
      </c>
      <c r="D9" s="2351" t="s">
        <v>837</v>
      </c>
      <c r="E9" s="1022">
        <f ca="1">IF(F9&lt;B2,"已过期",2002110125)</f>
        <v>2002110125</v>
      </c>
      <c r="F9" s="1030">
        <v>47118</v>
      </c>
    </row>
    <row r="10" spans="1:6" ht="24" customHeight="1">
      <c r="A10" s="1701" t="s">
        <v>838</v>
      </c>
      <c r="B10" s="1022">
        <f ca="1">IF(C10&lt;B2,"已过期",1120060040)</f>
        <v>1120060040</v>
      </c>
      <c r="C10" s="2348">
        <v>43483</v>
      </c>
      <c r="D10" s="2351" t="s">
        <v>838</v>
      </c>
      <c r="E10" s="1022">
        <f ca="1">IF(F10&lt;B2,"已过期",2004110096)</f>
        <v>2004110096</v>
      </c>
      <c r="F10" s="1030">
        <v>47118</v>
      </c>
    </row>
    <row r="11" spans="1:6" ht="24" customHeight="1">
      <c r="A11" s="1701" t="s">
        <v>839</v>
      </c>
      <c r="B11" s="1022">
        <f ca="1">IF(C11&lt;B2,"已过期",1120100036)</f>
        <v>1120100036</v>
      </c>
      <c r="C11" s="2348">
        <v>43622</v>
      </c>
      <c r="D11" s="2351" t="s">
        <v>839</v>
      </c>
      <c r="E11" s="1022">
        <f ca="1">IF(F11&lt;B2,"已过期",2010110070)</f>
        <v>2010110070</v>
      </c>
      <c r="F11" s="1030">
        <v>47907</v>
      </c>
    </row>
    <row r="12" spans="1:6" ht="24" customHeight="1">
      <c r="A12" s="1701"/>
      <c r="B12" s="1022"/>
      <c r="C12" s="2348"/>
      <c r="D12" s="2351"/>
      <c r="E12" s="1022"/>
      <c r="F12" s="1022"/>
    </row>
    <row r="13" spans="1:6" ht="24" customHeight="1">
      <c r="A13" s="1701" t="s">
        <v>840</v>
      </c>
      <c r="B13" s="1022">
        <f ca="1">IF(C13&lt;B2,"已过期",1120070131)</f>
        <v>1120070131</v>
      </c>
      <c r="C13" s="2348">
        <v>43814</v>
      </c>
      <c r="D13" s="2351" t="s">
        <v>840</v>
      </c>
      <c r="E13" s="1022">
        <v>2014110011</v>
      </c>
      <c r="F13" s="1030">
        <v>49302</v>
      </c>
    </row>
    <row r="14" spans="1:6" ht="24" customHeight="1">
      <c r="A14" s="1701" t="s">
        <v>841</v>
      </c>
      <c r="B14" s="1022">
        <f ca="1">IF(C14&lt;B2,"已过期",1120130020)</f>
        <v>1120130020</v>
      </c>
      <c r="C14" s="2348">
        <v>43622</v>
      </c>
      <c r="D14" s="2351"/>
      <c r="E14" s="1022"/>
      <c r="F14" s="1022"/>
    </row>
    <row r="15" spans="1:6" ht="24" customHeight="1">
      <c r="A15" s="1702" t="s">
        <v>1149</v>
      </c>
      <c r="B15" s="1022">
        <v>1120070085</v>
      </c>
      <c r="C15" s="2348">
        <v>43814</v>
      </c>
      <c r="D15" s="2352" t="s">
        <v>1149</v>
      </c>
      <c r="E15" s="1022">
        <v>2004110128</v>
      </c>
      <c r="F15" s="1023">
        <v>47118</v>
      </c>
    </row>
    <row r="16" spans="1:6" ht="24" customHeight="1">
      <c r="A16" s="1701" t="s">
        <v>842</v>
      </c>
      <c r="B16" s="1022">
        <f ca="1">IF(C16&lt;B2,"已过期",1120140022)</f>
        <v>1120140022</v>
      </c>
      <c r="C16" s="2348">
        <v>44029</v>
      </c>
      <c r="D16" s="2351" t="s">
        <v>842</v>
      </c>
      <c r="E16" s="1022">
        <f ca="1">IF(F16&lt;B2,"已过期",2008110059)</f>
        <v>2008110059</v>
      </c>
      <c r="F16" s="1030">
        <v>47177</v>
      </c>
    </row>
    <row r="17" spans="1:7" ht="24" customHeight="1">
      <c r="A17" s="1701"/>
      <c r="B17" s="1022"/>
      <c r="C17" s="2348"/>
      <c r="D17" s="2351"/>
      <c r="E17" s="1022"/>
      <c r="F17" s="1030"/>
    </row>
    <row r="18" spans="1:7" ht="24" customHeight="1">
      <c r="A18" s="1701"/>
      <c r="B18" s="1022"/>
      <c r="C18" s="2348"/>
      <c r="D18" s="2351"/>
      <c r="E18" s="1022"/>
      <c r="F18" s="1030"/>
    </row>
    <row r="19" spans="1:7" ht="24" customHeight="1">
      <c r="A19" s="1701"/>
      <c r="B19" s="1022"/>
      <c r="C19" s="2348"/>
      <c r="D19" s="2351"/>
      <c r="E19" s="1022"/>
      <c r="F19" s="1022"/>
    </row>
    <row r="20" spans="1:7" ht="24" customHeight="1">
      <c r="A20" s="1701"/>
      <c r="B20" s="1022"/>
      <c r="C20" s="2348"/>
      <c r="D20" s="2351"/>
      <c r="E20" s="1022"/>
      <c r="F20" s="1022"/>
    </row>
    <row r="21" spans="1:7" ht="24" customHeight="1">
      <c r="A21" s="1701"/>
      <c r="B21" s="1022"/>
      <c r="C21" s="2348"/>
      <c r="D21" s="2351" t="s">
        <v>843</v>
      </c>
      <c r="E21" s="1022">
        <f ca="1">IF(F21&lt;B2,"已过期",2011110090)</f>
        <v>2011110090</v>
      </c>
      <c r="F21" s="1030">
        <v>48302</v>
      </c>
    </row>
    <row r="22" spans="1:7" ht="24" customHeight="1">
      <c r="A22" s="1701" t="s">
        <v>844</v>
      </c>
      <c r="B22" s="1022">
        <f ca="1">IF(C22&lt;B2,"已过期",1120020033)</f>
        <v>1120020033</v>
      </c>
      <c r="C22" s="2348">
        <v>43304</v>
      </c>
      <c r="D22" s="2351" t="s">
        <v>844</v>
      </c>
      <c r="E22" s="1022">
        <f ca="1">IF(F22&lt;B2,"已过期",2000110137)</f>
        <v>2000110137</v>
      </c>
      <c r="F22" s="1030">
        <v>46387</v>
      </c>
    </row>
    <row r="23" spans="1:7" ht="24" customHeight="1">
      <c r="A23" s="1701" t="s">
        <v>845</v>
      </c>
      <c r="B23" s="1022">
        <f ca="1">IF(C23&lt;B2,"已过期",1120130048)</f>
        <v>1120130048</v>
      </c>
      <c r="C23" s="2348">
        <v>43686</v>
      </c>
      <c r="D23" s="2351"/>
      <c r="E23" s="1022"/>
      <c r="F23" s="1022"/>
    </row>
    <row r="24" spans="1:7" s="1024" customFormat="1" ht="24" customHeight="1">
      <c r="A24" s="1702" t="s">
        <v>1334</v>
      </c>
      <c r="B24" s="1702" t="s">
        <v>1334</v>
      </c>
      <c r="C24" s="2349" t="s">
        <v>1334</v>
      </c>
      <c r="D24" s="2352" t="s">
        <v>1334</v>
      </c>
      <c r="E24" s="1702" t="s">
        <v>1334</v>
      </c>
      <c r="F24" s="1702" t="s">
        <v>1334</v>
      </c>
    </row>
    <row r="25" spans="1:7" ht="24" customHeight="1">
      <c r="A25" s="3024" t="s">
        <v>846</v>
      </c>
      <c r="B25" s="3024"/>
      <c r="C25" s="3024"/>
      <c r="D25" s="3024"/>
      <c r="E25" s="3024"/>
      <c r="F25" s="3024"/>
      <c r="G25" s="3024"/>
    </row>
    <row r="26" spans="1:7" s="1025" customFormat="1" ht="24" customHeight="1">
      <c r="A26" s="3025" t="s">
        <v>847</v>
      </c>
      <c r="B26" s="3025"/>
      <c r="C26" s="3026"/>
      <c r="D26" s="3027" t="s">
        <v>848</v>
      </c>
      <c r="E26" s="3025"/>
      <c r="F26" s="3025"/>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案例</vt:lpstr>
      <vt:lpstr>收益法（汇总）</vt:lpstr>
      <vt:lpstr>收益法-主楼</vt:lpstr>
      <vt:lpstr>收益法 (元)</vt:lpstr>
      <vt:lpstr>收益法别墅</vt:lpstr>
      <vt:lpstr>收益法-别墅</vt:lpstr>
      <vt:lpstr>收益法三期</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收益法别墅!Print_Area</vt:lpstr>
      <vt:lpstr>'收益法-别墅'!Print_Area</vt:lpstr>
      <vt:lpstr>收益法三期!Print_Area</vt:lpstr>
      <vt:lpstr>'收益法-主楼'!Print_Area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2017-12-08T03:24:41Z</dcterms:modified>
</cp:coreProperties>
</file>