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380昌平未来科学城项目\F02\2019.6.21调\"/>
    </mc:Choice>
  </mc:AlternateContent>
  <bookViews>
    <workbookView xWindow="11628" yWindow="48" windowWidth="11388" windowHeight="9588" tabRatio="899" firstSheet="17"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Sheet1" sheetId="81" r:id="rId13"/>
    <sheet name="抵押物清单（分楼）" sheetId="42" state="hidden" r:id="rId14"/>
    <sheet name="数据-汇总表" sheetId="6" r:id="rId15"/>
    <sheet name="数据-取费表" sheetId="1" r:id="rId16"/>
    <sheet name="估价对象房地状况" sheetId="20" r:id="rId17"/>
    <sheet name="项目经济指标表" sheetId="77" r:id="rId18"/>
    <sheet name="系统读取表" sheetId="74" r:id="rId19"/>
    <sheet name="结果表" sheetId="9" r:id="rId20"/>
    <sheet name="成本法" sheetId="68" r:id="rId21"/>
    <sheet name="成本法 (元)" sheetId="69" state="hidden" r:id="rId22"/>
    <sheet name="假设开发法" sheetId="12" r:id="rId23"/>
    <sheet name="收益法-办公自持" sheetId="79" r:id="rId24"/>
    <sheet name="收益法-地下车库" sheetId="80" r:id="rId25"/>
    <sheet name="收益法-商业" sheetId="15" r:id="rId26"/>
    <sheet name="收益法 (元)" sheetId="67" state="hidden" r:id="rId27"/>
    <sheet name="收益法（汇总）" sheetId="70" state="hidden" r:id="rId28"/>
    <sheet name="酒店收入计算" sheetId="66" state="hidden" r:id="rId29"/>
    <sheet name="比较法-商业" sheetId="33" state="hidden" r:id="rId30"/>
    <sheet name="比较法-住宅" sheetId="21" r:id="rId31"/>
    <sheet name="比较法-办公" sheetId="34" r:id="rId32"/>
    <sheet name="比较法-工业" sheetId="37" state="hidden" r:id="rId33"/>
    <sheet name="比较法-车位" sheetId="35" state="hidden" r:id="rId34"/>
    <sheet name="比较法-仓储" sheetId="36" state="hidden" r:id="rId35"/>
    <sheet name="土地比较法-住宅、综合" sheetId="39" r:id="rId36"/>
    <sheet name="土地案例" sheetId="78" r:id="rId37"/>
    <sheet name="Sheet2" sheetId="82"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30"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5" hidden="1">'土地比较法-住宅、综合'!$A$1:$L$49</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'收益法-办公自持'!$A$1:$AK$69</definedName>
    <definedName name="_xlnm.Print_Area" localSheetId="24">'收益法-地下车库'!$A$1:$AK$69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'土地比较法-住宅、综合'!$A$74:$M$74</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8" i="9" l="1"/>
  <c r="S26" i="1"/>
  <c r="F15" i="81" l="1"/>
  <c r="F13" i="81" l="1"/>
  <c r="F12" i="81"/>
  <c r="F10" i="81"/>
  <c r="F6" i="81"/>
  <c r="F5" i="81"/>
  <c r="F4" i="81"/>
  <c r="E15" i="81"/>
  <c r="F7" i="81"/>
  <c r="F8" i="81"/>
  <c r="F9" i="81"/>
  <c r="F11" i="81"/>
  <c r="F14" i="81"/>
  <c r="G5" i="81"/>
  <c r="G6" i="81"/>
  <c r="G15" i="81" s="1"/>
  <c r="G7" i="81"/>
  <c r="G8" i="81"/>
  <c r="G9" i="81"/>
  <c r="G10" i="81"/>
  <c r="G11" i="81"/>
  <c r="G12" i="81"/>
  <c r="G13" i="81"/>
  <c r="G14" i="81"/>
  <c r="G4" i="81"/>
  <c r="N14" i="81"/>
  <c r="N11" i="81"/>
  <c r="N9" i="81"/>
  <c r="N8" i="81"/>
  <c r="N15" i="81" s="1"/>
  <c r="N7" i="81"/>
  <c r="H15" i="81"/>
  <c r="I15" i="81"/>
  <c r="J15" i="81"/>
  <c r="K15" i="81"/>
  <c r="L15" i="81"/>
  <c r="M15" i="81"/>
  <c r="O15" i="81"/>
  <c r="P15" i="81"/>
  <c r="Q15" i="81"/>
  <c r="L14" i="1" l="1"/>
  <c r="L11" i="1"/>
  <c r="L10" i="1"/>
  <c r="L9" i="1"/>
  <c r="L8" i="1"/>
  <c r="E88" i="39"/>
  <c r="D88" i="39"/>
  <c r="E104" i="21"/>
  <c r="F104" i="21" s="1"/>
  <c r="G104" i="21" s="1"/>
  <c r="H104" i="21" s="1"/>
  <c r="I104" i="21" s="1"/>
  <c r="D104" i="21"/>
  <c r="AC12" i="39"/>
  <c r="AB12" i="39"/>
  <c r="W12" i="39"/>
  <c r="U12" i="39"/>
  <c r="Q12" i="39"/>
  <c r="Z12" i="39" s="1"/>
  <c r="AA12" i="39"/>
  <c r="C5" i="34"/>
  <c r="F104" i="34"/>
  <c r="G104" i="34" s="1"/>
  <c r="H104" i="34" s="1"/>
  <c r="I104" i="34" s="1"/>
  <c r="J104" i="34" s="1"/>
  <c r="K104" i="34" s="1"/>
  <c r="E104" i="34"/>
  <c r="D105" i="34"/>
  <c r="E105" i="34" s="1"/>
  <c r="F105" i="34" s="1"/>
  <c r="G105" i="34" s="1"/>
  <c r="H105" i="34" s="1"/>
  <c r="I105" i="34" s="1"/>
  <c r="J105" i="34" s="1"/>
  <c r="K105" i="34" s="1"/>
  <c r="K10" i="34"/>
  <c r="M60" i="34"/>
  <c r="N60" i="34" s="1"/>
  <c r="K60" i="34"/>
  <c r="J60" i="34"/>
  <c r="H60" i="34"/>
  <c r="G60" i="34"/>
  <c r="D60" i="34"/>
  <c r="E60" i="34" s="1"/>
  <c r="S12" i="39" l="1"/>
  <c r="D119" i="39" l="1"/>
  <c r="E119" i="39" s="1"/>
  <c r="F119" i="39" s="1"/>
  <c r="G119" i="39" s="1"/>
  <c r="H119" i="39" s="1"/>
  <c r="I119" i="39" s="1"/>
  <c r="F118" i="39"/>
  <c r="G118" i="39" s="1"/>
  <c r="H118" i="39" s="1"/>
  <c r="I118" i="39" s="1"/>
  <c r="E118" i="39"/>
  <c r="I39" i="39"/>
  <c r="G39" i="39"/>
  <c r="E39" i="39"/>
  <c r="D72" i="39"/>
  <c r="E72" i="39" s="1"/>
  <c r="F72" i="39" s="1"/>
  <c r="G72" i="39" s="1"/>
  <c r="H72" i="39" s="1"/>
  <c r="I72" i="39" s="1"/>
  <c r="J72" i="39" s="1"/>
  <c r="K72" i="39" s="1"/>
  <c r="L72" i="39" s="1"/>
  <c r="M72" i="39" s="1"/>
  <c r="N72" i="39" s="1"/>
  <c r="O72" i="39" s="1"/>
  <c r="I47" i="39"/>
  <c r="G47" i="39"/>
  <c r="E47" i="39"/>
  <c r="I7" i="39"/>
  <c r="G7" i="39"/>
  <c r="E7" i="39"/>
  <c r="I5" i="39"/>
  <c r="G5" i="39"/>
  <c r="E5" i="39"/>
  <c r="F103" i="21" l="1"/>
  <c r="G103" i="21" s="1"/>
  <c r="H103" i="21" s="1"/>
  <c r="I103" i="21" s="1"/>
  <c r="E103" i="21"/>
  <c r="Q72" i="80" l="1"/>
  <c r="Q59" i="80"/>
  <c r="K59" i="80"/>
  <c r="P74" i="80" s="1"/>
  <c r="F59" i="80"/>
  <c r="Q58" i="80"/>
  <c r="Q51" i="80"/>
  <c r="J50" i="80"/>
  <c r="M47" i="80"/>
  <c r="D46" i="80"/>
  <c r="F33" i="80"/>
  <c r="F61" i="80" s="1"/>
  <c r="F31" i="80"/>
  <c r="F23" i="80"/>
  <c r="F21" i="80"/>
  <c r="F20" i="80"/>
  <c r="M19" i="80"/>
  <c r="F18" i="80"/>
  <c r="M17" i="80"/>
  <c r="F17" i="80"/>
  <c r="F15" i="80"/>
  <c r="Q72" i="79"/>
  <c r="Q59" i="79"/>
  <c r="K59" i="79"/>
  <c r="P74" i="79" s="1"/>
  <c r="F59" i="79"/>
  <c r="Q58" i="79"/>
  <c r="Q51" i="79"/>
  <c r="J50" i="79"/>
  <c r="M47" i="79"/>
  <c r="D46" i="79"/>
  <c r="F33" i="79"/>
  <c r="F61" i="79" s="1"/>
  <c r="F31" i="79"/>
  <c r="F23" i="79"/>
  <c r="F21" i="79"/>
  <c r="F20" i="79"/>
  <c r="M19" i="79"/>
  <c r="F18" i="79"/>
  <c r="M17" i="79"/>
  <c r="F17" i="79"/>
  <c r="F15" i="79"/>
  <c r="U20" i="1"/>
  <c r="D23" i="80" l="1"/>
  <c r="D22" i="80"/>
  <c r="D24" i="80"/>
  <c r="P61" i="80"/>
  <c r="D23" i="79"/>
  <c r="D22" i="79"/>
  <c r="D24" i="79"/>
  <c r="P61" i="79"/>
  <c r="N14" i="1" l="1"/>
  <c r="B21" i="1" s="1"/>
  <c r="N8" i="1"/>
  <c r="N10" i="1" s="1"/>
  <c r="N7" i="1"/>
  <c r="N9" i="1" s="1"/>
  <c r="N11" i="1" s="1"/>
  <c r="B17" i="77" l="1"/>
  <c r="B18" i="77" s="1"/>
  <c r="B15" i="77"/>
  <c r="F21" i="6"/>
  <c r="F24" i="6"/>
  <c r="C11" i="4"/>
  <c r="B25" i="77"/>
  <c r="A3" i="3" s="1"/>
  <c r="C39" i="39" s="1"/>
  <c r="C15" i="77" l="1"/>
  <c r="D15" i="77"/>
  <c r="D17" i="77" s="1"/>
  <c r="D18" i="77" s="1"/>
  <c r="L18" i="77" s="1"/>
  <c r="E15" i="77"/>
  <c r="E17" i="77" s="1"/>
  <c r="E18" i="77" s="1"/>
  <c r="G15" i="77"/>
  <c r="H15" i="77"/>
  <c r="J15" i="77"/>
  <c r="F15" i="77"/>
  <c r="K15" i="77"/>
  <c r="L7" i="77"/>
  <c r="L13" i="77"/>
  <c r="L14" i="77"/>
  <c r="I12" i="77" l="1"/>
  <c r="L4" i="77"/>
  <c r="L5" i="77"/>
  <c r="L6" i="77"/>
  <c r="L8" i="77"/>
  <c r="L9" i="77"/>
  <c r="L10" i="77"/>
  <c r="L11" i="77"/>
  <c r="L12" i="77"/>
  <c r="I15" i="77" l="1"/>
  <c r="L15" i="77" s="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7" i="39"/>
  <c r="E117" i="39"/>
  <c r="F117" i="39"/>
  <c r="G117" i="39"/>
  <c r="H117" i="39"/>
  <c r="I117" i="39"/>
  <c r="J117" i="39"/>
  <c r="K117" i="39"/>
  <c r="L117" i="39"/>
  <c r="M117" i="39"/>
  <c r="C117" i="39"/>
  <c r="A21" i="62"/>
  <c r="A20" i="62"/>
  <c r="B66" i="72" s="1"/>
  <c r="A22" i="51"/>
  <c r="A21" i="51"/>
  <c r="B16" i="72" s="1"/>
  <c r="A20" i="51"/>
  <c r="A15" i="62"/>
  <c r="A14" i="62"/>
  <c r="B60" i="72" s="1"/>
  <c r="A13" i="62"/>
  <c r="B59" i="72" s="1"/>
  <c r="A19" i="62"/>
  <c r="B65" i="72" s="1"/>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A10" i="52" s="1"/>
  <c r="B55" i="72" s="1"/>
  <c r="B44" i="72"/>
  <c r="B42" i="72"/>
  <c r="B69" i="72"/>
  <c r="B68" i="72"/>
  <c r="B63" i="72"/>
  <c r="B62" i="72"/>
  <c r="B67" i="72"/>
  <c r="B12" i="72"/>
  <c r="B10" i="72"/>
  <c r="C53" i="10"/>
  <c r="B51" i="10"/>
  <c r="B19" i="72"/>
  <c r="A18" i="51"/>
  <c r="B13" i="72" s="1"/>
  <c r="B49" i="48"/>
  <c r="B5" i="72" s="1"/>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D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Q25" i="71"/>
  <c r="AB25" i="71" s="1"/>
  <c r="P25" i="71"/>
  <c r="AA25" i="71" s="1"/>
  <c r="O25" i="71"/>
  <c r="N25" i="71"/>
  <c r="Q24" i="71"/>
  <c r="AB24" i="71" s="1"/>
  <c r="P24" i="71"/>
  <c r="AA24" i="71" s="1"/>
  <c r="O24" i="71"/>
  <c r="N24" i="71"/>
  <c r="Q23" i="71"/>
  <c r="P23" i="71"/>
  <c r="O23" i="71"/>
  <c r="N23" i="71"/>
  <c r="B24" i="71" s="1"/>
  <c r="D23" i="71"/>
  <c r="Q22" i="71"/>
  <c r="P22" i="71"/>
  <c r="O22" i="71"/>
  <c r="N22" i="71"/>
  <c r="Q21" i="71"/>
  <c r="AB21" i="71" s="1"/>
  <c r="P21" i="71"/>
  <c r="O21" i="71"/>
  <c r="N21" i="71"/>
  <c r="Q20" i="71"/>
  <c r="P20" i="71"/>
  <c r="AA20" i="71" s="1"/>
  <c r="O20" i="71"/>
  <c r="Y20" i="71"/>
  <c r="Z20" i="71" s="1"/>
  <c r="N20" i="71"/>
  <c r="Q19" i="71"/>
  <c r="F20" i="71" s="1"/>
  <c r="F21" i="71" s="1"/>
  <c r="F22" i="71" s="1"/>
  <c r="V22" i="71" s="1"/>
  <c r="P19" i="71"/>
  <c r="O19" i="71"/>
  <c r="N19" i="71"/>
  <c r="D19" i="71"/>
  <c r="Q18" i="71"/>
  <c r="P18" i="71"/>
  <c r="O18" i="71"/>
  <c r="Y18" i="71"/>
  <c r="Z18" i="71" s="1"/>
  <c r="N18" i="71"/>
  <c r="Q17" i="71"/>
  <c r="P17" i="71"/>
  <c r="O17" i="71"/>
  <c r="N17" i="71"/>
  <c r="Q16" i="71"/>
  <c r="P16" i="71"/>
  <c r="E17" i="71" s="1"/>
  <c r="E18" i="71" s="1"/>
  <c r="U18" i="71" s="1"/>
  <c r="O16" i="71"/>
  <c r="N16" i="71"/>
  <c r="Q15" i="71"/>
  <c r="P15" i="71"/>
  <c r="E16" i="71" s="1"/>
  <c r="O15" i="71"/>
  <c r="C16" i="71" s="1"/>
  <c r="D16" i="71" s="1"/>
  <c r="N15" i="71"/>
  <c r="D15" i="71"/>
  <c r="O14" i="71"/>
  <c r="C14" i="71" s="1"/>
  <c r="N14" i="71"/>
  <c r="B16" i="71"/>
  <c r="B17" i="71" s="1"/>
  <c r="B20" i="71"/>
  <c r="B21" i="71" s="1"/>
  <c r="B22" i="71" s="1"/>
  <c r="S22" i="71" s="1"/>
  <c r="B25" i="71"/>
  <c r="B26" i="71" s="1"/>
  <c r="S26" i="71" s="1"/>
  <c r="E24" i="71"/>
  <c r="E25" i="71" s="1"/>
  <c r="E26" i="71" s="1"/>
  <c r="U26" i="71" s="1"/>
  <c r="AA23" i="71"/>
  <c r="N54" i="71"/>
  <c r="E20" i="71"/>
  <c r="AA19" i="71"/>
  <c r="C24" i="71"/>
  <c r="X24" i="71"/>
  <c r="F37" i="71"/>
  <c r="F38" i="71" s="1"/>
  <c r="V38" i="71" s="1"/>
  <c r="B14" i="71"/>
  <c r="C17" i="71"/>
  <c r="C29" i="71"/>
  <c r="C30" i="71" s="1"/>
  <c r="C33" i="71"/>
  <c r="D33" i="71" s="1"/>
  <c r="D32" i="71"/>
  <c r="C37" i="71"/>
  <c r="D36" i="71"/>
  <c r="P14" i="71"/>
  <c r="E41" i="71"/>
  <c r="E42" i="71" s="1"/>
  <c r="U42" i="71" s="1"/>
  <c r="E49" i="71"/>
  <c r="E50" i="71" s="1"/>
  <c r="U50" i="71" s="1"/>
  <c r="U54" i="71"/>
  <c r="E53" i="71"/>
  <c r="Q14" i="71"/>
  <c r="C41" i="71"/>
  <c r="C45" i="71"/>
  <c r="C46" i="71" s="1"/>
  <c r="D44" i="71"/>
  <c r="N53" i="71"/>
  <c r="B52" i="71"/>
  <c r="T54" i="71"/>
  <c r="Q54" i="71"/>
  <c r="C57" i="71"/>
  <c r="E57" i="71"/>
  <c r="E56" i="71" s="1"/>
  <c r="D58" i="71"/>
  <c r="E61" i="71"/>
  <c r="E60" i="71" s="1"/>
  <c r="C65" i="71"/>
  <c r="C64" i="71" s="1"/>
  <c r="D64" i="71" s="1"/>
  <c r="E65" i="71"/>
  <c r="E64" i="71" s="1"/>
  <c r="D66" i="71"/>
  <c r="C69" i="71"/>
  <c r="D69" i="71" s="1"/>
  <c r="C73" i="71"/>
  <c r="T14" i="71"/>
  <c r="C13" i="71"/>
  <c r="F14" i="71"/>
  <c r="F13" i="71" s="1"/>
  <c r="F12" i="71" s="1"/>
  <c r="AB11" i="71"/>
  <c r="E14" i="71"/>
  <c r="E13" i="71" s="1"/>
  <c r="E12" i="71" s="1"/>
  <c r="AA14" i="71"/>
  <c r="D14" i="71"/>
  <c r="C68" i="71"/>
  <c r="D68" i="71" s="1"/>
  <c r="N51" i="71"/>
  <c r="N52" i="71"/>
  <c r="D65" i="71"/>
  <c r="D57" i="71"/>
  <c r="C56" i="71"/>
  <c r="D56" i="71" s="1"/>
  <c r="D45" i="71"/>
  <c r="C42" i="71"/>
  <c r="T42" i="71" s="1"/>
  <c r="D41" i="71"/>
  <c r="P53" i="71"/>
  <c r="E52" i="71"/>
  <c r="P51" i="71" s="1"/>
  <c r="C38" i="71"/>
  <c r="T38" i="71" s="1"/>
  <c r="D37" i="71"/>
  <c r="D29" i="71"/>
  <c r="P52" i="71"/>
  <c r="D38"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Z30" i="39"/>
  <c r="Q30" i="39"/>
  <c r="D104" i="39"/>
  <c r="E104" i="39" s="1"/>
  <c r="F104" i="39" s="1"/>
  <c r="G104" i="39" s="1"/>
  <c r="F30" i="39"/>
  <c r="AA30" i="39" s="1"/>
  <c r="Q18" i="36"/>
  <c r="Z18" i="36" s="1"/>
  <c r="D66" i="36"/>
  <c r="E66" i="36" s="1"/>
  <c r="F66" i="36" s="1"/>
  <c r="G66" i="36" s="1"/>
  <c r="H18" i="36"/>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C21" i="34"/>
  <c r="Q21" i="33"/>
  <c r="Z21" i="33" s="1"/>
  <c r="D83" i="33"/>
  <c r="E83" i="33"/>
  <c r="C21" i="33"/>
  <c r="C21" i="21"/>
  <c r="Q21" i="21"/>
  <c r="Z21" i="21"/>
  <c r="D83" i="21"/>
  <c r="E83" i="21" s="1"/>
  <c r="F83" i="21" s="1"/>
  <c r="G83" i="21" s="1"/>
  <c r="F21" i="21"/>
  <c r="AA21" i="21" s="1"/>
  <c r="D81" i="21"/>
  <c r="G20" i="20"/>
  <c r="C22" i="20"/>
  <c r="B75" i="43" s="1"/>
  <c r="B55" i="43"/>
  <c r="S25" i="40"/>
  <c r="H25" i="40"/>
  <c r="J25" i="40"/>
  <c r="W25" i="40" s="1"/>
  <c r="H30" i="39"/>
  <c r="U30" i="39" s="1"/>
  <c r="J30" i="39"/>
  <c r="AC30" i="39" s="1"/>
  <c r="J18" i="36"/>
  <c r="AC18" i="36" s="1"/>
  <c r="H18" i="35"/>
  <c r="AB18" i="35" s="1"/>
  <c r="J18" i="35"/>
  <c r="H21" i="37"/>
  <c r="U21" i="37" s="1"/>
  <c r="F21" i="37"/>
  <c r="AA21" i="37" s="1"/>
  <c r="F83" i="33"/>
  <c r="H21" i="33"/>
  <c r="U21" i="33" s="1"/>
  <c r="F21" i="33"/>
  <c r="S21" i="33" s="1"/>
  <c r="H1" i="69"/>
  <c r="AC25" i="40"/>
  <c r="AB25" i="40"/>
  <c r="U25" i="40"/>
  <c r="AB30" i="39"/>
  <c r="W18" i="36"/>
  <c r="AB21" i="37"/>
  <c r="S21" i="37"/>
  <c r="AB21" i="33"/>
  <c r="AA21" i="33"/>
  <c r="U18" i="35"/>
  <c r="J21" i="37"/>
  <c r="AC21" i="37" s="1"/>
  <c r="G83" i="33"/>
  <c r="J21" i="33"/>
  <c r="AC21" i="33" s="1"/>
  <c r="H21" i="21"/>
  <c r="AB21" i="21" s="1"/>
  <c r="F38" i="69"/>
  <c r="E37" i="69"/>
  <c r="F36" i="69"/>
  <c r="F35" i="69"/>
  <c r="F21" i="69"/>
  <c r="C21" i="69" s="1"/>
  <c r="F20" i="69"/>
  <c r="E10" i="69"/>
  <c r="E9" i="69"/>
  <c r="C7" i="69"/>
  <c r="W21" i="37"/>
  <c r="W21" i="33"/>
  <c r="J21" i="2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1" i="1"/>
  <c r="F12" i="1"/>
  <c r="F13" i="1"/>
  <c r="D6" i="1"/>
  <c r="D9" i="1"/>
  <c r="D10" i="1"/>
  <c r="D11" i="1"/>
  <c r="D12" i="1"/>
  <c r="D13" i="1"/>
  <c r="D7" i="1"/>
  <c r="D8" i="1"/>
  <c r="A7" i="1"/>
  <c r="B7" i="1" s="1"/>
  <c r="E7" i="1" s="1"/>
  <c r="A8" i="1"/>
  <c r="B8" i="1" s="1"/>
  <c r="E8" i="1" s="1"/>
  <c r="A9" i="1"/>
  <c r="A10" i="1"/>
  <c r="A11" i="1"/>
  <c r="B11" i="1" s="1"/>
  <c r="A12" i="1"/>
  <c r="A13" i="1"/>
  <c r="A6"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BT27" i="3"/>
  <c r="BS27" i="3"/>
  <c r="BR27" i="3"/>
  <c r="BQ27" i="3"/>
  <c r="BP27" i="3"/>
  <c r="BO27" i="3"/>
  <c r="BN27" i="3"/>
  <c r="BM27" i="3"/>
  <c r="BL27" i="3" s="1"/>
  <c r="BK27" i="3"/>
  <c r="BJ27" i="3"/>
  <c r="BI27" i="3"/>
  <c r="BH27" i="3"/>
  <c r="BG27" i="3"/>
  <c r="BF27" i="3"/>
  <c r="BE27" i="3"/>
  <c r="BD27" i="3"/>
  <c r="BC27" i="3"/>
  <c r="BB27" i="3"/>
  <c r="AX27" i="3"/>
  <c r="AW27" i="3"/>
  <c r="AV27" i="3"/>
  <c r="AC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H28" i="3" s="1"/>
  <c r="G28"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H27" i="3" s="1"/>
  <c r="G27"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6" i="39"/>
  <c r="I66" i="39" s="1"/>
  <c r="C66" i="39" s="1"/>
  <c r="H65" i="39"/>
  <c r="I65" i="39" s="1"/>
  <c r="C65" i="39" s="1"/>
  <c r="H61" i="39"/>
  <c r="I61" i="39" s="1"/>
  <c r="C61" i="39" s="1"/>
  <c r="H60" i="39"/>
  <c r="I60" i="39" s="1"/>
  <c r="C60" i="39" s="1"/>
  <c r="H59" i="39"/>
  <c r="I59" i="39" s="1"/>
  <c r="C59" i="39" s="1"/>
  <c r="H58" i="39"/>
  <c r="I58" i="39" s="1"/>
  <c r="C58"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I15" i="4"/>
  <c r="H15" i="4"/>
  <c r="G15" i="4"/>
  <c r="F10" i="1" s="1"/>
  <c r="E15" i="4"/>
  <c r="F9" i="1" s="1"/>
  <c r="D15" i="4"/>
  <c r="F7" i="1" s="1"/>
  <c r="L21" i="4"/>
  <c r="F19" i="4"/>
  <c r="F2" i="52"/>
  <c r="B50" i="72" s="1"/>
  <c r="D2" i="52"/>
  <c r="B46" i="72" s="1"/>
  <c r="B8" i="53"/>
  <c r="B23" i="72" s="1"/>
  <c r="L4" i="9"/>
  <c r="B17" i="72"/>
  <c r="B15" i="72"/>
  <c r="A3" i="51"/>
  <c r="C8" i="11"/>
  <c r="B2" i="49"/>
  <c r="E17" i="49" s="1"/>
  <c r="B40" i="48"/>
  <c r="B3" i="72" s="1"/>
  <c r="I2" i="43"/>
  <c r="N1" i="43" s="1"/>
  <c r="F35" i="4"/>
  <c r="J56"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E9" i="6" s="1"/>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4"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4" i="39"/>
  <c r="J54" i="39" s="1"/>
  <c r="G54" i="39"/>
  <c r="H54" i="39" s="1"/>
  <c r="E54" i="39"/>
  <c r="F54" i="39" s="1"/>
  <c r="I42" i="36"/>
  <c r="J42" i="36" s="1"/>
  <c r="G42" i="36"/>
  <c r="H42" i="36" s="1"/>
  <c r="E42" i="36"/>
  <c r="F42" i="36" s="1"/>
  <c r="I44" i="35"/>
  <c r="J44" i="35" s="1"/>
  <c r="G44" i="35"/>
  <c r="H44" i="35" s="1"/>
  <c r="E44" i="35"/>
  <c r="F44" i="35" s="1"/>
  <c r="I54" i="33"/>
  <c r="J54" i="33" s="1"/>
  <c r="G54" i="33"/>
  <c r="E54" i="33"/>
  <c r="F54" i="33" s="1"/>
  <c r="H493" i="3"/>
  <c r="G493" i="3" s="1"/>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L524" i="3" s="1"/>
  <c r="AZ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1" i="39"/>
  <c r="B113" i="39"/>
  <c r="H37" i="39" s="1"/>
  <c r="J30" i="36"/>
  <c r="AC30" i="36" s="1"/>
  <c r="H30" i="36"/>
  <c r="U30" i="36" s="1"/>
  <c r="F30" i="36"/>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F42" i="34"/>
  <c r="J38" i="34"/>
  <c r="W38" i="34" s="1"/>
  <c r="D114" i="34"/>
  <c r="F38" i="34"/>
  <c r="D112" i="34"/>
  <c r="E112" i="34" s="1"/>
  <c r="F112" i="34" s="1"/>
  <c r="G112" i="34" s="1"/>
  <c r="F40" i="33"/>
  <c r="S40" i="33" s="1"/>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AC41" i="21" s="1"/>
  <c r="H41" i="21"/>
  <c r="U41" i="21" s="1"/>
  <c r="D82" i="39"/>
  <c r="E82" i="39" s="1"/>
  <c r="F82" i="39" s="1"/>
  <c r="D76" i="40"/>
  <c r="E76" i="40" s="1"/>
  <c r="F76" i="40" s="1"/>
  <c r="G76" i="40" s="1"/>
  <c r="H76" i="40" s="1"/>
  <c r="I76" i="40" s="1"/>
  <c r="J76" i="40" s="1"/>
  <c r="K76" i="40" s="1"/>
  <c r="L76" i="40" s="1"/>
  <c r="M76" i="40" s="1"/>
  <c r="B120" i="40"/>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H8" i="40"/>
  <c r="AB8" i="40" s="1"/>
  <c r="F8" i="40"/>
  <c r="AA8" i="40" s="1"/>
  <c r="J39" i="39"/>
  <c r="W39" i="39" s="1"/>
  <c r="H39" i="39"/>
  <c r="AB39" i="39" s="1"/>
  <c r="F39" i="39"/>
  <c r="D125" i="39"/>
  <c r="E125" i="39" s="1"/>
  <c r="F125" i="39" s="1"/>
  <c r="G125" i="39" s="1"/>
  <c r="H125" i="39" s="1"/>
  <c r="I125" i="39" s="1"/>
  <c r="J125" i="39" s="1"/>
  <c r="K125" i="39" s="1"/>
  <c r="L125" i="39" s="1"/>
  <c r="M125" i="39" s="1"/>
  <c r="D121" i="39"/>
  <c r="H40" i="39" s="1"/>
  <c r="U40" i="39" s="1"/>
  <c r="B115" i="39"/>
  <c r="J38" i="39" s="1"/>
  <c r="D110" i="39"/>
  <c r="E110" i="39" s="1"/>
  <c r="F35" i="39"/>
  <c r="AA35" i="39" s="1"/>
  <c r="D108" i="39"/>
  <c r="E108" i="39" s="1"/>
  <c r="D106" i="39"/>
  <c r="E106" i="39" s="1"/>
  <c r="F106" i="39" s="1"/>
  <c r="G106" i="39" s="1"/>
  <c r="H106" i="39" s="1"/>
  <c r="I106" i="39" s="1"/>
  <c r="J106" i="39" s="1"/>
  <c r="K106" i="39" s="1"/>
  <c r="L106" i="39" s="1"/>
  <c r="M106" i="39" s="1"/>
  <c r="D102" i="39"/>
  <c r="E102" i="39" s="1"/>
  <c r="D100" i="39"/>
  <c r="E100" i="39" s="1"/>
  <c r="F100" i="39" s="1"/>
  <c r="G100" i="39" s="1"/>
  <c r="Q40" i="39"/>
  <c r="Z40" i="39" s="1"/>
  <c r="Q41" i="39"/>
  <c r="Z41" i="39" s="1"/>
  <c r="Q42" i="39"/>
  <c r="Z42" i="39" s="1"/>
  <c r="Q43" i="39"/>
  <c r="Z43" i="39" s="1"/>
  <c r="Q44" i="39"/>
  <c r="Z44" i="39" s="1"/>
  <c r="Q45" i="39"/>
  <c r="Z45" i="39" s="1"/>
  <c r="Q46" i="39"/>
  <c r="Z46" i="39" s="1"/>
  <c r="Q39" i="39"/>
  <c r="Z39" i="39" s="1"/>
  <c r="Q37" i="39"/>
  <c r="Z37" i="39" s="1"/>
  <c r="Q38" i="39"/>
  <c r="Z38" i="39" s="1"/>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6" i="39"/>
  <c r="AB36" i="39" s="1"/>
  <c r="B105" i="39"/>
  <c r="D98" i="39"/>
  <c r="J24" i="39" s="1"/>
  <c r="AC24" i="39" s="1"/>
  <c r="D96" i="39"/>
  <c r="D94" i="39"/>
  <c r="E94" i="39" s="1"/>
  <c r="D92" i="39"/>
  <c r="E92" i="39" s="1"/>
  <c r="D90" i="39"/>
  <c r="E90" i="39" s="1"/>
  <c r="F90" i="39" s="1"/>
  <c r="G90" i="39" s="1"/>
  <c r="B87" i="39"/>
  <c r="B85" i="39"/>
  <c r="J14" i="39" s="1"/>
  <c r="W14" i="39" s="1"/>
  <c r="B83" i="39"/>
  <c r="J13" i="39"/>
  <c r="M80" i="39"/>
  <c r="L80" i="39"/>
  <c r="K80" i="39"/>
  <c r="J80" i="39"/>
  <c r="I80" i="39"/>
  <c r="H80" i="39"/>
  <c r="G80" i="39"/>
  <c r="F80" i="39"/>
  <c r="E80" i="39"/>
  <c r="D80" i="39"/>
  <c r="C80" i="39"/>
  <c r="P49" i="39"/>
  <c r="P48" i="39"/>
  <c r="V47" i="39"/>
  <c r="T47" i="39"/>
  <c r="R47" i="39"/>
  <c r="P47" i="39"/>
  <c r="F45" i="39"/>
  <c r="J41" i="39"/>
  <c r="AC41" i="39" s="1"/>
  <c r="F41" i="39"/>
  <c r="Q36" i="39"/>
  <c r="Z36" i="39" s="1"/>
  <c r="Q35" i="39"/>
  <c r="Z35" i="39" s="1"/>
  <c r="Q33" i="39"/>
  <c r="Z33" i="39" s="1"/>
  <c r="Q32" i="39"/>
  <c r="Z32" i="39" s="1"/>
  <c r="Q28" i="39"/>
  <c r="Z28" i="39" s="1"/>
  <c r="Q26" i="39"/>
  <c r="Z26" i="39" s="1"/>
  <c r="Q24" i="39"/>
  <c r="Z24" i="39" s="1"/>
  <c r="Q22" i="39"/>
  <c r="Z22" i="39" s="1"/>
  <c r="Q20" i="39"/>
  <c r="Z20" i="39" s="1"/>
  <c r="Q18" i="39"/>
  <c r="Z18" i="39" s="1"/>
  <c r="Q16" i="39"/>
  <c r="Z16" i="39" s="1"/>
  <c r="Q15" i="39"/>
  <c r="Z15" i="39" s="1"/>
  <c r="Q14" i="39"/>
  <c r="Z14" i="39" s="1"/>
  <c r="Q13" i="39"/>
  <c r="Z13"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F29" i="34" s="1"/>
  <c r="S29" i="34" s="1"/>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H23" i="34" s="1"/>
  <c r="U23"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F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8"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D85" i="21"/>
  <c r="F19" i="21"/>
  <c r="AA19" i="21" s="1"/>
  <c r="E81" i="21"/>
  <c r="F81" i="21" s="1"/>
  <c r="G81" i="21" s="1"/>
  <c r="D77" i="21"/>
  <c r="B130" i="21"/>
  <c r="B128" i="21"/>
  <c r="B126" i="21"/>
  <c r="B98" i="21"/>
  <c r="B96" i="21"/>
  <c r="H30" i="21" s="1"/>
  <c r="B94" i="2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K5" i="3"/>
  <c r="F20" i="6" s="1"/>
  <c r="E20" i="6" s="1"/>
  <c r="K7" i="1" s="1"/>
  <c r="M7" i="1" s="1"/>
  <c r="O7" i="1" s="1"/>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G23" i="6" s="1"/>
  <c r="E23" i="6" s="1"/>
  <c r="G7" i="12" s="1"/>
  <c r="T5" i="3"/>
  <c r="U5" i="3"/>
  <c r="V5" i="3"/>
  <c r="W5" i="3"/>
  <c r="X5" i="3"/>
  <c r="Y5" i="3"/>
  <c r="Z5" i="3"/>
  <c r="AA5" i="3"/>
  <c r="AB5" i="3"/>
  <c r="H585" i="3"/>
  <c r="G585" i="3" s="1"/>
  <c r="H586" i="3"/>
  <c r="G586" i="3" s="1"/>
  <c r="H587" i="3"/>
  <c r="G587" i="3" s="1"/>
  <c r="F5" i="3"/>
  <c r="F34" i="21"/>
  <c r="AA34" i="21" s="1"/>
  <c r="H38" i="21"/>
  <c r="U38" i="21" s="1"/>
  <c r="H43" i="21"/>
  <c r="AB43" i="21" s="1"/>
  <c r="F38" i="21"/>
  <c r="S38" i="21" s="1"/>
  <c r="F36" i="21"/>
  <c r="S36" i="21" s="1"/>
  <c r="F39" i="21"/>
  <c r="AA39" i="21" s="1"/>
  <c r="J40" i="21"/>
  <c r="W40" i="21" s="1"/>
  <c r="H35" i="21"/>
  <c r="J8" i="21"/>
  <c r="AC8" i="21" s="1"/>
  <c r="H8" i="21"/>
  <c r="U8" i="21" s="1"/>
  <c r="H10" i="21"/>
  <c r="AB10" i="21" s="1"/>
  <c r="J34" i="21"/>
  <c r="W34" i="21" s="1"/>
  <c r="H36" i="21"/>
  <c r="U36" i="21" s="1"/>
  <c r="F35" i="21"/>
  <c r="AA35" i="21" s="1"/>
  <c r="J10" i="21"/>
  <c r="AC10" i="21" s="1"/>
  <c r="H26" i="21"/>
  <c r="J19" i="21"/>
  <c r="W19" i="21" s="1"/>
  <c r="J12" i="21"/>
  <c r="AC12" i="21" s="1"/>
  <c r="H12" i="21"/>
  <c r="AB12" i="21" s="1"/>
  <c r="J26" i="21"/>
  <c r="W26" i="21" s="1"/>
  <c r="F26" i="21"/>
  <c r="S26" i="21" s="1"/>
  <c r="AB41" i="21"/>
  <c r="S41" i="21"/>
  <c r="AA41" i="21"/>
  <c r="F37" i="39"/>
  <c r="S37" i="39" s="1"/>
  <c r="J37" i="39"/>
  <c r="AC37" i="39" s="1"/>
  <c r="W41" i="39"/>
  <c r="U30" i="37"/>
  <c r="E103" i="37"/>
  <c r="F103" i="37" s="1"/>
  <c r="G103" i="37" s="1"/>
  <c r="H103" i="37" s="1"/>
  <c r="I103" i="37" s="1"/>
  <c r="J103" i="37" s="1"/>
  <c r="K103" i="37" s="1"/>
  <c r="L103" i="37" s="1"/>
  <c r="M103" i="37" s="1"/>
  <c r="F39" i="37"/>
  <c r="S39" i="37" s="1"/>
  <c r="F29" i="36"/>
  <c r="AA29" i="36" s="1"/>
  <c r="W8" i="36"/>
  <c r="F16" i="36"/>
  <c r="AA16" i="36" s="1"/>
  <c r="AA31" i="36"/>
  <c r="U31" i="36"/>
  <c r="J33" i="36"/>
  <c r="H22" i="35"/>
  <c r="AB22" i="35" s="1"/>
  <c r="AC27" i="35"/>
  <c r="W22" i="35"/>
  <c r="S31" i="35"/>
  <c r="F36" i="34"/>
  <c r="AA36" i="34" s="1"/>
  <c r="J35" i="34"/>
  <c r="H39" i="33"/>
  <c r="AB39" i="33" s="1"/>
  <c r="F26" i="33"/>
  <c r="AA26" i="33" s="1"/>
  <c r="S9" i="33"/>
  <c r="U33" i="33"/>
  <c r="U35" i="33"/>
  <c r="W33" i="33"/>
  <c r="W39" i="33"/>
  <c r="H39" i="37"/>
  <c r="AB39" i="37" s="1"/>
  <c r="F11" i="40"/>
  <c r="H11" i="40"/>
  <c r="AB11" i="40" s="1"/>
  <c r="U9" i="40"/>
  <c r="U38" i="40"/>
  <c r="W31" i="40"/>
  <c r="F43" i="39"/>
  <c r="H41" i="39"/>
  <c r="AB41" i="39" s="1"/>
  <c r="S35" i="39"/>
  <c r="H35" i="39"/>
  <c r="U35" i="39" s="1"/>
  <c r="F18" i="39"/>
  <c r="AA18" i="39" s="1"/>
  <c r="J23" i="40"/>
  <c r="AC23" i="40" s="1"/>
  <c r="F21" i="40"/>
  <c r="AA21" i="40" s="1"/>
  <c r="J21" i="40"/>
  <c r="W21" i="40" s="1"/>
  <c r="H43" i="39"/>
  <c r="AB43" i="39" s="1"/>
  <c r="J35" i="39"/>
  <c r="AC35" i="39" s="1"/>
  <c r="F110" i="39"/>
  <c r="G110" i="39" s="1"/>
  <c r="H110" i="39" s="1"/>
  <c r="I110" i="39" s="1"/>
  <c r="J110" i="39" s="1"/>
  <c r="K110" i="39" s="1"/>
  <c r="L110" i="39" s="1"/>
  <c r="M110" i="39" s="1"/>
  <c r="J32" i="39"/>
  <c r="H28" i="39"/>
  <c r="U28" i="39" s="1"/>
  <c r="C26" i="39"/>
  <c r="C22" i="39"/>
  <c r="C16" i="39"/>
  <c r="H32" i="33"/>
  <c r="AB32" i="33"/>
  <c r="H37" i="40"/>
  <c r="U37" i="40"/>
  <c r="H36" i="40"/>
  <c r="AB36" i="40"/>
  <c r="F35" i="40"/>
  <c r="AA35" i="40"/>
  <c r="H23" i="40"/>
  <c r="AB23" i="40"/>
  <c r="H17" i="40"/>
  <c r="U17" i="40"/>
  <c r="J15" i="40"/>
  <c r="W15" i="40"/>
  <c r="J11" i="40"/>
  <c r="W11" i="40"/>
  <c r="AA12" i="34"/>
  <c r="AB12" i="35"/>
  <c r="AB12" i="36"/>
  <c r="W32" i="40"/>
  <c r="F38" i="39"/>
  <c r="AA38" i="39" s="1"/>
  <c r="J34" i="36"/>
  <c r="W34" i="36"/>
  <c r="J30" i="35"/>
  <c r="H30" i="35"/>
  <c r="AB30" i="35" s="1"/>
  <c r="F22" i="35"/>
  <c r="AA22" i="35" s="1"/>
  <c r="H10" i="35"/>
  <c r="U10" i="35" s="1"/>
  <c r="AC16" i="36"/>
  <c r="F33" i="36"/>
  <c r="AA33" i="36"/>
  <c r="W30" i="36"/>
  <c r="H16" i="36"/>
  <c r="AB16" i="36" s="1"/>
  <c r="J29" i="36"/>
  <c r="AC29" i="36" s="1"/>
  <c r="F12" i="36"/>
  <c r="AA12" i="36" s="1"/>
  <c r="F34" i="36"/>
  <c r="S34" i="36" s="1"/>
  <c r="AB8" i="36"/>
  <c r="S8" i="36"/>
  <c r="U8" i="35"/>
  <c r="F14" i="35"/>
  <c r="AA14" i="35" s="1"/>
  <c r="F23" i="35"/>
  <c r="J32" i="35"/>
  <c r="AC32" i="35" s="1"/>
  <c r="J16" i="35"/>
  <c r="H16" i="35"/>
  <c r="U16" i="35" s="1"/>
  <c r="F16" i="35"/>
  <c r="S16" i="35" s="1"/>
  <c r="H14" i="35"/>
  <c r="AB14" i="35" s="1"/>
  <c r="J29" i="35"/>
  <c r="W29" i="35" s="1"/>
  <c r="H33" i="35"/>
  <c r="AB33" i="35"/>
  <c r="AC8" i="35"/>
  <c r="J20" i="35"/>
  <c r="F35" i="37"/>
  <c r="S35" i="37" s="1"/>
  <c r="E101" i="37"/>
  <c r="F101" i="37" s="1"/>
  <c r="G101" i="37" s="1"/>
  <c r="H101" i="37" s="1"/>
  <c r="I101" i="37" s="1"/>
  <c r="J101" i="37" s="1"/>
  <c r="K101" i="37" s="1"/>
  <c r="L101" i="37" s="1"/>
  <c r="M101" i="37" s="1"/>
  <c r="J34" i="37"/>
  <c r="W34" i="37"/>
  <c r="S10" i="37"/>
  <c r="AA39" i="37"/>
  <c r="AB34" i="37"/>
  <c r="J33" i="37"/>
  <c r="U42" i="34"/>
  <c r="E114" i="34"/>
  <c r="F114" i="34" s="1"/>
  <c r="G114" i="34" s="1"/>
  <c r="H114" i="34" s="1"/>
  <c r="I114" i="34" s="1"/>
  <c r="J114" i="34" s="1"/>
  <c r="K114" i="34" s="1"/>
  <c r="L114" i="34" s="1"/>
  <c r="M114" i="34" s="1"/>
  <c r="H36" i="34"/>
  <c r="U36" i="34" s="1"/>
  <c r="S35" i="34"/>
  <c r="F27" i="34"/>
  <c r="AA27" i="34" s="1"/>
  <c r="F25" i="34"/>
  <c r="S25" i="34" s="1"/>
  <c r="W8" i="34"/>
  <c r="F41" i="33"/>
  <c r="AA41" i="33"/>
  <c r="S38" i="33"/>
  <c r="F32" i="33"/>
  <c r="AA32" i="33"/>
  <c r="J19" i="33"/>
  <c r="AC19" i="33"/>
  <c r="J15" i="33"/>
  <c r="AC15" i="33"/>
  <c r="F11" i="33"/>
  <c r="AA11" i="33"/>
  <c r="W40" i="33"/>
  <c r="U8" i="33"/>
  <c r="S8" i="33"/>
  <c r="F37" i="40"/>
  <c r="AA37" i="40" s="1"/>
  <c r="F36" i="40"/>
  <c r="AA36" i="40" s="1"/>
  <c r="H28" i="40"/>
  <c r="U28" i="40" s="1"/>
  <c r="F23" i="40"/>
  <c r="AA23" i="40" s="1"/>
  <c r="F17" i="40"/>
  <c r="AA17" i="40" s="1"/>
  <c r="J17" i="40"/>
  <c r="F15" i="40"/>
  <c r="S15" i="40" s="1"/>
  <c r="H15" i="40"/>
  <c r="AB15" i="40" s="1"/>
  <c r="AC11" i="40"/>
  <c r="S12" i="36"/>
  <c r="AB30" i="36"/>
  <c r="AC34" i="36"/>
  <c r="U33" i="35"/>
  <c r="F29" i="35"/>
  <c r="S29" i="35"/>
  <c r="H29" i="35"/>
  <c r="AB29" i="35"/>
  <c r="H33" i="37"/>
  <c r="AB33" i="37"/>
  <c r="F33" i="37"/>
  <c r="AA33" i="37"/>
  <c r="U34" i="37"/>
  <c r="S34" i="37"/>
  <c r="AA34" i="37"/>
  <c r="AB42" i="34"/>
  <c r="H38" i="34"/>
  <c r="AB38" i="34" s="1"/>
  <c r="J36" i="34"/>
  <c r="W36" i="34" s="1"/>
  <c r="H25" i="34"/>
  <c r="AB25" i="34" s="1"/>
  <c r="J25" i="34"/>
  <c r="AC25" i="34" s="1"/>
  <c r="S41" i="33"/>
  <c r="H37" i="33"/>
  <c r="AB37" i="33" s="1"/>
  <c r="H15" i="33"/>
  <c r="AB15" i="33" s="1"/>
  <c r="H11" i="33"/>
  <c r="AB11" i="33" s="1"/>
  <c r="F28" i="40"/>
  <c r="AA28" i="40" s="1"/>
  <c r="AA29" i="35"/>
  <c r="AA42" i="34"/>
  <c r="S42" i="34"/>
  <c r="J11" i="33"/>
  <c r="W11" i="33" s="1"/>
  <c r="U23" i="40"/>
  <c r="H42" i="21"/>
  <c r="U42" i="21" s="1"/>
  <c r="F44" i="34"/>
  <c r="AA44" i="34" s="1"/>
  <c r="J10" i="35"/>
  <c r="W10" i="35" s="1"/>
  <c r="BL587" i="3"/>
  <c r="J44" i="21"/>
  <c r="AC44" i="21" s="1"/>
  <c r="H44" i="21"/>
  <c r="U44" i="21" s="1"/>
  <c r="F44" i="21"/>
  <c r="AA44" i="21" s="1"/>
  <c r="H46" i="21"/>
  <c r="U46" i="21" s="1"/>
  <c r="J46" i="21"/>
  <c r="W46" i="21" s="1"/>
  <c r="F46" i="21"/>
  <c r="AA46" i="21" s="1"/>
  <c r="H26" i="33"/>
  <c r="F33" i="35"/>
  <c r="S33" i="35" s="1"/>
  <c r="J33" i="35"/>
  <c r="AC33" i="35" s="1"/>
  <c r="F30" i="35"/>
  <c r="S30" i="35" s="1"/>
  <c r="G89" i="35"/>
  <c r="H89" i="35" s="1"/>
  <c r="I89" i="35" s="1"/>
  <c r="J89" i="35" s="1"/>
  <c r="K89" i="35" s="1"/>
  <c r="L89" i="35" s="1"/>
  <c r="M89" i="35" s="1"/>
  <c r="H10" i="36"/>
  <c r="AB10" i="36"/>
  <c r="J14" i="36"/>
  <c r="AC14" i="36"/>
  <c r="H14" i="36"/>
  <c r="U14" i="36"/>
  <c r="F28" i="36"/>
  <c r="AA28" i="36"/>
  <c r="J13" i="21"/>
  <c r="AC13" i="21"/>
  <c r="H27" i="21"/>
  <c r="AB27" i="21" s="1"/>
  <c r="F27" i="21"/>
  <c r="AA27" i="21" s="1"/>
  <c r="J31" i="21"/>
  <c r="AC31" i="21" s="1"/>
  <c r="F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J11" i="36"/>
  <c r="AC11" i="36" s="1"/>
  <c r="H11" i="36"/>
  <c r="F11" i="36"/>
  <c r="E89" i="37"/>
  <c r="F89" i="37" s="1"/>
  <c r="G89" i="37" s="1"/>
  <c r="H89" i="37" s="1"/>
  <c r="I89" i="37" s="1"/>
  <c r="J89" i="37" s="1"/>
  <c r="K89" i="37" s="1"/>
  <c r="L89" i="37" s="1"/>
  <c r="M89" i="37" s="1"/>
  <c r="J29" i="37"/>
  <c r="W29" i="37" s="1"/>
  <c r="F29" i="37"/>
  <c r="S29" i="37" s="1"/>
  <c r="H36" i="37"/>
  <c r="AB36" i="37" s="1"/>
  <c r="F107" i="37"/>
  <c r="J37" i="37"/>
  <c r="AC37" i="37" s="1"/>
  <c r="H37" i="37"/>
  <c r="U37" i="37" s="1"/>
  <c r="J40" i="37"/>
  <c r="AC40" i="37" s="1"/>
  <c r="H14" i="33"/>
  <c r="U14" i="33" s="1"/>
  <c r="J14" i="33"/>
  <c r="J30" i="33"/>
  <c r="J44" i="33"/>
  <c r="AC44" i="33" s="1"/>
  <c r="J46" i="33"/>
  <c r="AC46" i="33" s="1"/>
  <c r="H46" i="33"/>
  <c r="AB46" i="33" s="1"/>
  <c r="J13" i="34"/>
  <c r="W13" i="34" s="1"/>
  <c r="J29" i="34"/>
  <c r="AC29" i="34" s="1"/>
  <c r="H29" i="34"/>
  <c r="AB29" i="34" s="1"/>
  <c r="H31" i="34"/>
  <c r="AB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F38" i="37"/>
  <c r="S38" i="37" s="1"/>
  <c r="F44" i="39"/>
  <c r="J15" i="39"/>
  <c r="AC15" i="39" s="1"/>
  <c r="F15" i="39"/>
  <c r="S15" i="39" s="1"/>
  <c r="H15" i="39"/>
  <c r="AB15"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4" i="39"/>
  <c r="AA14" i="39" s="1"/>
  <c r="H14" i="39"/>
  <c r="U14" i="39" s="1"/>
  <c r="J36" i="37"/>
  <c r="AC36" i="37" s="1"/>
  <c r="G105" i="37"/>
  <c r="J10" i="36"/>
  <c r="AC10" i="36" s="1"/>
  <c r="AA14" i="37"/>
  <c r="W11" i="36"/>
  <c r="AB46" i="34"/>
  <c r="AA14" i="34"/>
  <c r="AB45" i="33"/>
  <c r="U31" i="33"/>
  <c r="U13" i="33"/>
  <c r="BA585" i="3"/>
  <c r="G544" i="3"/>
  <c r="G536" i="3"/>
  <c r="G532" i="3"/>
  <c r="G528" i="3"/>
  <c r="G514" i="3"/>
  <c r="G584" i="3"/>
  <c r="G576" i="3"/>
  <c r="G560" i="3"/>
  <c r="G550" i="3"/>
  <c r="BL580" i="3"/>
  <c r="BL572" i="3"/>
  <c r="BL564" i="3"/>
  <c r="BL554" i="3"/>
  <c r="BL542" i="3"/>
  <c r="BL534" i="3"/>
  <c r="BL526" i="3"/>
  <c r="AZ526" i="3" s="1"/>
  <c r="BL582" i="3"/>
  <c r="BL574" i="3"/>
  <c r="BL566" i="3"/>
  <c r="BL544" i="3"/>
  <c r="BL536" i="3"/>
  <c r="BL532" i="3"/>
  <c r="BL528" i="3"/>
  <c r="BL504" i="3"/>
  <c r="BA584" i="3"/>
  <c r="BA558" i="3"/>
  <c r="BA554" i="3"/>
  <c r="AZ554" i="3" s="1"/>
  <c r="BA552" i="3"/>
  <c r="BA548" i="3"/>
  <c r="BA546" i="3"/>
  <c r="BA544" i="3"/>
  <c r="AZ544" i="3" s="1"/>
  <c r="BA542" i="3"/>
  <c r="BA540" i="3"/>
  <c r="BA538" i="3"/>
  <c r="BA536" i="3"/>
  <c r="AZ536" i="3" s="1"/>
  <c r="BA534" i="3"/>
  <c r="BA532" i="3"/>
  <c r="AZ532" i="3" s="1"/>
  <c r="BA530" i="3"/>
  <c r="BA528" i="3"/>
  <c r="BA526" i="3"/>
  <c r="BA520" i="3"/>
  <c r="BA514" i="3"/>
  <c r="BA506" i="3"/>
  <c r="BA498" i="3"/>
  <c r="BA587" i="3"/>
  <c r="BA583" i="3"/>
  <c r="BA581" i="3"/>
  <c r="BA579" i="3"/>
  <c r="BA577" i="3"/>
  <c r="BA575" i="3"/>
  <c r="BA573" i="3"/>
  <c r="BA571" i="3"/>
  <c r="BA565" i="3"/>
  <c r="BA555" i="3"/>
  <c r="AZ555" i="3" s="1"/>
  <c r="BA553" i="3"/>
  <c r="BA549" i="3"/>
  <c r="BA547" i="3"/>
  <c r="BA545" i="3"/>
  <c r="BA543" i="3"/>
  <c r="BA541" i="3"/>
  <c r="BA539" i="3"/>
  <c r="BA537" i="3"/>
  <c r="BA535" i="3"/>
  <c r="BA533" i="3"/>
  <c r="BA531" i="3"/>
  <c r="BA529" i="3"/>
  <c r="BA527" i="3"/>
  <c r="BA525" i="3"/>
  <c r="BA515" i="3"/>
  <c r="BA505" i="3"/>
  <c r="BA497" i="3"/>
  <c r="AZ497" i="3" s="1"/>
  <c r="G583" i="3"/>
  <c r="G581" i="3"/>
  <c r="G579" i="3"/>
  <c r="G577" i="3"/>
  <c r="G575" i="3"/>
  <c r="G573" i="3"/>
  <c r="G571" i="3"/>
  <c r="G563" i="3"/>
  <c r="AC557" i="3"/>
  <c r="BQ557" i="3"/>
  <c r="BQ583" i="3"/>
  <c r="BL583" i="3" s="1"/>
  <c r="BQ581" i="3"/>
  <c r="BL581" i="3" s="1"/>
  <c r="AZ581" i="3" s="1"/>
  <c r="BQ579" i="3"/>
  <c r="BL579" i="3" s="1"/>
  <c r="AZ579" i="3" s="1"/>
  <c r="BQ577" i="3"/>
  <c r="BL577" i="3" s="1"/>
  <c r="BQ575" i="3"/>
  <c r="BL575" i="3" s="1"/>
  <c r="AZ575" i="3" s="1"/>
  <c r="BQ573" i="3"/>
  <c r="BL573" i="3"/>
  <c r="BQ571" i="3"/>
  <c r="BL571" i="3" s="1"/>
  <c r="AZ571" i="3" s="1"/>
  <c r="BQ569" i="3"/>
  <c r="BQ567" i="3"/>
  <c r="BQ565" i="3"/>
  <c r="BQ563" i="3"/>
  <c r="BQ561" i="3"/>
  <c r="BQ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A521" i="3"/>
  <c r="AC521" i="3"/>
  <c r="G521" i="3" s="1"/>
  <c r="BQ521" i="3"/>
  <c r="BL521" i="3" s="1"/>
  <c r="G515" i="3"/>
  <c r="BQ519" i="3"/>
  <c r="BQ517" i="3"/>
  <c r="BQ515" i="3"/>
  <c r="BQ513" i="3"/>
  <c r="BL513" i="3" s="1"/>
  <c r="BQ511" i="3"/>
  <c r="BL511" i="3"/>
  <c r="AC509" i="3"/>
  <c r="BQ509" i="3"/>
  <c r="G505"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H43" i="33"/>
  <c r="AB43" i="33"/>
  <c r="H17" i="37"/>
  <c r="U17" i="37"/>
  <c r="U32" i="33"/>
  <c r="AA37" i="39"/>
  <c r="F39" i="33"/>
  <c r="AA39" i="33" s="1"/>
  <c r="E123" i="33"/>
  <c r="F42" i="33"/>
  <c r="H28" i="34"/>
  <c r="F14" i="36"/>
  <c r="F22" i="36"/>
  <c r="S22" i="36" s="1"/>
  <c r="F26" i="36"/>
  <c r="S26" i="36" s="1"/>
  <c r="H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35" i="35"/>
  <c r="W23" i="35"/>
  <c r="U33" i="37"/>
  <c r="U39" i="37"/>
  <c r="AC8" i="37"/>
  <c r="U26" i="37"/>
  <c r="AA13" i="33"/>
  <c r="AC31" i="33"/>
  <c r="AC45" i="33"/>
  <c r="U11" i="33"/>
  <c r="W44" i="21"/>
  <c r="AC46" i="21"/>
  <c r="U12" i="21"/>
  <c r="F43" i="33"/>
  <c r="AA43" i="33" s="1"/>
  <c r="W40" i="37"/>
  <c r="G107" i="37"/>
  <c r="H107" i="37" s="1"/>
  <c r="I107" i="37" s="1"/>
  <c r="J107" i="37" s="1"/>
  <c r="K107" i="37" s="1"/>
  <c r="L107" i="37" s="1"/>
  <c r="M107" i="37" s="1"/>
  <c r="H37" i="21"/>
  <c r="U37" i="21" s="1"/>
  <c r="F36" i="35"/>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3" i="39"/>
  <c r="S13" i="39" s="1"/>
  <c r="J43" i="39"/>
  <c r="AC43" i="39" s="1"/>
  <c r="H21" i="40"/>
  <c r="H31" i="37"/>
  <c r="U31" i="37" s="1"/>
  <c r="J15" i="37"/>
  <c r="W15" i="37" s="1"/>
  <c r="AA25" i="21"/>
  <c r="C12" i="43"/>
  <c r="H19" i="40"/>
  <c r="U19" i="40" s="1"/>
  <c r="F88" i="40"/>
  <c r="G88" i="40" s="1"/>
  <c r="F19" i="40"/>
  <c r="AC13" i="40"/>
  <c r="AB33" i="40"/>
  <c r="W24" i="39"/>
  <c r="H38" i="39"/>
  <c r="AB38" i="39" s="1"/>
  <c r="AC38" i="39"/>
  <c r="W38" i="39"/>
  <c r="H26" i="39"/>
  <c r="AB26" i="39" s="1"/>
  <c r="J26" i="39"/>
  <c r="AC26" i="39" s="1"/>
  <c r="F26" i="39"/>
  <c r="AA26" i="39" s="1"/>
  <c r="F16" i="39"/>
  <c r="AA16" i="39" s="1"/>
  <c r="H16" i="39"/>
  <c r="U16" i="39" s="1"/>
  <c r="J16" i="39"/>
  <c r="W16" i="39" s="1"/>
  <c r="H42" i="39"/>
  <c r="AB42" i="39" s="1"/>
  <c r="W8" i="39"/>
  <c r="J19" i="40"/>
  <c r="AC19" i="40"/>
  <c r="J50" i="40"/>
  <c r="H103" i="9"/>
  <c r="D8" i="53"/>
  <c r="C7" i="37"/>
  <c r="C7" i="34"/>
  <c r="C7" i="36"/>
  <c r="A4" i="52"/>
  <c r="B41" i="72" s="1"/>
  <c r="A12" i="52"/>
  <c r="B56" i="72" s="1"/>
  <c r="G4" i="4"/>
  <c r="I4" i="4"/>
  <c r="K5" i="4"/>
  <c r="B47" i="48" s="1"/>
  <c r="N2" i="43"/>
  <c r="F59" i="43"/>
  <c r="BL549"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51" i="3"/>
  <c r="AZ55" i="3"/>
  <c r="AZ67" i="3"/>
  <c r="AZ71" i="3"/>
  <c r="AZ83" i="3"/>
  <c r="AZ144" i="3"/>
  <c r="AZ176" i="3"/>
  <c r="AZ85" i="3"/>
  <c r="AZ93" i="3"/>
  <c r="AZ101" i="3"/>
  <c r="AZ120" i="3"/>
  <c r="G534" i="3"/>
  <c r="G530" i="3"/>
  <c r="G512"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54" i="3"/>
  <c r="AZ170" i="3"/>
  <c r="AZ186" i="3"/>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41" i="3"/>
  <c r="AZ245" i="3"/>
  <c r="AZ249" i="3"/>
  <c r="AZ253" i="3"/>
  <c r="AZ269" i="3"/>
  <c r="AZ273" i="3"/>
  <c r="BA379" i="3"/>
  <c r="BL380" i="3"/>
  <c r="G381" i="3"/>
  <c r="BA383" i="3"/>
  <c r="AZ383" i="3" s="1"/>
  <c r="BL384" i="3"/>
  <c r="AZ384" i="3" s="1"/>
  <c r="G385" i="3"/>
  <c r="BA387" i="3"/>
  <c r="AZ387" i="3" s="1"/>
  <c r="BL388" i="3"/>
  <c r="G389" i="3"/>
  <c r="BA391" i="3"/>
  <c r="AZ391" i="3" s="1"/>
  <c r="BL392" i="3"/>
  <c r="AZ392" i="3" s="1"/>
  <c r="G393" i="3"/>
  <c r="AZ275" i="3"/>
  <c r="AZ291" i="3"/>
  <c r="AZ549" i="3"/>
  <c r="G548" i="3"/>
  <c r="G538" i="3"/>
  <c r="G502" i="3"/>
  <c r="BK5" i="3"/>
  <c r="AZ350" i="3"/>
  <c r="AZ352" i="3"/>
  <c r="AZ368" i="3"/>
  <c r="AZ388" i="3"/>
  <c r="AZ396" i="3"/>
  <c r="U36" i="40"/>
  <c r="N4" i="43"/>
  <c r="F36" i="43"/>
  <c r="F81" i="43"/>
  <c r="H113" i="43"/>
  <c r="F48" i="43"/>
  <c r="N7" i="43"/>
  <c r="F70" i="43"/>
  <c r="H73" i="43" s="1"/>
  <c r="M6" i="43"/>
  <c r="M11" i="43"/>
  <c r="D17" i="43"/>
  <c r="F39" i="43"/>
  <c r="I17" i="43"/>
  <c r="F35" i="43"/>
  <c r="J17" i="43"/>
  <c r="F6" i="1"/>
  <c r="S14" i="35"/>
  <c r="U10" i="21"/>
  <c r="G9" i="1"/>
  <c r="F48" i="9"/>
  <c r="O52" i="9" s="1"/>
  <c r="W37" i="37"/>
  <c r="S15" i="37"/>
  <c r="U12" i="40"/>
  <c r="J37" i="33"/>
  <c r="W37" i="33" s="1"/>
  <c r="F106" i="33"/>
  <c r="G106" i="33" s="1"/>
  <c r="H106" i="33" s="1"/>
  <c r="I106" i="33" s="1"/>
  <c r="J106" i="33" s="1"/>
  <c r="K106" i="33" s="1"/>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H35" i="37"/>
  <c r="U35" i="37" s="1"/>
  <c r="AC14" i="35"/>
  <c r="H20" i="35"/>
  <c r="U20" i="35" s="1"/>
  <c r="F20" i="35"/>
  <c r="AA20" i="35" s="1"/>
  <c r="AB23" i="35"/>
  <c r="AB29" i="36"/>
  <c r="U29" i="36"/>
  <c r="H32" i="37"/>
  <c r="AB32" i="37" s="1"/>
  <c r="F96" i="37"/>
  <c r="G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E98" i="39"/>
  <c r="F98" i="39" s="1"/>
  <c r="G98" i="39" s="1"/>
  <c r="AZ353" i="3"/>
  <c r="AZ354" i="3"/>
  <c r="C40" i="11"/>
  <c r="AZ223" i="3"/>
  <c r="AZ232" i="3"/>
  <c r="AZ243" i="3"/>
  <c r="AZ248" i="3"/>
  <c r="AZ251" i="3"/>
  <c r="AZ271" i="3"/>
  <c r="AZ288" i="3"/>
  <c r="AZ114" i="3"/>
  <c r="AZ133" i="3"/>
  <c r="AZ42" i="3"/>
  <c r="AZ53" i="3"/>
  <c r="AZ58" i="3"/>
  <c r="AZ69" i="3"/>
  <c r="AZ102" i="3"/>
  <c r="H74" i="43"/>
  <c r="H49" i="43"/>
  <c r="I20" i="43"/>
  <c r="F24" i="39"/>
  <c r="AA24" i="39" s="1"/>
  <c r="H27" i="36"/>
  <c r="U27" i="36" s="1"/>
  <c r="F27" i="36"/>
  <c r="H33" i="34"/>
  <c r="U33" i="34" s="1"/>
  <c r="F32" i="37"/>
  <c r="AA32" i="37"/>
  <c r="H96" i="37"/>
  <c r="I96" i="37" s="1"/>
  <c r="J96" i="37" s="1"/>
  <c r="K96" i="37" s="1"/>
  <c r="L96" i="37" s="1"/>
  <c r="M96" i="37" s="1"/>
  <c r="F20" i="36"/>
  <c r="AA20" i="36" s="1"/>
  <c r="J33" i="34"/>
  <c r="AC33" i="34" s="1"/>
  <c r="H24" i="39"/>
  <c r="U24" i="39" s="1"/>
  <c r="H82" i="43"/>
  <c r="W27" i="34"/>
  <c r="AC27" i="34"/>
  <c r="AB34" i="36"/>
  <c r="U34" i="36"/>
  <c r="AB33" i="36"/>
  <c r="U33" i="36"/>
  <c r="AC13" i="39"/>
  <c r="W13" i="39"/>
  <c r="W39" i="40"/>
  <c r="AZ401" i="3"/>
  <c r="AZ412" i="3"/>
  <c r="AZ428" i="3"/>
  <c r="AZ433" i="3"/>
  <c r="AC13" i="34"/>
  <c r="AA47" i="34"/>
  <c r="W28" i="37"/>
  <c r="F12" i="33"/>
  <c r="H13" i="39"/>
  <c r="AB13" i="39" s="1"/>
  <c r="F39" i="40"/>
  <c r="AZ224" i="3"/>
  <c r="AZ238" i="3"/>
  <c r="AZ286" i="3"/>
  <c r="AZ149" i="3"/>
  <c r="AZ165" i="3"/>
  <c r="AZ181" i="3"/>
  <c r="AZ197" i="3"/>
  <c r="S12" i="1"/>
  <c r="R12" i="1"/>
  <c r="B12" i="1"/>
  <c r="E12" i="1" s="1"/>
  <c r="B10" i="1"/>
  <c r="E10" i="1" s="1"/>
  <c r="K12" i="1"/>
  <c r="M12" i="1" s="1"/>
  <c r="S13" i="1"/>
  <c r="AR13" i="1" s="1"/>
  <c r="R13" i="1"/>
  <c r="J51" i="67"/>
  <c r="C42" i="1"/>
  <c r="H100" i="43"/>
  <c r="C30" i="66"/>
  <c r="E26" i="66" s="1"/>
  <c r="AC34" i="33"/>
  <c r="J100" i="43"/>
  <c r="AB37" i="40"/>
  <c r="S35" i="40"/>
  <c r="AC36" i="40"/>
  <c r="AA32" i="40"/>
  <c r="S17" i="40"/>
  <c r="AC15" i="40"/>
  <c r="AB27" i="40"/>
  <c r="S30" i="40"/>
  <c r="AB19" i="40"/>
  <c r="W43" i="39"/>
  <c r="S38" i="39"/>
  <c r="U36" i="39"/>
  <c r="AC16" i="39"/>
  <c r="AB27" i="36"/>
  <c r="U26" i="36"/>
  <c r="S33" i="36"/>
  <c r="AA26" i="36"/>
  <c r="AA34" i="36"/>
  <c r="S29" i="36"/>
  <c r="AC26" i="36"/>
  <c r="AA22" i="36"/>
  <c r="W14" i="36"/>
  <c r="AB14" i="36"/>
  <c r="U22" i="36"/>
  <c r="S16" i="36"/>
  <c r="AA25" i="36"/>
  <c r="U23" i="36"/>
  <c r="AB20" i="36"/>
  <c r="U10" i="36"/>
  <c r="W10" i="36"/>
  <c r="AA25" i="35"/>
  <c r="W24" i="35"/>
  <c r="AB13" i="35"/>
  <c r="U29" i="35"/>
  <c r="U28" i="35"/>
  <c r="AB27" i="35"/>
  <c r="AA33" i="35"/>
  <c r="S32" i="35"/>
  <c r="W32" i="35"/>
  <c r="S28" i="35"/>
  <c r="AB16" i="35"/>
  <c r="U22" i="35"/>
  <c r="S20" i="35"/>
  <c r="U14" i="35"/>
  <c r="AC10" i="35"/>
  <c r="AA10" i="35"/>
  <c r="AB10" i="35"/>
  <c r="AA11" i="35"/>
  <c r="S8" i="35"/>
  <c r="AC12" i="35"/>
  <c r="W13" i="35"/>
  <c r="H9" i="35"/>
  <c r="F26" i="35"/>
  <c r="AA26" i="35"/>
  <c r="J26" i="35"/>
  <c r="H26" i="35"/>
  <c r="AC9" i="37"/>
  <c r="AC29" i="37"/>
  <c r="U29" i="37"/>
  <c r="S32" i="37"/>
  <c r="W30" i="37"/>
  <c r="S36" i="37"/>
  <c r="AA38"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11" i="37"/>
  <c r="S11" i="37"/>
  <c r="S27" i="34"/>
  <c r="AB8" i="34"/>
  <c r="AC39" i="34"/>
  <c r="U39" i="34"/>
  <c r="AB41" i="34"/>
  <c r="AA45" i="34"/>
  <c r="AA25" i="34"/>
  <c r="AA29" i="34"/>
  <c r="S10" i="34"/>
  <c r="H10" i="34"/>
  <c r="AB10" i="34" s="1"/>
  <c r="AA35" i="33"/>
  <c r="S32" i="33"/>
  <c r="AA29" i="33"/>
  <c r="AB29" i="33"/>
  <c r="W38" i="33"/>
  <c r="H41" i="33"/>
  <c r="U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C11" i="33"/>
  <c r="W43" i="21"/>
  <c r="W41" i="21"/>
  <c r="AC40" i="21"/>
  <c r="J15" i="21"/>
  <c r="W15" i="21" s="1"/>
  <c r="E85" i="21"/>
  <c r="J23" i="21" s="1"/>
  <c r="W23" i="21" s="1"/>
  <c r="S8" i="21"/>
  <c r="M3" i="43"/>
  <c r="N10" i="43"/>
  <c r="M1" i="43"/>
  <c r="M8" i="43"/>
  <c r="N8" i="43"/>
  <c r="N9" i="43"/>
  <c r="D120" i="9"/>
  <c r="C18" i="9"/>
  <c r="D18" i="9" s="1"/>
  <c r="F34" i="15"/>
  <c r="F62" i="15" s="1"/>
  <c r="J56" i="9"/>
  <c r="J57" i="9" s="1"/>
  <c r="J59" i="9" s="1"/>
  <c r="J61" i="9" s="1"/>
  <c r="A24" i="51"/>
  <c r="B18" i="72" s="1"/>
  <c r="U29" i="34"/>
  <c r="E32" i="6"/>
  <c r="L19" i="6"/>
  <c r="E19" i="68"/>
  <c r="E1" i="73"/>
  <c r="G22" i="68"/>
  <c r="G22" i="11"/>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9" i="39" s="1"/>
  <c r="C71"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C46" i="36"/>
  <c r="D46" i="36" s="1"/>
  <c r="C59" i="34"/>
  <c r="D59" i="34"/>
  <c r="E59" i="34" s="1"/>
  <c r="F59" i="34" s="1"/>
  <c r="G59" i="34" s="1"/>
  <c r="H59" i="34" s="1"/>
  <c r="C52" i="37"/>
  <c r="D52" i="37"/>
  <c r="E52" i="37" s="1"/>
  <c r="F52" i="37" s="1"/>
  <c r="G52" i="37" s="1"/>
  <c r="H52" i="37" s="1"/>
  <c r="I52" i="37" s="1"/>
  <c r="J52" i="37" s="1"/>
  <c r="A4" i="51"/>
  <c r="B6" i="72" s="1"/>
  <c r="C48" i="35"/>
  <c r="D48" i="35" s="1"/>
  <c r="E48" i="35" s="1"/>
  <c r="F48" i="35" s="1"/>
  <c r="G48" i="35" s="1"/>
  <c r="H62" i="43"/>
  <c r="H66" i="43"/>
  <c r="H61" i="43"/>
  <c r="H65" i="43"/>
  <c r="H60" i="43"/>
  <c r="H64" i="43"/>
  <c r="H59" i="43"/>
  <c r="H63" i="43"/>
  <c r="H67" i="43"/>
  <c r="H55" i="43"/>
  <c r="H51" i="43"/>
  <c r="H56" i="43"/>
  <c r="H76" i="43"/>
  <c r="H72" i="43"/>
  <c r="H77" i="43"/>
  <c r="L20" i="6"/>
  <c r="B6" i="1"/>
  <c r="E6" i="1" s="1"/>
  <c r="B9" i="1"/>
  <c r="E9" i="1" s="1"/>
  <c r="W23" i="40"/>
  <c r="U32" i="40"/>
  <c r="AB31" i="40"/>
  <c r="S37" i="40"/>
  <c r="AB28" i="40"/>
  <c r="W28" i="40"/>
  <c r="W19" i="40"/>
  <c r="S36" i="40"/>
  <c r="W37" i="40"/>
  <c r="S33" i="40"/>
  <c r="AA15" i="40"/>
  <c r="U11" i="40"/>
  <c r="S31" i="40"/>
  <c r="AB13" i="40"/>
  <c r="AB17" i="40"/>
  <c r="S8" i="40"/>
  <c r="AB24" i="39"/>
  <c r="W26" i="39"/>
  <c r="AA15" i="39"/>
  <c r="W32" i="39"/>
  <c r="AC32" i="39"/>
  <c r="W35" i="39"/>
  <c r="U39" i="39"/>
  <c r="S8" i="39"/>
  <c r="S20" i="36"/>
  <c r="S28" i="36"/>
  <c r="W29" i="36"/>
  <c r="AC20" i="36"/>
  <c r="U25" i="36"/>
  <c r="AB28" i="36"/>
  <c r="W22" i="36"/>
  <c r="S9" i="36"/>
  <c r="AB20" i="35"/>
  <c r="AC25" i="35"/>
  <c r="S24" i="35"/>
  <c r="W33" i="35"/>
  <c r="AA30" i="35"/>
  <c r="U24" i="35"/>
  <c r="S35" i="35"/>
  <c r="W35" i="35"/>
  <c r="AA16" i="35"/>
  <c r="AA35" i="37"/>
  <c r="W36" i="37"/>
  <c r="S28" i="37"/>
  <c r="W32" i="37"/>
  <c r="U36" i="37"/>
  <c r="U38" i="37"/>
  <c r="AB37" i="37"/>
  <c r="S33" i="37"/>
  <c r="AC34" i="37"/>
  <c r="AB35" i="37"/>
  <c r="AA11" i="37"/>
  <c r="AA31" i="37"/>
  <c r="U19" i="37"/>
  <c r="AA29" i="37"/>
  <c r="AA8" i="37"/>
  <c r="U8" i="37"/>
  <c r="AB33" i="34"/>
  <c r="AA30" i="34"/>
  <c r="AB45" i="34"/>
  <c r="U25" i="34"/>
  <c r="AB36" i="34"/>
  <c r="W33" i="34"/>
  <c r="AC14" i="34"/>
  <c r="AC32" i="34"/>
  <c r="W29" i="34"/>
  <c r="W46" i="34"/>
  <c r="AC46" i="34"/>
  <c r="S32" i="34"/>
  <c r="AA32" i="34"/>
  <c r="U30" i="34"/>
  <c r="AB30" i="34"/>
  <c r="U38" i="34"/>
  <c r="S8" i="34"/>
  <c r="S46" i="34"/>
  <c r="AA46" i="34"/>
  <c r="U32" i="34"/>
  <c r="AB32" i="34"/>
  <c r="U14" i="34"/>
  <c r="AB14" i="34"/>
  <c r="AC35" i="34"/>
  <c r="W35" i="34"/>
  <c r="U12" i="34"/>
  <c r="AB12" i="34"/>
  <c r="AC37" i="33"/>
  <c r="W46" i="33"/>
  <c r="U39" i="33"/>
  <c r="U38" i="33"/>
  <c r="S33" i="33"/>
  <c r="AC14" i="33"/>
  <c r="W14" i="33"/>
  <c r="AC30" i="33"/>
  <c r="W30" i="33"/>
  <c r="S31" i="33"/>
  <c r="AA31" i="33"/>
  <c r="W13" i="33"/>
  <c r="AC13" i="33"/>
  <c r="U15" i="33"/>
  <c r="S11" i="33"/>
  <c r="U37" i="33"/>
  <c r="W9" i="33"/>
  <c r="W8" i="33"/>
  <c r="S44" i="21"/>
  <c r="AB42" i="21"/>
  <c r="F37" i="21"/>
  <c r="AA26" i="21"/>
  <c r="AB46" i="21"/>
  <c r="U40" i="21"/>
  <c r="U13" i="21"/>
  <c r="AB13" i="21"/>
  <c r="W8" i="21"/>
  <c r="S35" i="21"/>
  <c r="J37" i="21"/>
  <c r="H15" i="21"/>
  <c r="J17" i="21"/>
  <c r="AC19" i="21"/>
  <c r="S46" i="21"/>
  <c r="H45" i="21"/>
  <c r="U45" i="21" s="1"/>
  <c r="F29" i="21"/>
  <c r="S29" i="21" s="1"/>
  <c r="F13" i="21"/>
  <c r="AA13" i="21" s="1"/>
  <c r="H32" i="21"/>
  <c r="AB32" i="21" s="1"/>
  <c r="H9" i="21"/>
  <c r="AB9" i="21" s="1"/>
  <c r="J9" i="21"/>
  <c r="W9" i="21" s="1"/>
  <c r="J32" i="21"/>
  <c r="W32" i="21" s="1"/>
  <c r="F32" i="21"/>
  <c r="AA32" i="21" s="1"/>
  <c r="S9" i="21"/>
  <c r="AA9" i="21"/>
  <c r="K141" i="21"/>
  <c r="K144" i="21"/>
  <c r="K143" i="21"/>
  <c r="U27" i="21"/>
  <c r="AB44" i="21"/>
  <c r="W13" i="21"/>
  <c r="F10" i="21"/>
  <c r="AA10" i="21" s="1"/>
  <c r="K145" i="21"/>
  <c r="S27" i="21"/>
  <c r="AC26" i="21"/>
  <c r="W10" i="21"/>
  <c r="W12" i="21"/>
  <c r="W30" i="40"/>
  <c r="C20" i="39"/>
  <c r="C15" i="40"/>
  <c r="C17" i="40"/>
  <c r="C23" i="40"/>
  <c r="C21" i="40"/>
  <c r="U30" i="40"/>
  <c r="B54" i="43"/>
  <c r="B65" i="43"/>
  <c r="B49" i="43"/>
  <c r="B52" i="43"/>
  <c r="B56" i="43"/>
  <c r="B60" i="43"/>
  <c r="B63" i="43"/>
  <c r="B67" i="43"/>
  <c r="D23" i="15"/>
  <c r="D22" i="15"/>
  <c r="D69" i="39"/>
  <c r="D71" i="39" s="1"/>
  <c r="C77" i="9"/>
  <c r="C74" i="9" s="1"/>
  <c r="E7" i="70"/>
  <c r="C24" i="12"/>
  <c r="AA39" i="40"/>
  <c r="S39" i="40"/>
  <c r="S12" i="33"/>
  <c r="AA12" i="33"/>
  <c r="S26" i="35"/>
  <c r="U9" i="35"/>
  <c r="AB9" i="35"/>
  <c r="AC26" i="35"/>
  <c r="W26" i="35"/>
  <c r="AB26" i="35"/>
  <c r="U26" i="35"/>
  <c r="AC17" i="37"/>
  <c r="S17" i="37"/>
  <c r="J19" i="37"/>
  <c r="AC19" i="37" s="1"/>
  <c r="S19" i="37"/>
  <c r="AA19" i="37"/>
  <c r="AA23" i="37"/>
  <c r="J23" i="37"/>
  <c r="G79" i="37"/>
  <c r="J10" i="37"/>
  <c r="I60" i="37"/>
  <c r="H11" i="37"/>
  <c r="U11" i="37" s="1"/>
  <c r="U10" i="37"/>
  <c r="J10" i="34"/>
  <c r="W10" i="34" s="1"/>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H23" i="21"/>
  <c r="U23" i="21" s="1"/>
  <c r="D6" i="52"/>
  <c r="D121" i="9"/>
  <c r="D7" i="52" s="1"/>
  <c r="K120" i="9"/>
  <c r="O19" i="43"/>
  <c r="AB45" i="21"/>
  <c r="AC32" i="21"/>
  <c r="S32" i="21"/>
  <c r="U32" i="21"/>
  <c r="E6" i="70"/>
  <c r="A18" i="62"/>
  <c r="B64" i="72" s="1"/>
  <c r="W23" i="37"/>
  <c r="AC23" i="37"/>
  <c r="J11" i="37"/>
  <c r="AC11" i="37" s="1"/>
  <c r="W10" i="37"/>
  <c r="AC10" i="37"/>
  <c r="W36" i="33"/>
  <c r="AA23" i="33"/>
  <c r="S23" i="33"/>
  <c r="AB19" i="33"/>
  <c r="U17" i="33"/>
  <c r="AB17" i="33"/>
  <c r="E69" i="39"/>
  <c r="F69" i="39" s="1"/>
  <c r="F1" i="67"/>
  <c r="Q52" i="67"/>
  <c r="AE7" i="1"/>
  <c r="AE6" i="1"/>
  <c r="AG6" i="1"/>
  <c r="H109" i="9"/>
  <c r="J7" i="33"/>
  <c r="W7" i="33"/>
  <c r="F7" i="33"/>
  <c r="S7" i="33"/>
  <c r="H7" i="33"/>
  <c r="AB7" i="33" s="1"/>
  <c r="AA7" i="33"/>
  <c r="R48" i="33" s="1"/>
  <c r="AC7" i="33"/>
  <c r="V48" i="33" s="1"/>
  <c r="I48" i="33" s="1"/>
  <c r="D59" i="9"/>
  <c r="M55" i="9" s="1"/>
  <c r="AD3" i="71"/>
  <c r="D4" i="73"/>
  <c r="E8" i="76"/>
  <c r="F4" i="73"/>
  <c r="AO11" i="1"/>
  <c r="D3" i="73"/>
  <c r="F5" i="73"/>
  <c r="D2" i="21"/>
  <c r="F20" i="31"/>
  <c r="AO6" i="1"/>
  <c r="D2" i="34"/>
  <c r="F6" i="73"/>
  <c r="E13" i="76"/>
  <c r="E12" i="76"/>
  <c r="AO13" i="1"/>
  <c r="D7" i="73"/>
  <c r="AO12" i="1"/>
  <c r="B7" i="76"/>
  <c r="E7" i="76"/>
  <c r="D2" i="33"/>
  <c r="D2" i="35"/>
  <c r="B12" i="76"/>
  <c r="B10" i="76"/>
  <c r="B13" i="76"/>
  <c r="F3" i="73"/>
  <c r="E11" i="76"/>
  <c r="B11" i="76"/>
  <c r="E10" i="76"/>
  <c r="E2" i="69"/>
  <c r="B8" i="76"/>
  <c r="B9" i="76"/>
  <c r="E9" i="76"/>
  <c r="D2" i="37"/>
  <c r="D5" i="73"/>
  <c r="F7" i="73"/>
  <c r="E2" i="68"/>
  <c r="D2" i="36"/>
  <c r="D6" i="73"/>
  <c r="AO7" i="1"/>
  <c r="D16" i="53" l="1"/>
  <c r="B34" i="72" s="1"/>
  <c r="B16" i="53"/>
  <c r="B33" i="72" s="1"/>
  <c r="E71" i="39"/>
  <c r="F82" i="34"/>
  <c r="G82" i="34" s="1"/>
  <c r="H19" i="34"/>
  <c r="S36" i="34"/>
  <c r="W36" i="21"/>
  <c r="BN5" i="3"/>
  <c r="BL19" i="3"/>
  <c r="AP7" i="1"/>
  <c r="AZ519" i="3"/>
  <c r="AZ510" i="3"/>
  <c r="AZ493" i="3"/>
  <c r="AB44" i="34"/>
  <c r="U44" i="34"/>
  <c r="S19" i="40"/>
  <c r="AA19" i="40"/>
  <c r="AB21" i="40"/>
  <c r="U21" i="40"/>
  <c r="AA14" i="36"/>
  <c r="S14" i="36"/>
  <c r="AZ505" i="3"/>
  <c r="AZ525" i="3"/>
  <c r="AZ533" i="3"/>
  <c r="AZ545" i="3"/>
  <c r="AZ506" i="3"/>
  <c r="AC38" i="37"/>
  <c r="W38" i="37"/>
  <c r="U28" i="37"/>
  <c r="AB28" i="37"/>
  <c r="W17" i="40"/>
  <c r="AC17" i="40"/>
  <c r="W20" i="35"/>
  <c r="AC20" i="35"/>
  <c r="W33" i="36"/>
  <c r="AC33" i="36"/>
  <c r="AB26" i="21"/>
  <c r="U26" i="21"/>
  <c r="AB35" i="21"/>
  <c r="U35" i="21"/>
  <c r="AC42" i="33"/>
  <c r="W42" i="33"/>
  <c r="H28" i="33"/>
  <c r="J28" i="33"/>
  <c r="F28" i="33"/>
  <c r="AA10" i="36"/>
  <c r="S10" i="36"/>
  <c r="J13" i="36"/>
  <c r="F13" i="36"/>
  <c r="J24" i="36"/>
  <c r="H24" i="36"/>
  <c r="F24" i="36"/>
  <c r="F32" i="36"/>
  <c r="H32" i="36"/>
  <c r="H13" i="37"/>
  <c r="J13" i="37"/>
  <c r="AC38" i="40"/>
  <c r="W38" i="40"/>
  <c r="AA38" i="40"/>
  <c r="S38" i="40"/>
  <c r="H40" i="40"/>
  <c r="J40" i="40"/>
  <c r="AC40" i="40" s="1"/>
  <c r="BL568" i="3"/>
  <c r="BA568" i="3"/>
  <c r="AZ568" i="3" s="1"/>
  <c r="BA566" i="3"/>
  <c r="AZ566" i="3" s="1"/>
  <c r="BA564" i="3"/>
  <c r="AZ564" i="3" s="1"/>
  <c r="BL562" i="3"/>
  <c r="BA562" i="3"/>
  <c r="AZ562" i="3" s="1"/>
  <c r="BL560" i="3"/>
  <c r="BA560" i="3"/>
  <c r="AZ560" i="3" s="1"/>
  <c r="G557" i="3"/>
  <c r="BL556" i="3"/>
  <c r="AZ556" i="3" s="1"/>
  <c r="BA556" i="3"/>
  <c r="BL522" i="3"/>
  <c r="BA522" i="3"/>
  <c r="BA517" i="3"/>
  <c r="BL515" i="3"/>
  <c r="BA513" i="3"/>
  <c r="AZ513" i="3" s="1"/>
  <c r="BA509" i="3"/>
  <c r="BL507" i="3"/>
  <c r="AZ507" i="3" s="1"/>
  <c r="BA507" i="3"/>
  <c r="BL503" i="3"/>
  <c r="AZ503" i="3" s="1"/>
  <c r="BA503" i="3"/>
  <c r="BA499" i="3"/>
  <c r="AZ499" i="3" s="1"/>
  <c r="BL496" i="3"/>
  <c r="BA496" i="3"/>
  <c r="AZ496" i="3" s="1"/>
  <c r="BS5" i="3"/>
  <c r="BA495" i="3"/>
  <c r="BL493" i="3"/>
  <c r="T48" i="33"/>
  <c r="G48" i="33" s="1"/>
  <c r="G52" i="33" s="1"/>
  <c r="H52" i="33" s="1"/>
  <c r="H110" i="9"/>
  <c r="D18" i="53" s="1"/>
  <c r="B35" i="72" s="1"/>
  <c r="W11" i="37"/>
  <c r="AB23" i="21"/>
  <c r="W27" i="33"/>
  <c r="AB11" i="37"/>
  <c r="AC9" i="21"/>
  <c r="S13" i="21"/>
  <c r="F85" i="21"/>
  <c r="G85" i="21" s="1"/>
  <c r="AC34" i="21"/>
  <c r="AA29" i="21"/>
  <c r="AB34" i="33"/>
  <c r="AB47" i="34"/>
  <c r="AC45" i="34"/>
  <c r="S27" i="37"/>
  <c r="U25" i="35"/>
  <c r="W9" i="36"/>
  <c r="AC25" i="36"/>
  <c r="U8" i="40"/>
  <c r="U15" i="40"/>
  <c r="S13" i="40"/>
  <c r="W27" i="40"/>
  <c r="W34" i="40"/>
  <c r="AB8" i="21"/>
  <c r="AB14" i="33"/>
  <c r="AA10" i="33"/>
  <c r="AB31" i="37"/>
  <c r="S22" i="35"/>
  <c r="U16" i="36"/>
  <c r="AA13" i="39"/>
  <c r="S18" i="39"/>
  <c r="S28" i="40"/>
  <c r="S23" i="40"/>
  <c r="W26" i="33"/>
  <c r="AC29" i="35"/>
  <c r="AC12" i="36"/>
  <c r="H52" i="43"/>
  <c r="H50" i="43"/>
  <c r="H48" i="43"/>
  <c r="H83" i="43"/>
  <c r="H86" i="43"/>
  <c r="H87" i="43"/>
  <c r="AZ347" i="3"/>
  <c r="AZ163" i="3"/>
  <c r="AZ380" i="3"/>
  <c r="W35" i="40"/>
  <c r="W12" i="37"/>
  <c r="AC12" i="37"/>
  <c r="S36" i="35"/>
  <c r="AA36" i="35"/>
  <c r="W44" i="33"/>
  <c r="AB27" i="34"/>
  <c r="U27" i="34"/>
  <c r="AB28" i="34"/>
  <c r="U28" i="34"/>
  <c r="S22" i="31"/>
  <c r="R22" i="31" s="1"/>
  <c r="B21" i="31" s="1"/>
  <c r="BL561" i="3"/>
  <c r="AZ561" i="3" s="1"/>
  <c r="BL567" i="3"/>
  <c r="AZ573" i="3"/>
  <c r="AZ577" i="3"/>
  <c r="W37" i="39"/>
  <c r="U31" i="34"/>
  <c r="F13" i="37"/>
  <c r="H13" i="36"/>
  <c r="J32" i="36"/>
  <c r="AA27" i="33"/>
  <c r="S27" i="33"/>
  <c r="AA43" i="39"/>
  <c r="S43" i="39"/>
  <c r="AB39" i="40"/>
  <c r="AA11" i="40"/>
  <c r="S11" i="40"/>
  <c r="J29" i="21"/>
  <c r="H29" i="21"/>
  <c r="U29" i="21" s="1"/>
  <c r="H31" i="21"/>
  <c r="F31" i="21"/>
  <c r="S31" i="21" s="1"/>
  <c r="J45" i="21"/>
  <c r="F45" i="21"/>
  <c r="E77" i="21"/>
  <c r="F77" i="21" s="1"/>
  <c r="G77" i="21" s="1"/>
  <c r="F15" i="21"/>
  <c r="S15" i="21" s="1"/>
  <c r="F79" i="21"/>
  <c r="G79" i="21" s="1"/>
  <c r="H17" i="21"/>
  <c r="AB17" i="21" s="1"/>
  <c r="E117" i="21"/>
  <c r="F117" i="21" s="1"/>
  <c r="G117" i="21" s="1"/>
  <c r="J39" i="21"/>
  <c r="H39" i="21"/>
  <c r="AB32" i="35"/>
  <c r="U32" i="35"/>
  <c r="J9" i="35"/>
  <c r="F9" i="35"/>
  <c r="J12" i="40"/>
  <c r="F12" i="40"/>
  <c r="H14" i="40"/>
  <c r="J14" i="40"/>
  <c r="F14" i="40"/>
  <c r="AA27" i="36"/>
  <c r="S27" i="36"/>
  <c r="AB35" i="40"/>
  <c r="U35" i="40"/>
  <c r="W27" i="36"/>
  <c r="AC27" i="36"/>
  <c r="AA42" i="33"/>
  <c r="S42" i="33"/>
  <c r="AZ515" i="3"/>
  <c r="AZ529" i="3"/>
  <c r="AZ537" i="3"/>
  <c r="AZ541" i="3"/>
  <c r="AZ565" i="3"/>
  <c r="AA44" i="39"/>
  <c r="S44" i="39"/>
  <c r="AC47" i="34"/>
  <c r="W47" i="34"/>
  <c r="AC33" i="37"/>
  <c r="W33" i="37"/>
  <c r="AC16" i="35"/>
  <c r="W16" i="35"/>
  <c r="AA23" i="35"/>
  <c r="S23" i="35"/>
  <c r="W30" i="35"/>
  <c r="AC30" i="35"/>
  <c r="AB40" i="33"/>
  <c r="U40" i="33"/>
  <c r="J26" i="37"/>
  <c r="F26" i="37"/>
  <c r="F92" i="39"/>
  <c r="G92" i="39" s="1"/>
  <c r="J18" i="39"/>
  <c r="E96" i="39"/>
  <c r="J44" i="39"/>
  <c r="H44" i="39"/>
  <c r="F102" i="39"/>
  <c r="G102" i="39" s="1"/>
  <c r="J28" i="39"/>
  <c r="AC28" i="39" s="1"/>
  <c r="E121" i="39"/>
  <c r="F40" i="39"/>
  <c r="S40" i="39" s="1"/>
  <c r="AA39" i="39"/>
  <c r="S39" i="39"/>
  <c r="S9" i="40"/>
  <c r="AA9" i="40"/>
  <c r="S38" i="34"/>
  <c r="AA38" i="34"/>
  <c r="W42" i="34"/>
  <c r="AC42" i="34"/>
  <c r="BL569" i="3"/>
  <c r="AZ569" i="3" s="1"/>
  <c r="BA567" i="3"/>
  <c r="BA563" i="3"/>
  <c r="BL559" i="3"/>
  <c r="BA559" i="3"/>
  <c r="BL557" i="3"/>
  <c r="BA557" i="3"/>
  <c r="BL523" i="3"/>
  <c r="BA523" i="3"/>
  <c r="BL520" i="3"/>
  <c r="BL518" i="3"/>
  <c r="BA518" i="3"/>
  <c r="BL516" i="3"/>
  <c r="AZ516" i="3" s="1"/>
  <c r="BA516" i="3"/>
  <c r="BL514" i="3"/>
  <c r="AZ514" i="3" s="1"/>
  <c r="BL512" i="3"/>
  <c r="BA512" i="3"/>
  <c r="AZ512" i="3" s="1"/>
  <c r="BL510" i="3"/>
  <c r="BA508" i="3"/>
  <c r="AZ508" i="3" s="1"/>
  <c r="BA504" i="3"/>
  <c r="BL502" i="3"/>
  <c r="AZ502" i="3" s="1"/>
  <c r="BL500" i="3"/>
  <c r="BA500" i="3"/>
  <c r="AZ500" i="3" s="1"/>
  <c r="BL498" i="3"/>
  <c r="AZ498" i="3" s="1"/>
  <c r="BL494" i="3"/>
  <c r="AZ494" i="3" s="1"/>
  <c r="BH5" i="3"/>
  <c r="AZ379" i="3"/>
  <c r="AZ345" i="3"/>
  <c r="AZ318" i="3"/>
  <c r="AZ372" i="3"/>
  <c r="AZ337" i="3"/>
  <c r="AZ320" i="3"/>
  <c r="AZ305" i="3"/>
  <c r="AZ376" i="3"/>
  <c r="AZ362" i="3"/>
  <c r="AZ341" i="3"/>
  <c r="AZ309" i="3"/>
  <c r="BL495" i="3"/>
  <c r="AZ495" i="3" s="1"/>
  <c r="BL499" i="3"/>
  <c r="BL509" i="3"/>
  <c r="BL517" i="3"/>
  <c r="BL563" i="3"/>
  <c r="AZ552" i="3"/>
  <c r="AZ528" i="3"/>
  <c r="S13" i="35"/>
  <c r="AA13" i="35"/>
  <c r="U11" i="35"/>
  <c r="AB11" i="35"/>
  <c r="G22" i="6"/>
  <c r="E58" i="39" s="1"/>
  <c r="T20" i="1"/>
  <c r="F22" i="6"/>
  <c r="E22" i="6" s="1"/>
  <c r="T19" i="1"/>
  <c r="BL586" i="3"/>
  <c r="BA586" i="3"/>
  <c r="J14" i="21"/>
  <c r="F14" i="21"/>
  <c r="H14" i="21"/>
  <c r="H28" i="21"/>
  <c r="F28" i="21"/>
  <c r="J28" i="21"/>
  <c r="E108" i="21"/>
  <c r="F108" i="21" s="1"/>
  <c r="G108" i="21" s="1"/>
  <c r="H108" i="21" s="1"/>
  <c r="I108" i="21" s="1"/>
  <c r="J108" i="21" s="1"/>
  <c r="K108" i="21" s="1"/>
  <c r="L108" i="21" s="1"/>
  <c r="M108" i="21" s="1"/>
  <c r="J35" i="21"/>
  <c r="G123" i="21"/>
  <c r="H123" i="21" s="1"/>
  <c r="I123" i="21" s="1"/>
  <c r="J123" i="21" s="1"/>
  <c r="K123" i="21" s="1"/>
  <c r="L123" i="21" s="1"/>
  <c r="M123" i="21" s="1"/>
  <c r="F42" i="21"/>
  <c r="AA42" i="21" s="1"/>
  <c r="J42" i="21"/>
  <c r="AC42" i="21" s="1"/>
  <c r="B74" i="43"/>
  <c r="C28" i="39"/>
  <c r="F86" i="34"/>
  <c r="G86" i="34" s="1"/>
  <c r="J23" i="34"/>
  <c r="AC23" i="34" s="1"/>
  <c r="F23" i="34"/>
  <c r="AA23" i="34" s="1"/>
  <c r="F28" i="34"/>
  <c r="J28" i="34"/>
  <c r="E126" i="34"/>
  <c r="F126" i="34" s="1"/>
  <c r="G126" i="34" s="1"/>
  <c r="J44" i="34"/>
  <c r="J12" i="33"/>
  <c r="H12" i="33"/>
  <c r="H30" i="33"/>
  <c r="F30" i="33"/>
  <c r="H44" i="33"/>
  <c r="F44" i="33"/>
  <c r="H13" i="34"/>
  <c r="F13" i="34"/>
  <c r="J31" i="34"/>
  <c r="AC31" i="34" s="1"/>
  <c r="F31" i="34"/>
  <c r="AA27" i="35"/>
  <c r="S27" i="35"/>
  <c r="J23" i="36"/>
  <c r="F23" i="36"/>
  <c r="H14" i="37"/>
  <c r="U14" i="37" s="1"/>
  <c r="J14" i="37"/>
  <c r="H27" i="37"/>
  <c r="J27" i="37"/>
  <c r="H40" i="37"/>
  <c r="F40" i="37"/>
  <c r="H25" i="37"/>
  <c r="J25" i="37"/>
  <c r="U8" i="39"/>
  <c r="AB8" i="39"/>
  <c r="AA41" i="39"/>
  <c r="S41" i="39"/>
  <c r="AA45" i="39"/>
  <c r="S45" i="39"/>
  <c r="AB31" i="35"/>
  <c r="U31" i="35"/>
  <c r="AB37" i="39"/>
  <c r="U37" i="39"/>
  <c r="BL584" i="3"/>
  <c r="AZ584" i="3" s="1"/>
  <c r="BA582" i="3"/>
  <c r="AZ582" i="3" s="1"/>
  <c r="BA580" i="3"/>
  <c r="AZ580" i="3" s="1"/>
  <c r="BL578" i="3"/>
  <c r="BA578" i="3"/>
  <c r="AZ578" i="3" s="1"/>
  <c r="BL576" i="3"/>
  <c r="BA576" i="3"/>
  <c r="AZ576" i="3" s="1"/>
  <c r="BA574" i="3"/>
  <c r="AZ574" i="3" s="1"/>
  <c r="BA572" i="3"/>
  <c r="AZ572" i="3" s="1"/>
  <c r="BL570" i="3"/>
  <c r="BA570" i="3"/>
  <c r="AZ570" i="3" s="1"/>
  <c r="BL552" i="3"/>
  <c r="BA551" i="3"/>
  <c r="AZ551" i="3" s="1"/>
  <c r="BL550" i="3"/>
  <c r="BA550" i="3"/>
  <c r="AZ550" i="3" s="1"/>
  <c r="BL546" i="3"/>
  <c r="AZ546" i="3" s="1"/>
  <c r="BL540" i="3"/>
  <c r="AZ540" i="3" s="1"/>
  <c r="BL538" i="3"/>
  <c r="AZ538" i="3" s="1"/>
  <c r="BL530" i="3"/>
  <c r="AZ530" i="3" s="1"/>
  <c r="M20" i="15"/>
  <c r="F34" i="80"/>
  <c r="F62" i="80" s="1"/>
  <c r="F34" i="79"/>
  <c r="F62" i="79" s="1"/>
  <c r="M20" i="80"/>
  <c r="M20" i="79"/>
  <c r="BA17" i="3"/>
  <c r="BC5" i="3"/>
  <c r="BI5" i="3"/>
  <c r="BO5" i="3"/>
  <c r="G401" i="3"/>
  <c r="G402" i="3"/>
  <c r="BA403" i="3"/>
  <c r="AZ403" i="3" s="1"/>
  <c r="BA404" i="3"/>
  <c r="AZ404" i="3" s="1"/>
  <c r="BA405" i="3"/>
  <c r="AZ405" i="3" s="1"/>
  <c r="G407" i="3"/>
  <c r="G408" i="3"/>
  <c r="BL408" i="3"/>
  <c r="AZ408" i="3" s="1"/>
  <c r="BA409" i="3"/>
  <c r="AZ409" i="3" s="1"/>
  <c r="G412" i="3"/>
  <c r="G413" i="3"/>
  <c r="G414" i="3"/>
  <c r="G415" i="3"/>
  <c r="BA416" i="3"/>
  <c r="AZ416" i="3" s="1"/>
  <c r="BA417" i="3"/>
  <c r="AZ417" i="3" s="1"/>
  <c r="G419" i="3"/>
  <c r="G422" i="3"/>
  <c r="G424" i="3"/>
  <c r="BA425" i="3"/>
  <c r="AZ425" i="3" s="1"/>
  <c r="BA426" i="3"/>
  <c r="AZ426" i="3" s="1"/>
  <c r="G428" i="3"/>
  <c r="G429" i="3"/>
  <c r="G431" i="3"/>
  <c r="G432" i="3"/>
  <c r="BL432" i="3"/>
  <c r="BA435" i="3"/>
  <c r="AZ435" i="3" s="1"/>
  <c r="BL435" i="3"/>
  <c r="BA436" i="3"/>
  <c r="AZ436" i="3" s="1"/>
  <c r="BA437" i="3"/>
  <c r="AZ437" i="3" s="1"/>
  <c r="BA438" i="3"/>
  <c r="AZ438" i="3" s="1"/>
  <c r="BA439" i="3"/>
  <c r="AZ439" i="3" s="1"/>
  <c r="BA440" i="3"/>
  <c r="AZ440" i="3" s="1"/>
  <c r="BA441" i="3"/>
  <c r="AZ441" i="3" s="1"/>
  <c r="G443" i="3"/>
  <c r="BA444" i="3"/>
  <c r="AZ444" i="3" s="1"/>
  <c r="BA445" i="3"/>
  <c r="AZ445" i="3" s="1"/>
  <c r="G447" i="3"/>
  <c r="BA448" i="3"/>
  <c r="AZ448" i="3" s="1"/>
  <c r="G450" i="3"/>
  <c r="G454" i="3"/>
  <c r="BA455" i="3"/>
  <c r="AZ455" i="3" s="1"/>
  <c r="BA456" i="3"/>
  <c r="AZ456" i="3" s="1"/>
  <c r="BA457" i="3"/>
  <c r="AZ457" i="3" s="1"/>
  <c r="G459" i="3"/>
  <c r="G460" i="3"/>
  <c r="G461" i="3"/>
  <c r="G462" i="3"/>
  <c r="G463" i="3"/>
  <c r="BL463" i="3"/>
  <c r="BA464" i="3"/>
  <c r="AZ464" i="3" s="1"/>
  <c r="BA465" i="3"/>
  <c r="AZ465" i="3" s="1"/>
  <c r="BA466" i="3"/>
  <c r="AZ466" i="3" s="1"/>
  <c r="BA467" i="3"/>
  <c r="AZ467" i="3" s="1"/>
  <c r="BA468" i="3"/>
  <c r="AZ468" i="3" s="1"/>
  <c r="BA469" i="3"/>
  <c r="BL469" i="3"/>
  <c r="BA470" i="3"/>
  <c r="AZ470" i="3" s="1"/>
  <c r="G472" i="3"/>
  <c r="G473" i="3"/>
  <c r="BL473" i="3"/>
  <c r="AZ473" i="3" s="1"/>
  <c r="BA474" i="3"/>
  <c r="AZ474" i="3" s="1"/>
  <c r="G477" i="3"/>
  <c r="G478" i="3"/>
  <c r="G480" i="3"/>
  <c r="G481" i="3"/>
  <c r="BA482" i="3"/>
  <c r="AZ482" i="3" s="1"/>
  <c r="BA483" i="3"/>
  <c r="AZ483" i="3" s="1"/>
  <c r="BA484" i="3"/>
  <c r="AZ484" i="3" s="1"/>
  <c r="G487" i="3"/>
  <c r="G489" i="3"/>
  <c r="BA490" i="3"/>
  <c r="AZ490" i="3" s="1"/>
  <c r="BA491" i="3"/>
  <c r="AZ491" i="3" s="1"/>
  <c r="G311" i="3"/>
  <c r="G315" i="3"/>
  <c r="BA317" i="3"/>
  <c r="AZ317" i="3" s="1"/>
  <c r="G323" i="3"/>
  <c r="G327" i="3"/>
  <c r="G331" i="3"/>
  <c r="BA333" i="3"/>
  <c r="AZ333" i="3" s="1"/>
  <c r="G339" i="3"/>
  <c r="G347" i="3"/>
  <c r="G349" i="3"/>
  <c r="G351" i="3"/>
  <c r="G358" i="3"/>
  <c r="G362" i="3"/>
  <c r="G366" i="3"/>
  <c r="BA367" i="3"/>
  <c r="AZ367" i="3" s="1"/>
  <c r="BA370" i="3"/>
  <c r="AZ370" i="3" s="1"/>
  <c r="BA374" i="3"/>
  <c r="AZ374" i="3" s="1"/>
  <c r="G380" i="3"/>
  <c r="G384" i="3"/>
  <c r="BA386" i="3"/>
  <c r="AZ386" i="3" s="1"/>
  <c r="G392" i="3"/>
  <c r="BL393" i="3"/>
  <c r="AZ393" i="3" s="1"/>
  <c r="G396" i="3"/>
  <c r="G397" i="3"/>
  <c r="G209" i="3"/>
  <c r="G210" i="3"/>
  <c r="BA211" i="3"/>
  <c r="AZ211" i="3" s="1"/>
  <c r="BA212" i="3"/>
  <c r="AZ212" i="3" s="1"/>
  <c r="BA213" i="3"/>
  <c r="AZ213" i="3" s="1"/>
  <c r="G215" i="3"/>
  <c r="BL215" i="3"/>
  <c r="AZ215" i="3" s="1"/>
  <c r="BA216" i="3"/>
  <c r="AZ216" i="3" s="1"/>
  <c r="BA217" i="3"/>
  <c r="AZ217" i="3" s="1"/>
  <c r="BA218" i="3"/>
  <c r="AZ218" i="3" s="1"/>
  <c r="BA219" i="3"/>
  <c r="AZ219" i="3" s="1"/>
  <c r="G222" i="3"/>
  <c r="G223" i="3"/>
  <c r="G224" i="3"/>
  <c r="G225" i="3"/>
  <c r="BL225" i="3"/>
  <c r="AZ225" i="3" s="1"/>
  <c r="BA226" i="3"/>
  <c r="AZ226" i="3" s="1"/>
  <c r="BA227" i="3"/>
  <c r="AZ227" i="3" s="1"/>
  <c r="BA228" i="3"/>
  <c r="AZ228" i="3" s="1"/>
  <c r="G230" i="3"/>
  <c r="G231" i="3"/>
  <c r="G232" i="3"/>
  <c r="G233" i="3"/>
  <c r="BA234" i="3"/>
  <c r="AZ234" i="3" s="1"/>
  <c r="BA235" i="3"/>
  <c r="AZ235" i="3" s="1"/>
  <c r="BA236" i="3"/>
  <c r="AZ236" i="3" s="1"/>
  <c r="BA237" i="3"/>
  <c r="AZ237" i="3" s="1"/>
  <c r="BA239" i="3"/>
  <c r="AZ239" i="3" s="1"/>
  <c r="BA240" i="3"/>
  <c r="AZ240" i="3" s="1"/>
  <c r="G242" i="3"/>
  <c r="G243" i="3"/>
  <c r="G244" i="3"/>
  <c r="G246" i="3"/>
  <c r="G247" i="3"/>
  <c r="G248" i="3"/>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G273" i="3"/>
  <c r="G274" i="3"/>
  <c r="BL274" i="3"/>
  <c r="BA276" i="3"/>
  <c r="AZ276" i="3" s="1"/>
  <c r="BA278" i="3"/>
  <c r="AZ278" i="3" s="1"/>
  <c r="AB18" i="36"/>
  <c r="U18" i="36"/>
  <c r="C12" i="71"/>
  <c r="D12" i="71" s="1"/>
  <c r="D13" i="71"/>
  <c r="C72" i="71"/>
  <c r="D72" i="71" s="1"/>
  <c r="D73" i="71"/>
  <c r="T30" i="71"/>
  <c r="D30" i="71"/>
  <c r="B13" i="71"/>
  <c r="B12" i="71" s="1"/>
  <c r="S14" i="71"/>
  <c r="D7" i="12"/>
  <c r="D8" i="12" s="1"/>
  <c r="G574" i="3"/>
  <c r="G558" i="3"/>
  <c r="G542" i="3"/>
  <c r="C5" i="11"/>
  <c r="BP5" i="3"/>
  <c r="AZ402" i="3"/>
  <c r="AZ419" i="3"/>
  <c r="AZ429" i="3"/>
  <c r="AZ434" i="3"/>
  <c r="AZ443" i="3"/>
  <c r="AZ447" i="3"/>
  <c r="AZ451" i="3"/>
  <c r="AZ454" i="3"/>
  <c r="AZ463" i="3"/>
  <c r="AZ478" i="3"/>
  <c r="AZ481" i="3"/>
  <c r="AZ489" i="3"/>
  <c r="AZ397" i="3"/>
  <c r="AZ244" i="3"/>
  <c r="AZ274" i="3"/>
  <c r="B13" i="1"/>
  <c r="E13" i="1" s="1"/>
  <c r="K13" i="1"/>
  <c r="M13" i="1" s="1"/>
  <c r="O13" i="1" s="1"/>
  <c r="P13" i="1" s="1"/>
  <c r="BA279" i="3"/>
  <c r="AZ279" i="3" s="1"/>
  <c r="BA280" i="3"/>
  <c r="AZ280" i="3" s="1"/>
  <c r="BA281" i="3"/>
  <c r="AZ281" i="3" s="1"/>
  <c r="BL283" i="3"/>
  <c r="AZ283" i="3" s="1"/>
  <c r="G285" i="3"/>
  <c r="BL285" i="3"/>
  <c r="BL287" i="3"/>
  <c r="AZ287" i="3" s="1"/>
  <c r="G290" i="3"/>
  <c r="BL290" i="3"/>
  <c r="AZ290" i="3" s="1"/>
  <c r="BA292" i="3"/>
  <c r="AZ292"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J51" i="79"/>
  <c r="J51" i="80"/>
  <c r="AC18" i="35"/>
  <c r="W18" i="35"/>
  <c r="AB17" i="71"/>
  <c r="AB13" i="71"/>
  <c r="AA18" i="71"/>
  <c r="AA16" i="71"/>
  <c r="C20" i="71"/>
  <c r="Y16" i="71"/>
  <c r="Z16" i="71" s="1"/>
  <c r="Y15" i="71"/>
  <c r="Z15" i="71" s="1"/>
  <c r="X19" i="71"/>
  <c r="X20" i="71"/>
  <c r="X15" i="71"/>
  <c r="X21" i="71"/>
  <c r="Y25" i="71"/>
  <c r="Z25" i="71" s="1"/>
  <c r="Y24" i="71"/>
  <c r="Z24" i="71" s="1"/>
  <c r="Y22" i="71"/>
  <c r="Z22" i="71" s="1"/>
  <c r="BL202" i="3"/>
  <c r="AZ202" i="3" s="1"/>
  <c r="BA204" i="3"/>
  <c r="AZ204" i="3" s="1"/>
  <c r="BA205" i="3"/>
  <c r="AZ205" i="3" s="1"/>
  <c r="BA206" i="3"/>
  <c r="AZ206" i="3" s="1"/>
  <c r="BJ5"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G1" i="80"/>
  <c r="G1" i="79"/>
  <c r="J51" i="15"/>
  <c r="AC21" i="21"/>
  <c r="W21" i="21"/>
  <c r="B86" i="43"/>
  <c r="C25" i="40"/>
  <c r="AA18" i="35"/>
  <c r="S18" i="35"/>
  <c r="AA18" i="36"/>
  <c r="S18" i="36"/>
  <c r="C18" i="71"/>
  <c r="D17" i="71"/>
  <c r="C25" i="71"/>
  <c r="D24" i="71"/>
  <c r="D48" i="71"/>
  <c r="C49" i="71"/>
  <c r="O54" i="71"/>
  <c r="C53" i="71"/>
  <c r="D54" i="71"/>
  <c r="T62" i="71"/>
  <c r="C61" i="71"/>
  <c r="D62" i="71"/>
  <c r="M56" i="9"/>
  <c r="K56" i="9"/>
  <c r="X11" i="71"/>
  <c r="AA11" i="71"/>
  <c r="AA12" i="71"/>
  <c r="E59" i="43"/>
  <c r="B57" i="43" s="1"/>
  <c r="I20" i="66"/>
  <c r="D1" i="66" s="1"/>
  <c r="E10" i="66" s="1"/>
  <c r="T46" i="71"/>
  <c r="D46" i="71"/>
  <c r="AB12" i="71"/>
  <c r="AB14" i="71"/>
  <c r="E21" i="71"/>
  <c r="E22" i="71" s="1"/>
  <c r="U22" i="71" s="1"/>
  <c r="F16" i="71"/>
  <c r="F17" i="71" s="1"/>
  <c r="F18" i="71" s="1"/>
  <c r="V18" i="71" s="1"/>
  <c r="AB15" i="71"/>
  <c r="AA17" i="71"/>
  <c r="AA21" i="71"/>
  <c r="Y23" i="71"/>
  <c r="Z23" i="71" s="1"/>
  <c r="F24" i="71"/>
  <c r="F25" i="71" s="1"/>
  <c r="F26" i="71" s="1"/>
  <c r="V26" i="71" s="1"/>
  <c r="AB23" i="71"/>
  <c r="X25" i="71"/>
  <c r="X22" i="71"/>
  <c r="B33" i="71"/>
  <c r="B34" i="71" s="1"/>
  <c r="S34" i="71" s="1"/>
  <c r="X13" i="71"/>
  <c r="AA13" i="71"/>
  <c r="P74" i="15"/>
  <c r="P61" i="15"/>
  <c r="Y8" i="71"/>
  <c r="Z8" i="71" s="1"/>
  <c r="Y3" i="71"/>
  <c r="Z3" i="71" s="1"/>
  <c r="U14" i="71"/>
  <c r="AA10" i="71"/>
  <c r="B18" i="71"/>
  <c r="S18" i="71" s="1"/>
  <c r="X12" i="71"/>
  <c r="X16" i="71"/>
  <c r="AB16" i="71"/>
  <c r="Y17" i="71"/>
  <c r="Z17" i="71" s="1"/>
  <c r="X17" i="71"/>
  <c r="AB18" i="71"/>
  <c r="AB20" i="71"/>
  <c r="Y21" i="71"/>
  <c r="Z21" i="71" s="1"/>
  <c r="AB22" i="71"/>
  <c r="AB10" i="71"/>
  <c r="F33" i="39"/>
  <c r="AA33" i="39" s="1"/>
  <c r="H33" i="39"/>
  <c r="AB33" i="39" s="1"/>
  <c r="F108" i="39"/>
  <c r="G108" i="39" s="1"/>
  <c r="H108" i="39" s="1"/>
  <c r="I108" i="39" s="1"/>
  <c r="J108" i="39" s="1"/>
  <c r="K108" i="39" s="1"/>
  <c r="L108" i="39" s="1"/>
  <c r="M108" i="39" s="1"/>
  <c r="J33" i="39"/>
  <c r="W33" i="39" s="1"/>
  <c r="AC14" i="39"/>
  <c r="S14" i="39"/>
  <c r="U42" i="39"/>
  <c r="J42" i="39"/>
  <c r="W42" i="39" s="1"/>
  <c r="F42" i="39"/>
  <c r="U41" i="39"/>
  <c r="S16" i="39"/>
  <c r="U38" i="39"/>
  <c r="W25" i="34"/>
  <c r="S33" i="39"/>
  <c r="AA33" i="34"/>
  <c r="H112" i="34"/>
  <c r="I112" i="34" s="1"/>
  <c r="J112" i="34" s="1"/>
  <c r="K112" i="34" s="1"/>
  <c r="L112" i="34" s="1"/>
  <c r="M112" i="34" s="1"/>
  <c r="H37" i="34"/>
  <c r="J37" i="34"/>
  <c r="F37" i="34"/>
  <c r="F118" i="34"/>
  <c r="G118" i="34" s="1"/>
  <c r="H40" i="34"/>
  <c r="U40" i="34" s="1"/>
  <c r="J40" i="34"/>
  <c r="F40" i="34"/>
  <c r="S40" i="34" s="1"/>
  <c r="AA41" i="34"/>
  <c r="H43" i="34"/>
  <c r="G124" i="34"/>
  <c r="H124" i="34" s="1"/>
  <c r="I124" i="34" s="1"/>
  <c r="J124" i="34" s="1"/>
  <c r="K124" i="34" s="1"/>
  <c r="L124" i="34" s="1"/>
  <c r="M124" i="34" s="1"/>
  <c r="F43" i="34"/>
  <c r="J43" i="34"/>
  <c r="AB40" i="34"/>
  <c r="W41" i="34"/>
  <c r="S44" i="34"/>
  <c r="AB35" i="34"/>
  <c r="W23" i="34"/>
  <c r="S23" i="34"/>
  <c r="AB23" i="34"/>
  <c r="J21" i="34"/>
  <c r="H21" i="34"/>
  <c r="F21" i="34"/>
  <c r="AA21" i="34" s="1"/>
  <c r="J19" i="34"/>
  <c r="AC19" i="34" s="1"/>
  <c r="F19" i="34"/>
  <c r="W19" i="34"/>
  <c r="F80" i="34"/>
  <c r="G80" i="34" s="1"/>
  <c r="H17" i="34"/>
  <c r="U17" i="34" s="1"/>
  <c r="F17" i="34"/>
  <c r="AA17" i="34" s="1"/>
  <c r="J17" i="34"/>
  <c r="W17" i="34" s="1"/>
  <c r="S17" i="34"/>
  <c r="F78" i="34"/>
  <c r="G78" i="34" s="1"/>
  <c r="F15" i="34"/>
  <c r="H15" i="34"/>
  <c r="J15" i="34"/>
  <c r="W15" i="34" s="1"/>
  <c r="AB35" i="39"/>
  <c r="W30" i="39"/>
  <c r="S30" i="39"/>
  <c r="F28" i="39"/>
  <c r="AB28" i="39"/>
  <c r="W28" i="39"/>
  <c r="U26" i="39"/>
  <c r="S26" i="39"/>
  <c r="S24" i="39"/>
  <c r="H18" i="39"/>
  <c r="AB18" i="39" s="1"/>
  <c r="F94" i="39"/>
  <c r="G94" i="39" s="1"/>
  <c r="H20" i="39"/>
  <c r="F20" i="39"/>
  <c r="J20" i="39"/>
  <c r="AC20" i="39" s="1"/>
  <c r="AB16" i="39"/>
  <c r="AA39" i="34"/>
  <c r="AC38" i="34"/>
  <c r="AC36" i="34"/>
  <c r="F70" i="34"/>
  <c r="AC10" i="34"/>
  <c r="U10" i="34"/>
  <c r="AB14" i="39"/>
  <c r="U15" i="39"/>
  <c r="W15" i="39"/>
  <c r="G82" i="39"/>
  <c r="H82" i="39" s="1"/>
  <c r="I82" i="39" s="1"/>
  <c r="J82" i="39" s="1"/>
  <c r="K82" i="39" s="1"/>
  <c r="L82" i="39" s="1"/>
  <c r="M82" i="39" s="1"/>
  <c r="U43" i="39"/>
  <c r="AB40" i="39"/>
  <c r="AA40" i="39"/>
  <c r="AC39" i="39"/>
  <c r="S9" i="39"/>
  <c r="W9" i="39"/>
  <c r="W42" i="21"/>
  <c r="F43" i="21"/>
  <c r="AC38" i="21"/>
  <c r="AB37" i="21"/>
  <c r="H34" i="21"/>
  <c r="AA36" i="21"/>
  <c r="S40" i="21"/>
  <c r="U43" i="21"/>
  <c r="AB38" i="21"/>
  <c r="W27" i="21"/>
  <c r="AC27" i="21"/>
  <c r="U30" i="21"/>
  <c r="AB30" i="21"/>
  <c r="AB29" i="21"/>
  <c r="W31" i="21"/>
  <c r="W25" i="21"/>
  <c r="AB25" i="21"/>
  <c r="AA31" i="21"/>
  <c r="J30" i="21"/>
  <c r="F30" i="21"/>
  <c r="F23" i="21"/>
  <c r="AC23" i="21"/>
  <c r="S21" i="21"/>
  <c r="U21" i="21"/>
  <c r="H19" i="21"/>
  <c r="AB19" i="21" s="1"/>
  <c r="S19" i="21"/>
  <c r="U19" i="21"/>
  <c r="U17" i="21"/>
  <c r="F17" i="21"/>
  <c r="AC15" i="21"/>
  <c r="AA15" i="21"/>
  <c r="U9" i="21"/>
  <c r="S10" i="21"/>
  <c r="S42" i="21"/>
  <c r="S39" i="21"/>
  <c r="AA38" i="21"/>
  <c r="AB36" i="21"/>
  <c r="S34" i="21"/>
  <c r="B41" i="1"/>
  <c r="D93" i="9"/>
  <c r="M20" i="67"/>
  <c r="F34" i="67"/>
  <c r="F62" i="67" s="1"/>
  <c r="C40" i="69"/>
  <c r="E19" i="11"/>
  <c r="G26" i="12"/>
  <c r="G22" i="69"/>
  <c r="G25" i="12"/>
  <c r="G41" i="11"/>
  <c r="G27" i="12"/>
  <c r="G41" i="68"/>
  <c r="G7" i="1"/>
  <c r="H75" i="43"/>
  <c r="AC5" i="3"/>
  <c r="G27" i="6"/>
  <c r="BG5" i="3"/>
  <c r="BL21" i="3"/>
  <c r="BL23" i="3"/>
  <c r="K10" i="1"/>
  <c r="E7" i="12"/>
  <c r="G1" i="69"/>
  <c r="G1" i="68"/>
  <c r="G1" i="67"/>
  <c r="G1" i="15"/>
  <c r="K1" i="12"/>
  <c r="K8" i="1"/>
  <c r="M8" i="1" s="1"/>
  <c r="BT5" i="3"/>
  <c r="BL18" i="3"/>
  <c r="G19" i="3"/>
  <c r="BL20" i="3"/>
  <c r="G21" i="3"/>
  <c r="BL22" i="3"/>
  <c r="G23" i="3"/>
  <c r="BR5" i="3"/>
  <c r="G28" i="6" s="1"/>
  <c r="BQ5" i="3"/>
  <c r="F28" i="6" s="1"/>
  <c r="BL13" i="3"/>
  <c r="G13" i="3"/>
  <c r="G17" i="3"/>
  <c r="G16" i="3"/>
  <c r="G15" i="3"/>
  <c r="BL17" i="3"/>
  <c r="AZ17" i="3" s="1"/>
  <c r="BM5" i="3"/>
  <c r="F29" i="6" s="1"/>
  <c r="G18" i="3"/>
  <c r="G20" i="3"/>
  <c r="G22" i="3"/>
  <c r="BD5" i="3"/>
  <c r="BE5" i="3"/>
  <c r="BA22" i="3"/>
  <c r="AZ22" i="3" s="1"/>
  <c r="BF5" i="3"/>
  <c r="BA23" i="3"/>
  <c r="AZ23" i="3" s="1"/>
  <c r="AQ13" i="1"/>
  <c r="BA15" i="3"/>
  <c r="T13" i="1"/>
  <c r="BA13" i="3"/>
  <c r="AZ13" i="3" s="1"/>
  <c r="BB5" i="3"/>
  <c r="I4" i="6"/>
  <c r="H5" i="3"/>
  <c r="G14" i="3"/>
  <c r="BA16" i="3"/>
  <c r="AZ16" i="3" s="1"/>
  <c r="BA14" i="3"/>
  <c r="L27" i="6"/>
  <c r="AR12" i="1"/>
  <c r="T12" i="1"/>
  <c r="AQ12" i="1"/>
  <c r="BL14" i="3"/>
  <c r="BL15" i="3"/>
  <c r="BA18" i="3"/>
  <c r="BA19" i="3"/>
  <c r="AZ19" i="3" s="1"/>
  <c r="BA20" i="3"/>
  <c r="BA21" i="3"/>
  <c r="T35" i="4"/>
  <c r="A19" i="51" s="1"/>
  <c r="B14" i="72" s="1"/>
  <c r="G13" i="1"/>
  <c r="G11" i="1"/>
  <c r="G12" i="1"/>
  <c r="G10" i="1"/>
  <c r="G8" i="1"/>
  <c r="A2" i="9"/>
  <c r="A118" i="9"/>
  <c r="R49" i="33"/>
  <c r="C49" i="33" s="1"/>
  <c r="E48" i="33"/>
  <c r="C65" i="40"/>
  <c r="D63" i="40"/>
  <c r="G69" i="39"/>
  <c r="H69" i="39" s="1"/>
  <c r="F71" i="39"/>
  <c r="U7" i="33"/>
  <c r="I52" i="33"/>
  <c r="J52" i="33" s="1"/>
  <c r="I53" i="33"/>
  <c r="J53" i="33" s="1"/>
  <c r="C48" i="33"/>
  <c r="G53" i="33"/>
  <c r="H53" i="33" s="1"/>
  <c r="J58" i="21"/>
  <c r="K58" i="21" s="1"/>
  <c r="L58" i="21" s="1"/>
  <c r="M58" i="21" s="1"/>
  <c r="N58" i="21" s="1"/>
  <c r="O58" i="21" s="1"/>
  <c r="J7" i="21"/>
  <c r="H7" i="21"/>
  <c r="I59" i="34"/>
  <c r="J59" i="34" s="1"/>
  <c r="K59" i="34" s="1"/>
  <c r="L59" i="34" s="1"/>
  <c r="M59" i="34" s="1"/>
  <c r="N59" i="34" s="1"/>
  <c r="O59" i="34" s="1"/>
  <c r="H48" i="35"/>
  <c r="I48" i="35" s="1"/>
  <c r="J48" i="35" s="1"/>
  <c r="K48" i="35" s="1"/>
  <c r="L48" i="35" s="1"/>
  <c r="M48" i="35" s="1"/>
  <c r="N48" i="35" s="1"/>
  <c r="O48" i="35" s="1"/>
  <c r="K52" i="37"/>
  <c r="L52" i="37" s="1"/>
  <c r="M52" i="37" s="1"/>
  <c r="N52" i="37" s="1"/>
  <c r="O52" i="37" s="1"/>
  <c r="E52" i="33"/>
  <c r="F52" i="33" s="1"/>
  <c r="D124" i="9"/>
  <c r="F7" i="21"/>
  <c r="J7" i="37"/>
  <c r="H7" i="35"/>
  <c r="P7" i="1"/>
  <c r="AA17" i="33"/>
  <c r="W25" i="33"/>
  <c r="U36" i="33"/>
  <c r="W19" i="37"/>
  <c r="AC17" i="21"/>
  <c r="W17" i="21"/>
  <c r="W37" i="21"/>
  <c r="AC37" i="21"/>
  <c r="U15" i="21"/>
  <c r="AB15" i="21"/>
  <c r="AA37" i="21"/>
  <c r="S37" i="21"/>
  <c r="P11" i="1"/>
  <c r="E46" i="36"/>
  <c r="O12" i="1"/>
  <c r="AZ583" i="3"/>
  <c r="AZ558" i="3"/>
  <c r="U11" i="36"/>
  <c r="AB11" i="36"/>
  <c r="U26" i="33"/>
  <c r="AB26" i="33"/>
  <c r="U13" i="39"/>
  <c r="AA27" i="40"/>
  <c r="AA34" i="33"/>
  <c r="U12" i="37"/>
  <c r="AZ521" i="3"/>
  <c r="AZ587" i="3"/>
  <c r="AZ504" i="3"/>
  <c r="AZ520" i="3"/>
  <c r="AZ534" i="3"/>
  <c r="AZ542" i="3"/>
  <c r="U46" i="33"/>
  <c r="S44" i="33"/>
  <c r="AA44" i="33"/>
  <c r="S14" i="33"/>
  <c r="AA14" i="33"/>
  <c r="AA11" i="36"/>
  <c r="S11" i="36"/>
  <c r="AC11" i="35"/>
  <c r="W11" i="35"/>
  <c r="W30" i="34"/>
  <c r="AC30" i="34"/>
  <c r="AA45" i="33"/>
  <c r="S45" i="33"/>
  <c r="AC29" i="33"/>
  <c r="W29" i="33"/>
  <c r="J9" i="34"/>
  <c r="H9" i="34"/>
  <c r="AC28" i="35"/>
  <c r="W28" i="35"/>
  <c r="J34" i="35"/>
  <c r="H34" i="35"/>
  <c r="F34" i="35"/>
  <c r="AB9" i="36"/>
  <c r="U9" i="36"/>
  <c r="AC25" i="37"/>
  <c r="W25" i="37"/>
  <c r="AC31" i="37"/>
  <c r="W31" i="37"/>
  <c r="AB14" i="37"/>
  <c r="H45" i="39"/>
  <c r="J45" i="39"/>
  <c r="AC8" i="40"/>
  <c r="W8" i="40"/>
  <c r="AB34" i="40"/>
  <c r="U34" i="40"/>
  <c r="AB40" i="40"/>
  <c r="U40" i="40"/>
  <c r="AZ432" i="3"/>
  <c r="U30" i="35"/>
  <c r="S26" i="33"/>
  <c r="W31" i="36"/>
  <c r="W28" i="36"/>
  <c r="BL585" i="3"/>
  <c r="AZ585" i="3" s="1"/>
  <c r="AA40" i="33"/>
  <c r="F9" i="34"/>
  <c r="J12" i="34"/>
  <c r="F12" i="35"/>
  <c r="H36" i="35"/>
  <c r="J36" i="35"/>
  <c r="F25" i="37"/>
  <c r="AB9" i="39"/>
  <c r="U9" i="39"/>
  <c r="H32" i="39"/>
  <c r="F32" i="39"/>
  <c r="H46" i="39"/>
  <c r="F46" i="39"/>
  <c r="J46" i="39"/>
  <c r="W9" i="40"/>
  <c r="AC9" i="40"/>
  <c r="AA34" i="40"/>
  <c r="S34" i="40"/>
  <c r="AA40" i="40"/>
  <c r="S40" i="40"/>
  <c r="W40" i="40"/>
  <c r="W31" i="35"/>
  <c r="AC31" i="35"/>
  <c r="AA30" i="36"/>
  <c r="S30" i="36"/>
  <c r="J36" i="39"/>
  <c r="F36" i="39"/>
  <c r="G551" i="3"/>
  <c r="BL548" i="3"/>
  <c r="AZ399" i="3"/>
  <c r="AZ410" i="3"/>
  <c r="AZ420" i="3"/>
  <c r="O17" i="43"/>
  <c r="M17" i="43"/>
  <c r="N17" i="43"/>
  <c r="L17" i="43"/>
  <c r="E17" i="43"/>
  <c r="AZ452" i="3"/>
  <c r="AZ475" i="3"/>
  <c r="AZ485" i="3"/>
  <c r="AZ316" i="3"/>
  <c r="AZ332" i="3"/>
  <c r="AZ385" i="3"/>
  <c r="AZ220" i="3"/>
  <c r="AZ258" i="3"/>
  <c r="AZ262" i="3"/>
  <c r="AZ267" i="3"/>
  <c r="AZ285" i="3"/>
  <c r="AZ293" i="3"/>
  <c r="AZ99" i="3"/>
  <c r="AZ277" i="3"/>
  <c r="AZ301" i="3"/>
  <c r="AZ122" i="3"/>
  <c r="AZ54" i="3"/>
  <c r="AZ57" i="3"/>
  <c r="AZ70" i="3"/>
  <c r="AZ103" i="3"/>
  <c r="AZ112" i="3"/>
  <c r="F3" i="35"/>
  <c r="M100" i="43"/>
  <c r="I100" i="43"/>
  <c r="E100" i="43"/>
  <c r="D100" i="43"/>
  <c r="D23" i="67"/>
  <c r="C30" i="39"/>
  <c r="B66" i="43"/>
  <c r="V14" i="71"/>
  <c r="AA3" i="71"/>
  <c r="P61" i="67"/>
  <c r="P74" i="67"/>
  <c r="AA7" i="71"/>
  <c r="AA8" i="71"/>
  <c r="AA9" i="71"/>
  <c r="B10" i="71"/>
  <c r="X10" i="71"/>
  <c r="X7" i="71"/>
  <c r="Y5" i="71"/>
  <c r="Z5" i="71" s="1"/>
  <c r="AA5" i="71"/>
  <c r="X14" i="71"/>
  <c r="Y14" i="71"/>
  <c r="Z14" i="71" s="1"/>
  <c r="Y13" i="71"/>
  <c r="Z13" i="71" s="1"/>
  <c r="Y12" i="71"/>
  <c r="Z12" i="71" s="1"/>
  <c r="Y11" i="71"/>
  <c r="Z11" i="71" s="1"/>
  <c r="AA22" i="71"/>
  <c r="AB19" i="71"/>
  <c r="Y19" i="71"/>
  <c r="Z19" i="71" s="1"/>
  <c r="X18" i="71"/>
  <c r="X23" i="71"/>
  <c r="AA15" i="71"/>
  <c r="V54" i="71"/>
  <c r="F53" i="71"/>
  <c r="E10" i="71"/>
  <c r="Y9" i="71"/>
  <c r="Z9" i="71" s="1"/>
  <c r="C10" i="71"/>
  <c r="Y10" i="71"/>
  <c r="Z10" i="71" s="1"/>
  <c r="AB8" i="71"/>
  <c r="AB9" i="71"/>
  <c r="Y7" i="71"/>
  <c r="Z7" i="71" s="1"/>
  <c r="AB5" i="71"/>
  <c r="X9" i="71"/>
  <c r="X8" i="71"/>
  <c r="AB7" i="71"/>
  <c r="AB6" i="71"/>
  <c r="X6" i="71"/>
  <c r="X5" i="71"/>
  <c r="AA6"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3" i="70"/>
  <c r="E20" i="43"/>
  <c r="B20" i="31"/>
  <c r="B7" i="70"/>
  <c r="B11" i="70"/>
  <c r="I1" i="73"/>
  <c r="B39" i="1" s="1"/>
  <c r="B12" i="70"/>
  <c r="K1" i="73"/>
  <c r="M17" i="15"/>
  <c r="F59" i="15"/>
  <c r="F31" i="67"/>
  <c r="F59" i="67"/>
  <c r="M17" i="67"/>
  <c r="F31" i="15"/>
  <c r="M22" i="67"/>
  <c r="F9" i="67"/>
  <c r="M9" i="15"/>
  <c r="M24" i="15"/>
  <c r="F7" i="67"/>
  <c r="F37" i="67"/>
  <c r="F38" i="67"/>
  <c r="M28" i="67"/>
  <c r="M23" i="67"/>
  <c r="M8" i="15"/>
  <c r="F40" i="67"/>
  <c r="M24" i="67"/>
  <c r="M6" i="67"/>
  <c r="J15" i="15"/>
  <c r="M21" i="67"/>
  <c r="M9" i="67"/>
  <c r="J15" i="67"/>
  <c r="F42" i="67"/>
  <c r="F6" i="67"/>
  <c r="C76" i="15"/>
  <c r="C76" i="67"/>
  <c r="F8" i="67"/>
  <c r="L47" i="67"/>
  <c r="M29" i="67"/>
  <c r="F13" i="67"/>
  <c r="M8" i="67"/>
  <c r="F37" i="15"/>
  <c r="M26" i="15"/>
  <c r="F36" i="67"/>
  <c r="F16" i="67"/>
  <c r="M27" i="67"/>
  <c r="M23" i="15"/>
  <c r="L48" i="67"/>
  <c r="M26" i="67"/>
  <c r="F41" i="67"/>
  <c r="F26" i="67"/>
  <c r="M22" i="15"/>
  <c r="F40" i="15"/>
  <c r="F43" i="67"/>
  <c r="G1" i="73"/>
  <c r="F35" i="67"/>
  <c r="L47" i="15"/>
  <c r="D17" i="53" l="1"/>
  <c r="B36" i="72" s="1"/>
  <c r="E15" i="6"/>
  <c r="AB19" i="34"/>
  <c r="U19" i="34"/>
  <c r="G29" i="6"/>
  <c r="E29" i="6" s="1"/>
  <c r="G30" i="6"/>
  <c r="G31" i="6" s="1"/>
  <c r="K9" i="1"/>
  <c r="F7" i="12"/>
  <c r="G3" i="43"/>
  <c r="J22" i="43" s="1"/>
  <c r="C11" i="39"/>
  <c r="C60" i="71"/>
  <c r="D60" i="71" s="1"/>
  <c r="D61" i="71"/>
  <c r="C26" i="71"/>
  <c r="D25" i="71"/>
  <c r="T18" i="71"/>
  <c r="D18" i="71"/>
  <c r="U25" i="37"/>
  <c r="AB25" i="37"/>
  <c r="U40" i="37"/>
  <c r="AB40" i="37"/>
  <c r="U27" i="37"/>
  <c r="AB27" i="37"/>
  <c r="AC23" i="36"/>
  <c r="W23" i="36"/>
  <c r="U13" i="34"/>
  <c r="AB13" i="34"/>
  <c r="U44" i="33"/>
  <c r="AB44" i="33"/>
  <c r="U30" i="33"/>
  <c r="AB30" i="33"/>
  <c r="AC12" i="33"/>
  <c r="W12" i="33"/>
  <c r="AA28" i="34"/>
  <c r="S28" i="34"/>
  <c r="AA28" i="21"/>
  <c r="S28" i="21"/>
  <c r="AB14" i="21"/>
  <c r="U14" i="21"/>
  <c r="W14" i="21"/>
  <c r="AC14" i="21"/>
  <c r="AZ563" i="3"/>
  <c r="F121" i="39"/>
  <c r="G121" i="39" s="1"/>
  <c r="H121" i="39" s="1"/>
  <c r="I121" i="39" s="1"/>
  <c r="J121" i="39" s="1"/>
  <c r="K121" i="39" s="1"/>
  <c r="L121" i="39" s="1"/>
  <c r="M121" i="39" s="1"/>
  <c r="J40" i="39"/>
  <c r="AC44" i="39"/>
  <c r="W44" i="39"/>
  <c r="F96" i="39"/>
  <c r="G96" i="39" s="1"/>
  <c r="F22" i="39"/>
  <c r="J22" i="39"/>
  <c r="AC26" i="37"/>
  <c r="W26" i="37"/>
  <c r="W14" i="40"/>
  <c r="AC14" i="40"/>
  <c r="S12" i="40"/>
  <c r="AA12" i="40"/>
  <c r="S9" i="35"/>
  <c r="AA9" i="35"/>
  <c r="U39" i="21"/>
  <c r="AB39" i="21"/>
  <c r="W45" i="21"/>
  <c r="AC45" i="21"/>
  <c r="U31" i="21"/>
  <c r="AB31" i="21"/>
  <c r="AC29" i="21"/>
  <c r="W29" i="21"/>
  <c r="W32" i="36"/>
  <c r="AC32" i="36"/>
  <c r="S13" i="37"/>
  <c r="AA13" i="37"/>
  <c r="W13" i="37"/>
  <c r="AC13" i="37"/>
  <c r="AB32" i="36"/>
  <c r="U32" i="36"/>
  <c r="AA24" i="36"/>
  <c r="S24" i="36"/>
  <c r="AC24" i="36"/>
  <c r="W24" i="36"/>
  <c r="AC13" i="36"/>
  <c r="W13" i="36"/>
  <c r="W28" i="33"/>
  <c r="AC28" i="33"/>
  <c r="H7" i="37"/>
  <c r="AB7" i="37" s="1"/>
  <c r="T42" i="37" s="1"/>
  <c r="G42" i="37" s="1"/>
  <c r="F7" i="35"/>
  <c r="F7" i="37"/>
  <c r="AA7" i="37" s="1"/>
  <c r="R42" i="37" s="1"/>
  <c r="J7" i="35"/>
  <c r="F7" i="34"/>
  <c r="S7" i="34" s="1"/>
  <c r="E53" i="33"/>
  <c r="F53" i="33" s="1"/>
  <c r="E5" i="6"/>
  <c r="D9" i="11" s="1"/>
  <c r="C9" i="11" s="1"/>
  <c r="M10" i="1"/>
  <c r="O10" i="1" s="1"/>
  <c r="P10" i="1" s="1"/>
  <c r="AH10" i="1"/>
  <c r="F32" i="80"/>
  <c r="F60" i="80" s="1"/>
  <c r="F28" i="80"/>
  <c r="C28" i="80" s="1"/>
  <c r="M18" i="80"/>
  <c r="F32" i="79"/>
  <c r="F60" i="79" s="1"/>
  <c r="F28" i="79"/>
  <c r="C28" i="79" s="1"/>
  <c r="M18" i="79"/>
  <c r="W31" i="34"/>
  <c r="U18" i="39"/>
  <c r="U33" i="39"/>
  <c r="O53" i="71"/>
  <c r="D53" i="71"/>
  <c r="C52" i="71"/>
  <c r="D49" i="71"/>
  <c r="C50" i="71"/>
  <c r="D20" i="71"/>
  <c r="C21" i="71"/>
  <c r="AZ469" i="3"/>
  <c r="AA40" i="37"/>
  <c r="S40" i="37"/>
  <c r="AC27" i="37"/>
  <c r="W27" i="37"/>
  <c r="AC14" i="37"/>
  <c r="W14" i="37"/>
  <c r="AA23" i="36"/>
  <c r="S23" i="36"/>
  <c r="S31" i="34"/>
  <c r="AA31" i="34"/>
  <c r="AA13" i="34"/>
  <c r="S13" i="34"/>
  <c r="AA30" i="33"/>
  <c r="S30" i="33"/>
  <c r="U12" i="33"/>
  <c r="AB12" i="33"/>
  <c r="AC44" i="34"/>
  <c r="W44" i="34"/>
  <c r="W28" i="34"/>
  <c r="AC28" i="34"/>
  <c r="W35" i="21"/>
  <c r="AC35" i="21"/>
  <c r="W28" i="21"/>
  <c r="AC28" i="21"/>
  <c r="AB28" i="21"/>
  <c r="U28" i="21"/>
  <c r="S14" i="21"/>
  <c r="AA14" i="21"/>
  <c r="AZ586" i="3"/>
  <c r="T21" i="1"/>
  <c r="W20" i="1" s="1"/>
  <c r="AZ517" i="3"/>
  <c r="AZ518" i="3"/>
  <c r="AZ523" i="3"/>
  <c r="AZ557" i="3"/>
  <c r="AZ559" i="3"/>
  <c r="AB44" i="39"/>
  <c r="U44" i="39"/>
  <c r="H22" i="39"/>
  <c r="AC18" i="39"/>
  <c r="W18" i="39"/>
  <c r="AA26" i="37"/>
  <c r="S26" i="37"/>
  <c r="AA14" i="40"/>
  <c r="S14" i="40"/>
  <c r="AB14" i="40"/>
  <c r="U14" i="40"/>
  <c r="W12" i="40"/>
  <c r="AC12" i="40"/>
  <c r="AC9" i="35"/>
  <c r="W9" i="35"/>
  <c r="AC39" i="21"/>
  <c r="W39" i="21"/>
  <c r="AA45" i="21"/>
  <c r="S45" i="21"/>
  <c r="AB13" i="36"/>
  <c r="U13" i="36"/>
  <c r="AZ567" i="3"/>
  <c r="AZ509" i="3"/>
  <c r="AZ522" i="3"/>
  <c r="AB13" i="37"/>
  <c r="U13" i="37"/>
  <c r="S32" i="36"/>
  <c r="AA32" i="36"/>
  <c r="AB24" i="36"/>
  <c r="U24" i="36"/>
  <c r="S13" i="36"/>
  <c r="AA13" i="36"/>
  <c r="AA28" i="33"/>
  <c r="S28" i="33"/>
  <c r="U28" i="33"/>
  <c r="AB28" i="33"/>
  <c r="O8" i="1"/>
  <c r="P8" i="1" s="1"/>
  <c r="S21" i="34"/>
  <c r="AC42" i="39"/>
  <c r="AC33" i="39"/>
  <c r="S42" i="39"/>
  <c r="AA42" i="39"/>
  <c r="G71" i="39"/>
  <c r="AB17" i="34"/>
  <c r="AA37" i="34"/>
  <c r="S37" i="34"/>
  <c r="U37" i="34"/>
  <c r="AB37" i="34"/>
  <c r="AC37" i="34"/>
  <c r="W37" i="34"/>
  <c r="AA40" i="34"/>
  <c r="AC40" i="34"/>
  <c r="W40" i="34"/>
  <c r="AC43" i="34"/>
  <c r="W43" i="34"/>
  <c r="AA43" i="34"/>
  <c r="S43" i="34"/>
  <c r="AB43" i="34"/>
  <c r="U43" i="34"/>
  <c r="AB21" i="34"/>
  <c r="U21" i="34"/>
  <c r="AC21" i="34"/>
  <c r="W21" i="34"/>
  <c r="AA19" i="34"/>
  <c r="S19" i="34"/>
  <c r="AC17" i="34"/>
  <c r="AA15" i="34"/>
  <c r="S15" i="34"/>
  <c r="AC15" i="34"/>
  <c r="AB15" i="34"/>
  <c r="U15" i="34"/>
  <c r="S28" i="39"/>
  <c r="AA28" i="39"/>
  <c r="AB20" i="39"/>
  <c r="U20" i="39"/>
  <c r="W20" i="39"/>
  <c r="AA20" i="39"/>
  <c r="S20" i="39"/>
  <c r="G70" i="34"/>
  <c r="H70" i="34" s="1"/>
  <c r="I70" i="34" s="1"/>
  <c r="J70" i="34" s="1"/>
  <c r="K70" i="34" s="1"/>
  <c r="L70" i="34" s="1"/>
  <c r="M70" i="34" s="1"/>
  <c r="S43" i="21"/>
  <c r="AA43" i="21"/>
  <c r="AB34" i="21"/>
  <c r="U34" i="21"/>
  <c r="W30" i="21"/>
  <c r="AC30" i="21"/>
  <c r="AA30" i="21"/>
  <c r="S30" i="21"/>
  <c r="S23" i="21"/>
  <c r="AA23" i="21"/>
  <c r="AA17" i="21"/>
  <c r="S17" i="21"/>
  <c r="F11" i="80"/>
  <c r="M11" i="80"/>
  <c r="G17" i="43"/>
  <c r="C16" i="43" s="1"/>
  <c r="D5" i="43" s="1"/>
  <c r="F11" i="79"/>
  <c r="M11" i="79"/>
  <c r="F31" i="12"/>
  <c r="F32" i="67"/>
  <c r="F60" i="67" s="1"/>
  <c r="F32" i="15"/>
  <c r="F60" i="15" s="1"/>
  <c r="F30" i="68"/>
  <c r="F28" i="67"/>
  <c r="C28" i="67" s="1"/>
  <c r="F52" i="9"/>
  <c r="M18" i="67"/>
  <c r="F30" i="69"/>
  <c r="M18" i="15"/>
  <c r="D68" i="9"/>
  <c r="F53" i="9"/>
  <c r="F30" i="11"/>
  <c r="F28" i="15"/>
  <c r="C28" i="15" s="1"/>
  <c r="F54" i="9"/>
  <c r="AZ14" i="3"/>
  <c r="E13" i="6"/>
  <c r="E64" i="39" s="1"/>
  <c r="E8" i="6"/>
  <c r="AZ21" i="3"/>
  <c r="E14" i="6"/>
  <c r="E65" i="39" s="1"/>
  <c r="E10" i="6"/>
  <c r="E12" i="6"/>
  <c r="E11" i="6"/>
  <c r="Q71" i="15"/>
  <c r="F65" i="15"/>
  <c r="N59" i="15"/>
  <c r="M59" i="15"/>
  <c r="L59" i="15" s="1"/>
  <c r="Q74" i="15" s="1"/>
  <c r="F68" i="15"/>
  <c r="I54" i="67"/>
  <c r="L56" i="67"/>
  <c r="J57" i="67"/>
  <c r="J55" i="67" s="1"/>
  <c r="J58" i="67" s="1"/>
  <c r="Q50" i="67" s="1"/>
  <c r="Q71" i="67"/>
  <c r="F63" i="67"/>
  <c r="C62" i="67" s="1"/>
  <c r="C34" i="67"/>
  <c r="J20" i="67"/>
  <c r="C27" i="67"/>
  <c r="F64" i="67"/>
  <c r="F69" i="67"/>
  <c r="F68" i="67"/>
  <c r="F71" i="67"/>
  <c r="F65" i="67"/>
  <c r="F70" i="67"/>
  <c r="L59" i="67"/>
  <c r="Q61" i="67" s="1"/>
  <c r="N59" i="67"/>
  <c r="M59" i="67"/>
  <c r="L58" i="67"/>
  <c r="Q73" i="67" s="1"/>
  <c r="F50" i="67"/>
  <c r="M7" i="67"/>
  <c r="J6" i="67" s="1"/>
  <c r="F66" i="67"/>
  <c r="C6" i="67"/>
  <c r="F51" i="67"/>
  <c r="C49" i="67" s="1"/>
  <c r="E28" i="6"/>
  <c r="K14" i="1" s="1"/>
  <c r="AZ20" i="3"/>
  <c r="AZ18" i="3"/>
  <c r="F30" i="6"/>
  <c r="BL5" i="3"/>
  <c r="AZ15" i="3"/>
  <c r="E60" i="40"/>
  <c r="E66" i="39"/>
  <c r="BA5" i="3"/>
  <c r="K4" i="4"/>
  <c r="B46" i="48" s="1"/>
  <c r="B4" i="72" s="1"/>
  <c r="B4" i="62"/>
  <c r="B71" i="72" s="1"/>
  <c r="D65" i="40"/>
  <c r="E63" i="40"/>
  <c r="C5" i="43"/>
  <c r="F52" i="71"/>
  <c r="Q53" i="71"/>
  <c r="AA36" i="39"/>
  <c r="S36" i="39"/>
  <c r="W46" i="39"/>
  <c r="AC46" i="39"/>
  <c r="AB46" i="39"/>
  <c r="U46" i="39"/>
  <c r="AB32" i="39"/>
  <c r="U32" i="39"/>
  <c r="W36" i="35"/>
  <c r="AC36" i="35"/>
  <c r="S12" i="35"/>
  <c r="AA12" i="35"/>
  <c r="AA9" i="34"/>
  <c r="S9" i="34"/>
  <c r="AC45" i="39"/>
  <c r="W45" i="39"/>
  <c r="S34" i="35"/>
  <c r="AA34" i="35"/>
  <c r="W34" i="35"/>
  <c r="AC34" i="35"/>
  <c r="W9" i="34"/>
  <c r="AC9" i="34"/>
  <c r="AZ548" i="3"/>
  <c r="P12" i="1"/>
  <c r="F46" i="36"/>
  <c r="U7" i="37"/>
  <c r="U7" i="35"/>
  <c r="AB7" i="35"/>
  <c r="T38" i="35" s="1"/>
  <c r="G38" i="35" s="1"/>
  <c r="AC7" i="37"/>
  <c r="V42" i="37" s="1"/>
  <c r="I42" i="37" s="1"/>
  <c r="W7" i="37"/>
  <c r="AA7" i="21"/>
  <c r="S7" i="21"/>
  <c r="H14" i="74"/>
  <c r="B7" i="74" s="1"/>
  <c r="D10" i="52"/>
  <c r="D125" i="9"/>
  <c r="D11" i="52" s="1"/>
  <c r="J7" i="34"/>
  <c r="U7" i="21"/>
  <c r="AB7" i="21"/>
  <c r="I69" i="39"/>
  <c r="H71" i="39"/>
  <c r="T10" i="71"/>
  <c r="D10" i="71"/>
  <c r="U10" i="71" s="1"/>
  <c r="C9" i="71"/>
  <c r="E9" i="71"/>
  <c r="E8" i="71" s="1"/>
  <c r="E7" i="71" s="1"/>
  <c r="E6" i="71" s="1"/>
  <c r="V10" i="71"/>
  <c r="B9" i="71"/>
  <c r="B8" i="71" s="1"/>
  <c r="B7" i="71" s="1"/>
  <c r="B6" i="71" s="1"/>
  <c r="S10" i="71"/>
  <c r="W36" i="39"/>
  <c r="AC36" i="39"/>
  <c r="S46" i="39"/>
  <c r="AA46" i="39"/>
  <c r="AA32" i="39"/>
  <c r="S32" i="39"/>
  <c r="AA25" i="37"/>
  <c r="S25" i="37"/>
  <c r="AB36" i="35"/>
  <c r="U36" i="35"/>
  <c r="W12" i="34"/>
  <c r="AC12" i="34"/>
  <c r="U45" i="39"/>
  <c r="AB45" i="39"/>
  <c r="AB34" i="35"/>
  <c r="U34" i="35"/>
  <c r="AB9" i="34"/>
  <c r="U9" i="34"/>
  <c r="G5" i="3"/>
  <c r="AA7" i="35"/>
  <c r="R38" i="35" s="1"/>
  <c r="S7" i="35"/>
  <c r="S7" i="37"/>
  <c r="W7" i="35"/>
  <c r="AC7" i="35"/>
  <c r="V38" i="35" s="1"/>
  <c r="I38" i="35" s="1"/>
  <c r="AC7" i="21"/>
  <c r="W7" i="21"/>
  <c r="H7" i="34"/>
  <c r="P23" i="43"/>
  <c r="B72" i="39" s="1"/>
  <c r="P25" i="43"/>
  <c r="B40" i="1"/>
  <c r="M11" i="15"/>
  <c r="F11" i="67"/>
  <c r="F11" i="15"/>
  <c r="M11" i="67"/>
  <c r="J10" i="67" s="1"/>
  <c r="P28" i="43"/>
  <c r="M28" i="43"/>
  <c r="N28" i="43"/>
  <c r="O28" i="43"/>
  <c r="F7" i="80"/>
  <c r="M27" i="80"/>
  <c r="F26" i="15"/>
  <c r="M22" i="80"/>
  <c r="M6" i="15"/>
  <c r="F36" i="15"/>
  <c r="F43" i="80"/>
  <c r="M8" i="79"/>
  <c r="M23" i="79"/>
  <c r="C16" i="67"/>
  <c r="J15" i="80"/>
  <c r="M24" i="79"/>
  <c r="F36" i="80"/>
  <c r="M29" i="80"/>
  <c r="J15" i="79"/>
  <c r="M29" i="15"/>
  <c r="L48" i="79"/>
  <c r="M28" i="79"/>
  <c r="F26" i="79"/>
  <c r="F13" i="79"/>
  <c r="L47" i="79"/>
  <c r="F16" i="15"/>
  <c r="M27" i="79"/>
  <c r="F40" i="79"/>
  <c r="F13" i="80"/>
  <c r="C76" i="79"/>
  <c r="F6" i="80"/>
  <c r="M28" i="15"/>
  <c r="M8" i="80"/>
  <c r="M29" i="79"/>
  <c r="F8" i="79"/>
  <c r="F8" i="15"/>
  <c r="F37" i="80"/>
  <c r="F6" i="15"/>
  <c r="F42" i="80"/>
  <c r="F43" i="15"/>
  <c r="F37" i="79"/>
  <c r="M9" i="80"/>
  <c r="L47" i="80"/>
  <c r="F7" i="79"/>
  <c r="F16" i="80"/>
  <c r="F9" i="15"/>
  <c r="F42" i="15"/>
  <c r="C17" i="67"/>
  <c r="M28" i="80"/>
  <c r="F16" i="79"/>
  <c r="M6" i="79"/>
  <c r="M24" i="80"/>
  <c r="F38" i="80"/>
  <c r="F13" i="15"/>
  <c r="C76" i="80"/>
  <c r="M26" i="79"/>
  <c r="F8" i="80"/>
  <c r="M27" i="15"/>
  <c r="L48" i="15"/>
  <c r="M22" i="79"/>
  <c r="F26" i="80"/>
  <c r="M23" i="80"/>
  <c r="F42" i="79"/>
  <c r="F9" i="80"/>
  <c r="F36" i="79"/>
  <c r="M6" i="80"/>
  <c r="C14" i="67"/>
  <c r="F7" i="15"/>
  <c r="F6" i="79"/>
  <c r="F38" i="15"/>
  <c r="M26" i="80"/>
  <c r="F43" i="79"/>
  <c r="F9" i="79"/>
  <c r="M9" i="79"/>
  <c r="F40" i="80"/>
  <c r="L48" i="80"/>
  <c r="F38" i="79"/>
  <c r="S2" i="43" l="1"/>
  <c r="Z11" i="43"/>
  <c r="Z13" i="43" s="1"/>
  <c r="AC11" i="43"/>
  <c r="AC13" i="43" s="1"/>
  <c r="AA11" i="43"/>
  <c r="AA13" i="43" s="1"/>
  <c r="S6" i="43"/>
  <c r="Y11" i="43"/>
  <c r="Y13" i="43" s="1"/>
  <c r="I101" i="43"/>
  <c r="I106" i="43" s="1"/>
  <c r="N104" i="46"/>
  <c r="F101" i="43"/>
  <c r="F102" i="43" s="1"/>
  <c r="AA7" i="34"/>
  <c r="S4" i="43"/>
  <c r="S3" i="43"/>
  <c r="G22" i="43"/>
  <c r="L101" i="43"/>
  <c r="L109" i="43" s="1"/>
  <c r="AJ11" i="43"/>
  <c r="AJ13" i="43" s="1"/>
  <c r="J101" i="43"/>
  <c r="J109" i="43" s="1"/>
  <c r="E101" i="43"/>
  <c r="E103" i="43" s="1"/>
  <c r="M101" i="43"/>
  <c r="AI11" i="43"/>
  <c r="AI13" i="43" s="1"/>
  <c r="K15" i="1"/>
  <c r="E30" i="6"/>
  <c r="L102" i="43"/>
  <c r="F107" i="43"/>
  <c r="I102" i="43"/>
  <c r="S7" i="43"/>
  <c r="S5" i="43"/>
  <c r="C23" i="43"/>
  <c r="C21" i="43" s="1"/>
  <c r="D9" i="69"/>
  <c r="C9" i="69" s="1"/>
  <c r="G101" i="43"/>
  <c r="G107" i="43" s="1"/>
  <c r="AB11" i="43"/>
  <c r="AB13" i="43" s="1"/>
  <c r="N101" i="43"/>
  <c r="N106" i="43" s="1"/>
  <c r="AF11" i="43"/>
  <c r="AF13" i="43" s="1"/>
  <c r="K101" i="43"/>
  <c r="K102" i="43" s="1"/>
  <c r="F22" i="43"/>
  <c r="D101" i="43"/>
  <c r="D107" i="43" s="1"/>
  <c r="AE11" i="43"/>
  <c r="AE13" i="43" s="1"/>
  <c r="AH11" i="43"/>
  <c r="AH13" i="43" s="1"/>
  <c r="H101" i="43"/>
  <c r="H102" i="43" s="1"/>
  <c r="E22" i="43"/>
  <c r="AG11" i="43"/>
  <c r="AG13" i="43" s="1"/>
  <c r="AD11" i="43"/>
  <c r="AD13" i="43" s="1"/>
  <c r="C101" i="43"/>
  <c r="C103" i="43" s="1"/>
  <c r="Z7" i="43"/>
  <c r="H22" i="43"/>
  <c r="B113" i="43"/>
  <c r="I118" i="43" s="1"/>
  <c r="J118" i="43" s="1"/>
  <c r="K118" i="43" s="1"/>
  <c r="L118" i="43" s="1"/>
  <c r="M118" i="43" s="1"/>
  <c r="F71" i="79"/>
  <c r="C6" i="79"/>
  <c r="C10" i="79" s="1"/>
  <c r="C5" i="79" s="1"/>
  <c r="F68" i="79"/>
  <c r="F64" i="79"/>
  <c r="F66" i="79"/>
  <c r="L58" i="79"/>
  <c r="N59" i="79"/>
  <c r="M59" i="79"/>
  <c r="L59" i="79" s="1"/>
  <c r="F51" i="79"/>
  <c r="F66" i="15"/>
  <c r="F51" i="15"/>
  <c r="F71" i="15"/>
  <c r="C6" i="15"/>
  <c r="C10" i="15" s="1"/>
  <c r="C5" i="15" s="1"/>
  <c r="Q71" i="80"/>
  <c r="M7" i="80"/>
  <c r="J6" i="80" s="1"/>
  <c r="J10" i="80" s="1"/>
  <c r="J5" i="80" s="1"/>
  <c r="J26" i="80" s="1"/>
  <c r="F50" i="80"/>
  <c r="F65" i="80"/>
  <c r="C27" i="80"/>
  <c r="L56" i="80"/>
  <c r="J53" i="80"/>
  <c r="J57" i="80"/>
  <c r="J55" i="80" s="1"/>
  <c r="J58" i="80" s="1"/>
  <c r="Q50" i="80" s="1"/>
  <c r="I54" i="80"/>
  <c r="F71" i="80"/>
  <c r="C6" i="80"/>
  <c r="M7" i="79"/>
  <c r="J6" i="79" s="1"/>
  <c r="J10" i="79" s="1"/>
  <c r="J5" i="79" s="1"/>
  <c r="J26" i="79" s="1"/>
  <c r="F50" i="79"/>
  <c r="J53" i="79"/>
  <c r="I54" i="79"/>
  <c r="J57" i="79"/>
  <c r="J55" i="79" s="1"/>
  <c r="J58" i="79" s="1"/>
  <c r="Q50" i="79" s="1"/>
  <c r="L56" i="79"/>
  <c r="Q71" i="79"/>
  <c r="F65" i="79"/>
  <c r="C27" i="79"/>
  <c r="C27" i="15"/>
  <c r="J53" i="15"/>
  <c r="Q52" i="15" s="1"/>
  <c r="L58" i="15"/>
  <c r="Q73" i="15" s="1"/>
  <c r="L56" i="15"/>
  <c r="J57" i="15"/>
  <c r="J55" i="15" s="1"/>
  <c r="J58" i="15" s="1"/>
  <c r="Q50" i="15" s="1"/>
  <c r="I54" i="15"/>
  <c r="F64" i="15"/>
  <c r="F50" i="15"/>
  <c r="M7" i="15"/>
  <c r="J6" i="15" s="1"/>
  <c r="J10" i="15" s="1"/>
  <c r="J5" i="15" s="1"/>
  <c r="J18" i="15" s="1"/>
  <c r="F51" i="80"/>
  <c r="L58" i="80"/>
  <c r="N59" i="80"/>
  <c r="M59" i="80"/>
  <c r="L59" i="80" s="1"/>
  <c r="F68" i="80"/>
  <c r="F64" i="80"/>
  <c r="F66" i="80"/>
  <c r="B3" i="3"/>
  <c r="N6" i="3" s="1"/>
  <c r="C33" i="21"/>
  <c r="U22" i="39"/>
  <c r="AB22" i="39"/>
  <c r="C22" i="71"/>
  <c r="D21" i="71"/>
  <c r="AC22" i="39"/>
  <c r="W22" i="39"/>
  <c r="T26" i="71"/>
  <c r="D26" i="71"/>
  <c r="C11" i="21"/>
  <c r="H11" i="39"/>
  <c r="F11" i="39"/>
  <c r="J11" i="39"/>
  <c r="D9" i="68"/>
  <c r="C9" i="68" s="1"/>
  <c r="D19" i="12"/>
  <c r="C19" i="12" s="1"/>
  <c r="I115" i="43"/>
  <c r="J115" i="43" s="1"/>
  <c r="K115" i="43" s="1"/>
  <c r="L115" i="43" s="1"/>
  <c r="M115" i="43" s="1"/>
  <c r="E16" i="6"/>
  <c r="T50" i="71"/>
  <c r="D50" i="71"/>
  <c r="D52" i="71"/>
  <c r="O52" i="71"/>
  <c r="O51" i="71"/>
  <c r="S22" i="39"/>
  <c r="AA22" i="39"/>
  <c r="AC40" i="39"/>
  <c r="W40" i="39"/>
  <c r="M9" i="1"/>
  <c r="O9" i="1" s="1"/>
  <c r="P9" i="1" s="1"/>
  <c r="F24" i="79"/>
  <c r="C24" i="79" s="1"/>
  <c r="F24" i="80"/>
  <c r="C53" i="80"/>
  <c r="C10" i="80"/>
  <c r="C53" i="79"/>
  <c r="C48" i="11"/>
  <c r="C30" i="11"/>
  <c r="C48" i="69"/>
  <c r="C30" i="69"/>
  <c r="C30" i="68"/>
  <c r="C48" i="68"/>
  <c r="C15" i="67"/>
  <c r="C18" i="67"/>
  <c r="E58" i="40"/>
  <c r="Q61" i="15"/>
  <c r="E59" i="40"/>
  <c r="E63" i="39"/>
  <c r="E51" i="40"/>
  <c r="E57" i="39"/>
  <c r="E57" i="40"/>
  <c r="E62" i="39"/>
  <c r="E56" i="40"/>
  <c r="Q74" i="67"/>
  <c r="AZ5" i="3"/>
  <c r="Q60" i="67"/>
  <c r="J5" i="67"/>
  <c r="J26" i="67" s="1"/>
  <c r="J29" i="67" s="1"/>
  <c r="M106" i="43"/>
  <c r="F109" i="43"/>
  <c r="M103" i="43"/>
  <c r="M109" i="43"/>
  <c r="M102" i="43"/>
  <c r="M107" i="43"/>
  <c r="J105" i="43"/>
  <c r="J102" i="43"/>
  <c r="J104" i="43"/>
  <c r="J107" i="43"/>
  <c r="J106" i="43"/>
  <c r="E104" i="43"/>
  <c r="E107" i="43"/>
  <c r="E102" i="43"/>
  <c r="J103" i="43"/>
  <c r="I105" i="43"/>
  <c r="I103" i="43"/>
  <c r="L104" i="43"/>
  <c r="L105" i="43"/>
  <c r="L103" i="43"/>
  <c r="L106" i="43"/>
  <c r="L107" i="43"/>
  <c r="F63" i="40"/>
  <c r="E65" i="40"/>
  <c r="U7" i="34"/>
  <c r="AB7" i="34"/>
  <c r="E42" i="37"/>
  <c r="R43" i="37"/>
  <c r="R39" i="35"/>
  <c r="E38" i="35"/>
  <c r="I43" i="35" s="1"/>
  <c r="J43" i="35" s="1"/>
  <c r="M14" i="1"/>
  <c r="B5" i="71"/>
  <c r="S6" i="71"/>
  <c r="E5" i="71"/>
  <c r="V6" i="71"/>
  <c r="I47" i="37"/>
  <c r="J47" i="37" s="1"/>
  <c r="I46" i="37"/>
  <c r="J46" i="37" s="1"/>
  <c r="I42" i="35"/>
  <c r="J42" i="35" s="1"/>
  <c r="C8" i="71"/>
  <c r="D9" i="71"/>
  <c r="J69" i="39"/>
  <c r="I71" i="39"/>
  <c r="AC7" i="34"/>
  <c r="W7" i="34"/>
  <c r="G42" i="35"/>
  <c r="H42" i="35" s="1"/>
  <c r="G43" i="35"/>
  <c r="H43" i="35" s="1"/>
  <c r="G46" i="37"/>
  <c r="H46" i="37" s="1"/>
  <c r="G47" i="37"/>
  <c r="H47" i="37" s="1"/>
  <c r="G46" i="36"/>
  <c r="Q52" i="71"/>
  <c r="Q51" i="71"/>
  <c r="C53" i="67"/>
  <c r="C48" i="67" s="1"/>
  <c r="C10" i="67"/>
  <c r="C5" i="67" s="1"/>
  <c r="C53" i="15"/>
  <c r="F24" i="67"/>
  <c r="C24" i="67" s="1"/>
  <c r="F22" i="68"/>
  <c r="F22" i="11"/>
  <c r="F22" i="69"/>
  <c r="F25" i="12"/>
  <c r="F24" i="15"/>
  <c r="C24" i="15" s="1"/>
  <c r="C16" i="79"/>
  <c r="C16" i="80"/>
  <c r="C16" i="15"/>
  <c r="I109" i="43" l="1"/>
  <c r="I104" i="43"/>
  <c r="I107" i="43"/>
  <c r="E105" i="43"/>
  <c r="E106" i="43"/>
  <c r="E109" i="43"/>
  <c r="F104" i="43"/>
  <c r="F105" i="43"/>
  <c r="F106" i="43"/>
  <c r="F103" i="43"/>
  <c r="M105" i="43"/>
  <c r="M104" i="43"/>
  <c r="H103" i="43"/>
  <c r="H109" i="43"/>
  <c r="C105" i="43"/>
  <c r="H107" i="43"/>
  <c r="C106" i="43"/>
  <c r="C109" i="43"/>
  <c r="H106" i="43"/>
  <c r="H104" i="43"/>
  <c r="H105" i="43"/>
  <c r="C102" i="43"/>
  <c r="C104" i="43"/>
  <c r="C107" i="43"/>
  <c r="E392" i="3"/>
  <c r="E102" i="3"/>
  <c r="E382" i="3"/>
  <c r="E494" i="3"/>
  <c r="E213" i="3"/>
  <c r="K105" i="43"/>
  <c r="F1" i="15"/>
  <c r="AL6" i="3"/>
  <c r="E77" i="3"/>
  <c r="E457" i="3"/>
  <c r="E425" i="3"/>
  <c r="G105" i="43"/>
  <c r="E220" i="3"/>
  <c r="E198" i="3"/>
  <c r="E469" i="3"/>
  <c r="E545" i="3"/>
  <c r="E279" i="3"/>
  <c r="E169" i="3"/>
  <c r="E127" i="3"/>
  <c r="E71" i="3"/>
  <c r="N104" i="43"/>
  <c r="K104" i="43"/>
  <c r="C49" i="15"/>
  <c r="D22" i="43"/>
  <c r="J18" i="80"/>
  <c r="E551" i="3"/>
  <c r="E83" i="3"/>
  <c r="E86" i="3"/>
  <c r="E482" i="3"/>
  <c r="E243" i="3"/>
  <c r="E26" i="3"/>
  <c r="E360" i="3"/>
  <c r="E534" i="3"/>
  <c r="AB6" i="3"/>
  <c r="E365" i="3"/>
  <c r="E75" i="3"/>
  <c r="E433" i="3"/>
  <c r="E519" i="3"/>
  <c r="E390" i="3"/>
  <c r="E179" i="3"/>
  <c r="E307" i="3"/>
  <c r="E291" i="3"/>
  <c r="E485" i="3"/>
  <c r="E125" i="3"/>
  <c r="N102" i="43"/>
  <c r="K106" i="43"/>
  <c r="K109" i="43"/>
  <c r="D106" i="43"/>
  <c r="N109" i="43"/>
  <c r="N103" i="43"/>
  <c r="D103" i="43"/>
  <c r="J24" i="80"/>
  <c r="B117" i="43"/>
  <c r="C117" i="43" s="1"/>
  <c r="E287" i="3"/>
  <c r="E232" i="3"/>
  <c r="E383" i="3"/>
  <c r="E78" i="3"/>
  <c r="E94" i="3"/>
  <c r="E391" i="3"/>
  <c r="E225" i="3"/>
  <c r="E41" i="3"/>
  <c r="E470" i="3"/>
  <c r="E497" i="3"/>
  <c r="E408" i="3"/>
  <c r="E405" i="3"/>
  <c r="E369" i="3"/>
  <c r="E189" i="3"/>
  <c r="E128" i="3"/>
  <c r="E395" i="3"/>
  <c r="E340" i="3"/>
  <c r="E170" i="3"/>
  <c r="E318" i="3"/>
  <c r="E111" i="3"/>
  <c r="E571" i="3"/>
  <c r="E458" i="3"/>
  <c r="E252" i="3"/>
  <c r="E418" i="3"/>
  <c r="X6" i="3"/>
  <c r="E82" i="3"/>
  <c r="Y6" i="3"/>
  <c r="E66" i="3"/>
  <c r="E163" i="3"/>
  <c r="AM6" i="3"/>
  <c r="E126" i="3"/>
  <c r="E531" i="3"/>
  <c r="E197" i="3"/>
  <c r="E396" i="3"/>
  <c r="N105" i="43"/>
  <c r="N107" i="43"/>
  <c r="G109" i="43"/>
  <c r="G103" i="43"/>
  <c r="K107" i="43"/>
  <c r="K103" i="43"/>
  <c r="D102" i="43"/>
  <c r="G106" i="43"/>
  <c r="D109" i="43"/>
  <c r="C5" i="80"/>
  <c r="C32" i="80" s="1"/>
  <c r="I117" i="43"/>
  <c r="J117" i="43" s="1"/>
  <c r="K117" i="43" s="1"/>
  <c r="L117" i="43" s="1"/>
  <c r="M117" i="43" s="1"/>
  <c r="D115" i="43"/>
  <c r="E115" i="43" s="1"/>
  <c r="F115" i="43" s="1"/>
  <c r="G115" i="43" s="1"/>
  <c r="H115" i="43" s="1"/>
  <c r="G118" i="43"/>
  <c r="H118" i="43" s="1"/>
  <c r="D117" i="43"/>
  <c r="E117" i="43" s="1"/>
  <c r="F117" i="43" s="1"/>
  <c r="G117" i="43" s="1"/>
  <c r="H117" i="43" s="1"/>
  <c r="D116" i="43"/>
  <c r="E116" i="43" s="1"/>
  <c r="F116" i="43" s="1"/>
  <c r="G116" i="43" s="1"/>
  <c r="H116" i="43" s="1"/>
  <c r="I116" i="43"/>
  <c r="J116" i="43" s="1"/>
  <c r="K116" i="43" s="1"/>
  <c r="L116" i="43" s="1"/>
  <c r="M116" i="43" s="1"/>
  <c r="B116" i="43"/>
  <c r="C116" i="43" s="1"/>
  <c r="D118" i="43"/>
  <c r="E118" i="43" s="1"/>
  <c r="F118" i="43" s="1"/>
  <c r="B118" i="43"/>
  <c r="C118" i="43" s="1"/>
  <c r="B115" i="43"/>
  <c r="D105" i="43"/>
  <c r="D104" i="43"/>
  <c r="G102" i="43"/>
  <c r="G104" i="43"/>
  <c r="E326" i="3"/>
  <c r="E113" i="3"/>
  <c r="E370" i="3"/>
  <c r="E49" i="3"/>
  <c r="E522" i="3"/>
  <c r="E235" i="3"/>
  <c r="E190" i="3"/>
  <c r="E18" i="3"/>
  <c r="E488" i="3"/>
  <c r="E42" i="3"/>
  <c r="E356" i="3"/>
  <c r="E332" i="3"/>
  <c r="E281" i="3"/>
  <c r="E139" i="3"/>
  <c r="E115" i="3"/>
  <c r="E104" i="3"/>
  <c r="E420" i="3"/>
  <c r="E452" i="3"/>
  <c r="E13" i="3"/>
  <c r="E556" i="3"/>
  <c r="E451" i="3"/>
  <c r="E512" i="3"/>
  <c r="E456" i="3"/>
  <c r="T6" i="3"/>
  <c r="E525" i="3"/>
  <c r="E199" i="3"/>
  <c r="E91" i="3"/>
  <c r="E335" i="3"/>
  <c r="E559" i="3"/>
  <c r="E352" i="3"/>
  <c r="E550" i="3"/>
  <c r="E114" i="3"/>
  <c r="E62" i="3"/>
  <c r="E112" i="3"/>
  <c r="E219" i="3"/>
  <c r="E455" i="3"/>
  <c r="E31" i="3"/>
  <c r="E351" i="3"/>
  <c r="E150" i="3"/>
  <c r="E72" i="3"/>
  <c r="E450" i="3"/>
  <c r="E562" i="3"/>
  <c r="E527" i="3"/>
  <c r="E573" i="3"/>
  <c r="E164" i="3"/>
  <c r="E290" i="3"/>
  <c r="E321" i="3"/>
  <c r="E523" i="3"/>
  <c r="E246" i="3"/>
  <c r="E302" i="3"/>
  <c r="E304" i="3"/>
  <c r="E323" i="3"/>
  <c r="E19" i="3"/>
  <c r="E284" i="3"/>
  <c r="E48" i="3"/>
  <c r="E354" i="3"/>
  <c r="E209" i="3"/>
  <c r="E103" i="3"/>
  <c r="E29" i="3"/>
  <c r="E317" i="3"/>
  <c r="E272" i="3"/>
  <c r="E92" i="3"/>
  <c r="E546" i="3"/>
  <c r="E345" i="3"/>
  <c r="Z6" i="3"/>
  <c r="E188" i="3"/>
  <c r="E518" i="3"/>
  <c r="E217" i="3"/>
  <c r="E526" i="3"/>
  <c r="E268" i="3"/>
  <c r="E322" i="3"/>
  <c r="AJ6"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366" i="3"/>
  <c r="E282" i="3"/>
  <c r="E239" i="3"/>
  <c r="E569" i="3"/>
  <c r="E229" i="3"/>
  <c r="E385" i="3"/>
  <c r="AI6" i="3"/>
  <c r="E423" i="3"/>
  <c r="E263" i="3"/>
  <c r="E191" i="3"/>
  <c r="E181" i="3"/>
  <c r="E223" i="3"/>
  <c r="E173" i="3"/>
  <c r="E576" i="3"/>
  <c r="AG6" i="3"/>
  <c r="E448" i="3"/>
  <c r="P6" i="3"/>
  <c r="E443" i="3"/>
  <c r="E558" i="3"/>
  <c r="E581" i="3"/>
  <c r="E444" i="3"/>
  <c r="E489" i="3"/>
  <c r="E404" i="3"/>
  <c r="E28" i="3"/>
  <c r="E88" i="3"/>
  <c r="E70" i="3"/>
  <c r="E121" i="3"/>
  <c r="E182" i="3"/>
  <c r="E166" i="3"/>
  <c r="E211" i="3"/>
  <c r="E295" i="3"/>
  <c r="E273" i="3"/>
  <c r="E316" i="3"/>
  <c r="E377" i="3"/>
  <c r="E334" i="3"/>
  <c r="E572" i="3"/>
  <c r="E30" i="3"/>
  <c r="E109" i="3"/>
  <c r="E480" i="3"/>
  <c r="E484" i="3"/>
  <c r="E467" i="3"/>
  <c r="E46"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83" i="3"/>
  <c r="E361" i="3"/>
  <c r="E503"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69" i="3"/>
  <c r="E278" i="3"/>
  <c r="E563" i="3"/>
  <c r="E172" i="3"/>
  <c r="E445" i="3"/>
  <c r="E535" i="3"/>
  <c r="E539" i="3"/>
  <c r="E567" i="3"/>
  <c r="E461" i="3"/>
  <c r="E227" i="3"/>
  <c r="E165" i="3"/>
  <c r="E311" i="3"/>
  <c r="E514" i="3"/>
  <c r="E570" i="3"/>
  <c r="V6" i="3"/>
  <c r="E407" i="3"/>
  <c r="E320" i="3"/>
  <c r="E294" i="3"/>
  <c r="E230" i="3"/>
  <c r="E130" i="3"/>
  <c r="E254" i="3"/>
  <c r="E221" i="3"/>
  <c r="E149" i="3"/>
  <c r="E212" i="3"/>
  <c r="E167" i="3"/>
  <c r="E22" i="3"/>
  <c r="E308" i="3"/>
  <c r="E158" i="3"/>
  <c r="E80" i="3"/>
  <c r="AF6" i="3"/>
  <c r="E251" i="3"/>
  <c r="E206" i="3"/>
  <c r="E34"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AH6" i="3"/>
  <c r="E376" i="3"/>
  <c r="E490" i="3"/>
  <c r="E440" i="3"/>
  <c r="E422" i="3"/>
  <c r="E507" i="3"/>
  <c r="E486" i="3"/>
  <c r="E427" i="3"/>
  <c r="E543" i="3"/>
  <c r="E564" i="3"/>
  <c r="E493" i="3"/>
  <c r="E393" i="3"/>
  <c r="E141" i="3"/>
  <c r="E253" i="3"/>
  <c r="E180" i="3"/>
  <c r="E134" i="3"/>
  <c r="E215" i="3"/>
  <c r="E387" i="3"/>
  <c r="M6" i="3"/>
  <c r="E358" i="3"/>
  <c r="E205" i="3"/>
  <c r="E510" i="3"/>
  <c r="E329" i="3"/>
  <c r="E260" i="3"/>
  <c r="E415" i="3"/>
  <c r="E101" i="3"/>
  <c r="E218" i="3"/>
  <c r="E50" i="3"/>
  <c r="E147" i="3"/>
  <c r="E52" i="3"/>
  <c r="E339" i="3"/>
  <c r="E194" i="3"/>
  <c r="E38" i="3"/>
  <c r="E473" i="3"/>
  <c r="E93" i="3"/>
  <c r="E14" i="3"/>
  <c r="E357" i="3"/>
  <c r="E257" i="3"/>
  <c r="E208" i="3"/>
  <c r="E168" i="3"/>
  <c r="E54" i="3"/>
  <c r="E475" i="3"/>
  <c r="E471" i="3"/>
  <c r="E537" i="3"/>
  <c r="W6" i="3"/>
  <c r="E288" i="3"/>
  <c r="E438" i="3"/>
  <c r="E474" i="3"/>
  <c r="E529" i="3"/>
  <c r="E532" i="3"/>
  <c r="E313" i="3"/>
  <c r="E204" i="3"/>
  <c r="E117" i="3"/>
  <c r="E61" i="3"/>
  <c r="E298" i="3"/>
  <c r="E338" i="3"/>
  <c r="E506" i="3"/>
  <c r="S6" i="3"/>
  <c r="E293" i="3"/>
  <c r="E336" i="3"/>
  <c r="E583" i="3"/>
  <c r="E17" i="3"/>
  <c r="E565" i="3"/>
  <c r="E237" i="3"/>
  <c r="E373" i="3"/>
  <c r="E222" i="3"/>
  <c r="E154" i="3"/>
  <c r="E51" i="3"/>
  <c r="E341" i="3"/>
  <c r="E250" i="3"/>
  <c r="E87" i="3"/>
  <c r="E24" i="3"/>
  <c r="E584" i="3"/>
  <c r="E386" i="3"/>
  <c r="E266" i="3"/>
  <c r="E248" i="3"/>
  <c r="E195" i="3"/>
  <c r="E64" i="3"/>
  <c r="E441" i="3"/>
  <c r="E44" i="3"/>
  <c r="E384" i="3"/>
  <c r="E331" i="3"/>
  <c r="E210" i="3"/>
  <c r="E186" i="3"/>
  <c r="E162" i="3"/>
  <c r="E27" i="3"/>
  <c r="E447" i="3"/>
  <c r="E476" i="3"/>
  <c r="E557" i="3"/>
  <c r="E400" i="3"/>
  <c r="AO6" i="3"/>
  <c r="E327" i="3"/>
  <c r="E140" i="3"/>
  <c r="E245" i="3"/>
  <c r="E578" i="3"/>
  <c r="E151" i="3"/>
  <c r="E516" i="3"/>
  <c r="E553" i="3"/>
  <c r="E67" i="39"/>
  <c r="AT6"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AY6" i="3"/>
  <c r="AY268" i="3" s="1"/>
  <c r="Q60" i="15"/>
  <c r="J24" i="79"/>
  <c r="J18" i="79"/>
  <c r="C49" i="80"/>
  <c r="C48" i="80" s="1"/>
  <c r="W11" i="39"/>
  <c r="AC11" i="39"/>
  <c r="U11" i="39"/>
  <c r="AB11" i="39"/>
  <c r="C34" i="34"/>
  <c r="J33" i="21"/>
  <c r="F33" i="21"/>
  <c r="H33" i="21"/>
  <c r="Q61" i="80"/>
  <c r="Q74" i="80"/>
  <c r="Q60" i="80"/>
  <c r="Q73" i="80"/>
  <c r="Q52" i="79"/>
  <c r="F1" i="79"/>
  <c r="F1" i="80"/>
  <c r="Q52" i="80"/>
  <c r="Q74" i="79"/>
  <c r="Q61" i="79"/>
  <c r="Q73" i="79"/>
  <c r="Q60" i="79"/>
  <c r="AA11" i="39"/>
  <c r="S11" i="39"/>
  <c r="C11" i="34"/>
  <c r="F11" i="21"/>
  <c r="H11" i="21"/>
  <c r="J11" i="21"/>
  <c r="T22" i="71"/>
  <c r="D22" i="71"/>
  <c r="C49" i="79"/>
  <c r="C48" i="79" s="1"/>
  <c r="C32" i="79"/>
  <c r="C33" i="79"/>
  <c r="C32" i="15"/>
  <c r="C33" i="15"/>
  <c r="J24" i="15"/>
  <c r="C24" i="80"/>
  <c r="C38" i="79"/>
  <c r="J26" i="15"/>
  <c r="C19" i="67"/>
  <c r="C20" i="67" s="1"/>
  <c r="C26" i="67" s="1"/>
  <c r="C48" i="15"/>
  <c r="C66" i="15" s="1"/>
  <c r="J18" i="67"/>
  <c r="E3" i="6"/>
  <c r="D3" i="33" s="1"/>
  <c r="B2" i="33" s="1"/>
  <c r="B3" i="33" s="1"/>
  <c r="J24" i="67"/>
  <c r="F65" i="40"/>
  <c r="G63" i="40"/>
  <c r="H46" i="36"/>
  <c r="D3" i="34"/>
  <c r="C38" i="35"/>
  <c r="C39" i="35"/>
  <c r="B2" i="35" s="1"/>
  <c r="B3" i="35" s="1"/>
  <c r="E47" i="37"/>
  <c r="F47" i="37" s="1"/>
  <c r="E46" i="37"/>
  <c r="F46" i="37" s="1"/>
  <c r="K69" i="39"/>
  <c r="J71" i="39"/>
  <c r="D8" i="71"/>
  <c r="C7" i="71"/>
  <c r="O14" i="1"/>
  <c r="E43" i="35"/>
  <c r="F43" i="35" s="1"/>
  <c r="E42" i="35"/>
  <c r="F42" i="35" s="1"/>
  <c r="C42" i="37"/>
  <c r="C43" i="37"/>
  <c r="C26" i="68"/>
  <c r="D22" i="68" s="1"/>
  <c r="C44" i="68"/>
  <c r="D41" i="68" s="1"/>
  <c r="C38" i="15"/>
  <c r="C26" i="12"/>
  <c r="D25" i="12" s="1"/>
  <c r="C44" i="11"/>
  <c r="D41" i="11" s="1"/>
  <c r="C23" i="11"/>
  <c r="C26" i="11"/>
  <c r="D22" i="11" s="1"/>
  <c r="C60" i="67"/>
  <c r="C66" i="67"/>
  <c r="C44" i="69"/>
  <c r="D41" i="69" s="1"/>
  <c r="C26" i="69"/>
  <c r="D22" i="69" s="1"/>
  <c r="C38" i="67"/>
  <c r="C32" i="67"/>
  <c r="AE8" i="1"/>
  <c r="AE9" i="1"/>
  <c r="AE10" i="1"/>
  <c r="AY431" i="3" l="1"/>
  <c r="AY444" i="3"/>
  <c r="AY136" i="3"/>
  <c r="AY464" i="3"/>
  <c r="AY410" i="3"/>
  <c r="AY233" i="3"/>
  <c r="AY32" i="3"/>
  <c r="AY254" i="3"/>
  <c r="AY159" i="3"/>
  <c r="AY197" i="3"/>
  <c r="AY432" i="3"/>
  <c r="AY13" i="3"/>
  <c r="AY563" i="3"/>
  <c r="AY352" i="3"/>
  <c r="AY527" i="3"/>
  <c r="AY243" i="3"/>
  <c r="AY555" i="3"/>
  <c r="AY18" i="3"/>
  <c r="AY280" i="3"/>
  <c r="AY80" i="3"/>
  <c r="AY452" i="3"/>
  <c r="AY583" i="3"/>
  <c r="AY375" i="3"/>
  <c r="AY39" i="3"/>
  <c r="AY330" i="3"/>
  <c r="AY203" i="3"/>
  <c r="AY575" i="3"/>
  <c r="AY492" i="3"/>
  <c r="AY298" i="3"/>
  <c r="AY556" i="3"/>
  <c r="AY403" i="3"/>
  <c r="AY325" i="3"/>
  <c r="AY57" i="3"/>
  <c r="AY178" i="3"/>
  <c r="AY311" i="3"/>
  <c r="AY75" i="3"/>
  <c r="AY459" i="3"/>
  <c r="AY405" i="3"/>
  <c r="AY531" i="3"/>
  <c r="AY369" i="3"/>
  <c r="AY581" i="3"/>
  <c r="AY149" i="3"/>
  <c r="AY83" i="3"/>
  <c r="AY131" i="3"/>
  <c r="AY318" i="3"/>
  <c r="AY395" i="3"/>
  <c r="AY569" i="3"/>
  <c r="AY206" i="3"/>
  <c r="AY263" i="3"/>
  <c r="BJ6" i="3"/>
  <c r="AY274" i="3"/>
  <c r="AY457" i="3"/>
  <c r="AY546" i="3"/>
  <c r="AY519" i="3"/>
  <c r="AY189" i="3"/>
  <c r="AY266" i="3"/>
  <c r="AY313" i="3"/>
  <c r="AY453" i="3"/>
  <c r="AY579" i="3"/>
  <c r="AY509" i="3"/>
  <c r="AY94" i="3"/>
  <c r="AY167" i="3"/>
  <c r="AY221" i="3"/>
  <c r="AY466" i="3"/>
  <c r="AY512" i="3"/>
  <c r="AY27" i="3"/>
  <c r="AY273" i="3"/>
  <c r="AY323" i="3"/>
  <c r="AY550" i="3"/>
  <c r="AY98" i="3"/>
  <c r="AY171" i="3"/>
  <c r="AY163" i="3"/>
  <c r="AY237" i="3"/>
  <c r="AY334" i="3"/>
  <c r="AY526" i="3"/>
  <c r="AY390" i="3"/>
  <c r="AY447" i="3"/>
  <c r="AY574" i="3"/>
  <c r="AY85" i="3"/>
  <c r="AY25" i="3"/>
  <c r="AY157" i="3"/>
  <c r="AY271" i="3"/>
  <c r="AY211" i="3"/>
  <c r="BI6" i="3"/>
  <c r="AY186"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67" i="3"/>
  <c r="AY15" i="3"/>
  <c r="AY322" i="3"/>
  <c r="AY272" i="3"/>
  <c r="AY195" i="3"/>
  <c r="AY576" i="3"/>
  <c r="AY440" i="3"/>
  <c r="AY383" i="3"/>
  <c r="AY120" i="3"/>
  <c r="AY47" i="3"/>
  <c r="AY530" i="3"/>
  <c r="AY17" i="3"/>
  <c r="AY450" i="3"/>
  <c r="AY336" i="3"/>
  <c r="AY218" i="3"/>
  <c r="AY142" i="3"/>
  <c r="AY112" i="3"/>
  <c r="AY559" i="3"/>
  <c r="AY516" i="3"/>
  <c r="AY422" i="3"/>
  <c r="AY308" i="3"/>
  <c r="AY393" i="3"/>
  <c r="AY130" i="3"/>
  <c r="AY365" i="3"/>
  <c r="AY117" i="3"/>
  <c r="AY68" i="3"/>
  <c r="AY535" i="3"/>
  <c r="AY269" i="3"/>
  <c r="AY387" i="3"/>
  <c r="AY90" i="3"/>
  <c r="AY504" i="3"/>
  <c r="AY213" i="3"/>
  <c r="AY86" i="3"/>
  <c r="AY331" i="3"/>
  <c r="AY35" i="3"/>
  <c r="D3" i="6"/>
  <c r="D26" i="6" s="1"/>
  <c r="AY487" i="3"/>
  <c r="AY129" i="3"/>
  <c r="AY584" i="3"/>
  <c r="AY317" i="3"/>
  <c r="AY392" i="3"/>
  <c r="AY77" i="3"/>
  <c r="AY106" i="3"/>
  <c r="AY155" i="3"/>
  <c r="C38" i="80"/>
  <c r="C33" i="80"/>
  <c r="AC6" i="3"/>
  <c r="C115" i="43"/>
  <c r="D113" i="4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16" i="3"/>
  <c r="AY561" i="3"/>
  <c r="AY414" i="3"/>
  <c r="AY491" i="3"/>
  <c r="AY377" i="3"/>
  <c r="AY114" i="3"/>
  <c r="AY41" i="3"/>
  <c r="AY357" i="3"/>
  <c r="AY246" i="3"/>
  <c r="AY299" i="3"/>
  <c r="AY170" i="3"/>
  <c r="AY60" i="3"/>
  <c r="AY553" i="3"/>
  <c r="AY513" i="3"/>
  <c r="AY342" i="3"/>
  <c r="AY245" i="3"/>
  <c r="AY428" i="3"/>
  <c r="AY371" i="3"/>
  <c r="AY58" i="3"/>
  <c r="AY59" i="3"/>
  <c r="AY23" i="3"/>
  <c r="H6" i="3"/>
  <c r="E6" i="3" s="1"/>
  <c r="E6" i="6"/>
  <c r="D10" i="11" s="1"/>
  <c r="C10" i="11" s="1"/>
  <c r="D3" i="37"/>
  <c r="B2" i="37" s="1"/>
  <c r="B3" i="37" s="1"/>
  <c r="C17" i="4"/>
  <c r="B4" i="52" s="1"/>
  <c r="B43" i="72" s="1"/>
  <c r="C66" i="80"/>
  <c r="C60" i="80"/>
  <c r="C60" i="79"/>
  <c r="C66" i="79"/>
  <c r="U11" i="21"/>
  <c r="AB11" i="21"/>
  <c r="F11" i="34"/>
  <c r="J11" i="34"/>
  <c r="H11" i="34"/>
  <c r="AB33" i="21"/>
  <c r="U33" i="21"/>
  <c r="W33" i="21"/>
  <c r="AC33" i="21"/>
  <c r="D14" i="12"/>
  <c r="D17" i="12" s="1"/>
  <c r="C17" i="12" s="1"/>
  <c r="W11" i="21"/>
  <c r="AC11" i="21"/>
  <c r="S11" i="21"/>
  <c r="AA11" i="21"/>
  <c r="S33" i="21"/>
  <c r="AA33" i="21"/>
  <c r="J34" i="34"/>
  <c r="F34" i="34"/>
  <c r="H34" i="34"/>
  <c r="C23" i="67"/>
  <c r="C29" i="67" s="1"/>
  <c r="C33" i="67" s="1"/>
  <c r="C31" i="67" s="1"/>
  <c r="C60" i="15"/>
  <c r="D19" i="11"/>
  <c r="C19" i="11" s="1"/>
  <c r="C20" i="11" s="1"/>
  <c r="L18" i="9"/>
  <c r="M18" i="9"/>
  <c r="B118" i="9" s="1"/>
  <c r="B14" i="74" s="1"/>
  <c r="B1" i="74" s="1"/>
  <c r="C7" i="74" s="1"/>
  <c r="D37" i="11"/>
  <c r="C24" i="11"/>
  <c r="H63" i="40"/>
  <c r="G65" i="40"/>
  <c r="P14" i="1"/>
  <c r="L69" i="39"/>
  <c r="K71" i="39"/>
  <c r="I46" i="36"/>
  <c r="M19" i="9"/>
  <c r="C118" i="9" s="1"/>
  <c r="C14" i="74" s="1"/>
  <c r="B2" i="74" s="1"/>
  <c r="D11" i="6"/>
  <c r="D24" i="6"/>
  <c r="D7" i="71"/>
  <c r="C6" i="71"/>
  <c r="F41" i="15"/>
  <c r="F41" i="80"/>
  <c r="F41" i="79"/>
  <c r="J29" i="15" l="1"/>
  <c r="F69" i="15"/>
  <c r="D10" i="6"/>
  <c r="D25" i="6"/>
  <c r="D23" i="6"/>
  <c r="D29" i="6"/>
  <c r="D6" i="6"/>
  <c r="D22" i="6"/>
  <c r="D28" i="6"/>
  <c r="D5" i="6"/>
  <c r="C18" i="4"/>
  <c r="C4" i="52" s="1"/>
  <c r="B45" i="72" s="1"/>
  <c r="L19" i="9"/>
  <c r="D9" i="6"/>
  <c r="D20" i="6"/>
  <c r="D21" i="6"/>
  <c r="D15" i="6"/>
  <c r="E61" i="40"/>
  <c r="D13" i="6"/>
  <c r="D12" i="6"/>
  <c r="D14" i="6"/>
  <c r="D8" i="6"/>
  <c r="D10" i="68"/>
  <c r="C10" i="68" s="1"/>
  <c r="B29" i="1" s="1"/>
  <c r="C8" i="68" s="1"/>
  <c r="D20" i="12"/>
  <c r="C20" i="12" s="1"/>
  <c r="V48" i="21"/>
  <c r="I48" i="21" s="1"/>
  <c r="D10" i="69"/>
  <c r="C10" i="69" s="1"/>
  <c r="C8" i="69" s="1"/>
  <c r="C5" i="69" s="1"/>
  <c r="F69" i="80"/>
  <c r="J29" i="80"/>
  <c r="F69" i="79"/>
  <c r="J29" i="79"/>
  <c r="AB34" i="34"/>
  <c r="U34" i="34"/>
  <c r="AC34" i="34"/>
  <c r="W34" i="34"/>
  <c r="W11" i="34"/>
  <c r="AC11" i="34"/>
  <c r="T48" i="21"/>
  <c r="G48" i="21" s="1"/>
  <c r="AA34" i="34"/>
  <c r="S34" i="34"/>
  <c r="R48" i="21"/>
  <c r="I52" i="21"/>
  <c r="J52" i="21" s="1"/>
  <c r="U11" i="34"/>
  <c r="AB11" i="34"/>
  <c r="T49" i="34" s="1"/>
  <c r="G49" i="34" s="1"/>
  <c r="S11" i="34"/>
  <c r="AA11" i="34"/>
  <c r="J14" i="67"/>
  <c r="J22" i="67" s="1"/>
  <c r="Q49" i="67"/>
  <c r="J59" i="67"/>
  <c r="J60" i="67" s="1"/>
  <c r="L46" i="67" s="1"/>
  <c r="C13" i="67"/>
  <c r="C75" i="67" s="1"/>
  <c r="C36" i="67"/>
  <c r="J19" i="67"/>
  <c r="J17" i="67" s="1"/>
  <c r="C57" i="67"/>
  <c r="C61" i="67" s="1"/>
  <c r="C59" i="67" s="1"/>
  <c r="C25" i="11"/>
  <c r="C22" i="11" s="1"/>
  <c r="I63" i="40"/>
  <c r="H65" i="40"/>
  <c r="C5" i="71"/>
  <c r="D5" i="71" s="1"/>
  <c r="T6" i="71"/>
  <c r="D6" i="71"/>
  <c r="A10" i="51"/>
  <c r="B9" i="72" s="1"/>
  <c r="F50" i="11"/>
  <c r="F50" i="68"/>
  <c r="F50" i="69"/>
  <c r="J46" i="36"/>
  <c r="D7" i="74"/>
  <c r="M69" i="39"/>
  <c r="L71" i="39"/>
  <c r="D16" i="6" l="1"/>
  <c r="A7" i="51"/>
  <c r="B7" i="72" s="1"/>
  <c r="D19" i="68"/>
  <c r="D30" i="6"/>
  <c r="D19" i="69"/>
  <c r="C19" i="69" s="1"/>
  <c r="C24" i="69" s="1"/>
  <c r="R49" i="34"/>
  <c r="E49" i="34" s="1"/>
  <c r="V49" i="34"/>
  <c r="I49" i="34" s="1"/>
  <c r="G54" i="34" s="1"/>
  <c r="H54" i="34" s="1"/>
  <c r="G53" i="34"/>
  <c r="H53" i="34" s="1"/>
  <c r="E48" i="21"/>
  <c r="R49" i="21"/>
  <c r="G53" i="21"/>
  <c r="H53" i="21" s="1"/>
  <c r="G52" i="21"/>
  <c r="H52" i="21" s="1"/>
  <c r="J13" i="67"/>
  <c r="J23" i="67" s="1"/>
  <c r="J16" i="67" s="1"/>
  <c r="J25" i="67" s="1"/>
  <c r="C18" i="12"/>
  <c r="C64" i="67"/>
  <c r="Q48" i="67"/>
  <c r="C56" i="67"/>
  <c r="C65" i="67" s="1"/>
  <c r="C37" i="67"/>
  <c r="C30" i="67" s="1"/>
  <c r="C39" i="67" s="1"/>
  <c r="C40" i="67" s="1"/>
  <c r="Q70" i="67"/>
  <c r="J63" i="40"/>
  <c r="I65" i="40"/>
  <c r="M20" i="43"/>
  <c r="C19" i="43" s="1"/>
  <c r="U6" i="71"/>
  <c r="C23" i="69"/>
  <c r="N69" i="39"/>
  <c r="M71" i="39"/>
  <c r="K46" i="36"/>
  <c r="C19" i="68"/>
  <c r="D37" i="68"/>
  <c r="D37" i="69" l="1"/>
  <c r="C37" i="69" s="1"/>
  <c r="I53" i="34"/>
  <c r="J53" i="34" s="1"/>
  <c r="R50" i="34"/>
  <c r="C50" i="34" s="1"/>
  <c r="E52" i="21"/>
  <c r="F52" i="21" s="1"/>
  <c r="E53" i="21"/>
  <c r="F53" i="21" s="1"/>
  <c r="I53" i="21"/>
  <c r="J53" i="21" s="1"/>
  <c r="E54" i="34"/>
  <c r="F54" i="34" s="1"/>
  <c r="E53" i="34"/>
  <c r="F53" i="34" s="1"/>
  <c r="I54" i="34"/>
  <c r="J54" i="34" s="1"/>
  <c r="C48" i="21"/>
  <c r="C49" i="21"/>
  <c r="J59" i="15"/>
  <c r="J60" i="15" s="1"/>
  <c r="Q48" i="15" s="1"/>
  <c r="C58" i="67"/>
  <c r="C67" i="67" s="1"/>
  <c r="C68" i="67" s="1"/>
  <c r="C71" i="67" s="1"/>
  <c r="L57" i="80"/>
  <c r="L60" i="80" s="1"/>
  <c r="L57" i="79"/>
  <c r="L60" i="79" s="1"/>
  <c r="Q69" i="67"/>
  <c r="Q68" i="67" s="1"/>
  <c r="C80" i="67"/>
  <c r="C79" i="67" s="1"/>
  <c r="J65" i="40"/>
  <c r="K63" i="40"/>
  <c r="C24" i="68"/>
  <c r="L46" i="36"/>
  <c r="O69" i="39"/>
  <c r="O71" i="39" s="1"/>
  <c r="N71" i="39"/>
  <c r="C20" i="6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L57" i="15"/>
  <c r="L60" i="15" s="1"/>
  <c r="Q56" i="67"/>
  <c r="Q47" i="67"/>
  <c r="Q53" i="67" s="1"/>
  <c r="Q65" i="67"/>
  <c r="C43" i="67"/>
  <c r="D2" i="67"/>
  <c r="C83" i="67"/>
  <c r="C82" i="67" s="1"/>
  <c r="L51" i="67"/>
  <c r="C49" i="34" l="1"/>
  <c r="L57" i="67"/>
  <c r="L60" i="67" s="1"/>
  <c r="Q66" i="67" s="1"/>
  <c r="Q75" i="67" s="1"/>
  <c r="Q67" i="67"/>
  <c r="B3" i="21"/>
  <c r="C6" i="12" s="1"/>
  <c r="B2" i="34"/>
  <c r="H8" i="12" s="1"/>
  <c r="B3" i="34"/>
  <c r="H6" i="12" s="1"/>
  <c r="L46" i="15"/>
  <c r="J59" i="80"/>
  <c r="J60" i="80" s="1"/>
  <c r="Q48" i="80" s="1"/>
  <c r="J59" i="79"/>
  <c r="J60" i="79" s="1"/>
  <c r="Q48" i="79" s="1"/>
  <c r="C45" i="67"/>
  <c r="C46" i="67" s="1"/>
  <c r="Q66" i="80"/>
  <c r="Q57" i="80"/>
  <c r="Q66" i="79"/>
  <c r="Q57" i="79"/>
  <c r="L63" i="40"/>
  <c r="K65" i="40"/>
  <c r="E39" i="43"/>
  <c r="G39" i="43"/>
  <c r="I39" i="43" s="1"/>
  <c r="C25" i="69"/>
  <c r="C22" i="69" s="1"/>
  <c r="J7" i="39"/>
  <c r="H7" i="39"/>
  <c r="F7" i="39"/>
  <c r="E33" i="43"/>
  <c r="G33" i="43"/>
  <c r="I33" i="43" s="1"/>
  <c r="E34" i="43"/>
  <c r="G34" i="43"/>
  <c r="I34" i="43" s="1"/>
  <c r="G38" i="43"/>
  <c r="I38" i="43" s="1"/>
  <c r="E38" i="43"/>
  <c r="C30" i="43"/>
  <c r="E30" i="43" s="1"/>
  <c r="E29" i="43"/>
  <c r="E36" i="43"/>
  <c r="G36" i="43"/>
  <c r="I36" i="43" s="1"/>
  <c r="E35" i="43"/>
  <c r="G35" i="43"/>
  <c r="I35" i="43" s="1"/>
  <c r="E37" i="43"/>
  <c r="G37" i="43"/>
  <c r="I37" i="43" s="1"/>
  <c r="M46" i="36"/>
  <c r="Q57" i="15"/>
  <c r="Q66" i="15"/>
  <c r="Q57" i="67"/>
  <c r="Q62" i="67" s="1"/>
  <c r="B2" i="67"/>
  <c r="B3" i="67"/>
  <c r="L46" i="80" l="1"/>
  <c r="L46" i="79"/>
  <c r="C27" i="43"/>
  <c r="M63" i="40"/>
  <c r="L65" i="40"/>
  <c r="C26" i="43"/>
  <c r="AB7" i="39"/>
  <c r="U7" i="39"/>
  <c r="N46" i="36"/>
  <c r="O46" i="36" s="1"/>
  <c r="F7" i="36" s="1"/>
  <c r="H7" i="36"/>
  <c r="J7" i="36"/>
  <c r="S7" i="39"/>
  <c r="AA7" i="39"/>
  <c r="AC7" i="39"/>
  <c r="W7" i="39"/>
  <c r="E6" i="76"/>
  <c r="M65" i="40" l="1"/>
  <c r="N63" i="40"/>
  <c r="E2" i="76"/>
  <c r="U7" i="36"/>
  <c r="AB7" i="36"/>
  <c r="T36" i="36" s="1"/>
  <c r="G36" i="36" s="1"/>
  <c r="AC7" i="36"/>
  <c r="V36" i="36" s="1"/>
  <c r="I36" i="36" s="1"/>
  <c r="W7" i="36"/>
  <c r="S7" i="36"/>
  <c r="AA7" i="36"/>
  <c r="R36" i="36" s="1"/>
  <c r="B2" i="43"/>
  <c r="B6" i="76"/>
  <c r="O63" i="40" l="1"/>
  <c r="O65" i="40" s="1"/>
  <c r="N65" i="40"/>
  <c r="J7" i="40" s="1"/>
  <c r="B2" i="76"/>
  <c r="B3" i="76" s="1"/>
  <c r="B3" i="43"/>
  <c r="I40" i="36"/>
  <c r="J40" i="36" s="1"/>
  <c r="E36" i="36"/>
  <c r="I41" i="36" s="1"/>
  <c r="J41" i="36" s="1"/>
  <c r="R37" i="36"/>
  <c r="G40" i="36"/>
  <c r="H40" i="36" s="1"/>
  <c r="G41" i="36"/>
  <c r="H41" i="36" s="1"/>
  <c r="H7" i="40" l="1"/>
  <c r="F7" i="40"/>
  <c r="S7" i="40" s="1"/>
  <c r="AB7" i="40"/>
  <c r="T42" i="40" s="1"/>
  <c r="G42" i="40" s="1"/>
  <c r="U7" i="40"/>
  <c r="AC7" i="40"/>
  <c r="V42" i="40" s="1"/>
  <c r="I42" i="40" s="1"/>
  <c r="I46" i="40" s="1"/>
  <c r="J46" i="40" s="1"/>
  <c r="W7" i="40"/>
  <c r="C37" i="36"/>
  <c r="B2" i="36" s="1"/>
  <c r="B3" i="36" s="1"/>
  <c r="C36" i="36"/>
  <c r="E40" i="36"/>
  <c r="F40" i="36" s="1"/>
  <c r="E41" i="36"/>
  <c r="F41" i="36" s="1"/>
  <c r="AA7" i="40" l="1"/>
  <c r="R42" i="40" s="1"/>
  <c r="G47" i="40"/>
  <c r="H47" i="40" s="1"/>
  <c r="G46" i="40"/>
  <c r="H46" i="40" s="1"/>
  <c r="E42" i="40"/>
  <c r="R43" i="40"/>
  <c r="I47" i="40" l="1"/>
  <c r="J47" i="40" s="1"/>
  <c r="E46" i="40"/>
  <c r="F46" i="40" s="1"/>
  <c r="E47" i="40"/>
  <c r="F47" i="40" s="1"/>
  <c r="C42" i="40"/>
  <c r="C43" i="40"/>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J5" i="3"/>
  <c r="J6" i="3" l="1"/>
  <c r="F19" i="6"/>
  <c r="F27" i="6" l="1"/>
  <c r="F31" i="6" s="1"/>
  <c r="E19" i="6"/>
  <c r="C7" i="12" l="1"/>
  <c r="D19" i="6"/>
  <c r="E27" i="6"/>
  <c r="D3" i="21"/>
  <c r="B2" i="21" s="1"/>
  <c r="C8" i="12" s="1"/>
  <c r="K6" i="1"/>
  <c r="D27" i="6" l="1"/>
  <c r="D31" i="6" s="1"/>
  <c r="I6" i="6" s="1"/>
  <c r="K16" i="1"/>
  <c r="AP6" i="1"/>
  <c r="C36" i="69" s="1"/>
  <c r="H16" i="1"/>
  <c r="C34" i="69"/>
  <c r="Q16" i="1"/>
  <c r="M6" i="1"/>
  <c r="G16" i="1"/>
  <c r="E31" i="6"/>
  <c r="I5" i="6" s="1"/>
  <c r="K25" i="6"/>
  <c r="M25" i="6" s="1"/>
  <c r="I25" i="6" s="1"/>
  <c r="K26" i="6"/>
  <c r="M26" i="6" s="1"/>
  <c r="I26" i="6" s="1"/>
  <c r="K24" i="6"/>
  <c r="K20" i="6"/>
  <c r="K23" i="6"/>
  <c r="K21" i="6"/>
  <c r="K22" i="6"/>
  <c r="K19" i="6"/>
  <c r="S9" i="1" l="1"/>
  <c r="M22" i="6"/>
  <c r="I22" i="6" s="1"/>
  <c r="S10" i="1"/>
  <c r="M23" i="6"/>
  <c r="I23" i="6" s="1"/>
  <c r="M24" i="6"/>
  <c r="I24" i="6" s="1"/>
  <c r="S11" i="1"/>
  <c r="S25" i="6"/>
  <c r="H25" i="6"/>
  <c r="R25" i="6" s="1"/>
  <c r="F28" i="12"/>
  <c r="C29" i="12" s="1"/>
  <c r="D28" i="12" s="1"/>
  <c r="F27" i="68"/>
  <c r="F27" i="69"/>
  <c r="F27" i="11"/>
  <c r="J10" i="40"/>
  <c r="H10" i="40"/>
  <c r="F10" i="40"/>
  <c r="H10" i="39"/>
  <c r="J10" i="39"/>
  <c r="F10" i="39"/>
  <c r="K27" i="6"/>
  <c r="S6" i="1"/>
  <c r="M19" i="6"/>
  <c r="S8" i="1"/>
  <c r="M21" i="6"/>
  <c r="I21" i="6" s="1"/>
  <c r="S7" i="1"/>
  <c r="M20" i="6"/>
  <c r="I20" i="6" s="1"/>
  <c r="S26" i="6"/>
  <c r="H26" i="6"/>
  <c r="R26" i="6" s="1"/>
  <c r="M16" i="1"/>
  <c r="L16" i="1" s="1"/>
  <c r="O6" i="1"/>
  <c r="O16" i="1" s="1"/>
  <c r="C38" i="69"/>
  <c r="C35" i="69"/>
  <c r="C17" i="80"/>
  <c r="C17" i="15"/>
  <c r="C17" i="79"/>
  <c r="P6" i="1" l="1"/>
  <c r="P16" i="1" s="1"/>
  <c r="C11" i="12" s="1"/>
  <c r="C33" i="69"/>
  <c r="C39" i="69" s="1"/>
  <c r="C43" i="69" s="1"/>
  <c r="C13" i="12"/>
  <c r="AQ8" i="1"/>
  <c r="AR8" i="1"/>
  <c r="E8" i="70"/>
  <c r="T8" i="1"/>
  <c r="AR6" i="1"/>
  <c r="S16" i="1"/>
  <c r="AQ6" i="1"/>
  <c r="T6" i="1"/>
  <c r="S10" i="39"/>
  <c r="AA10" i="39"/>
  <c r="R48" i="39" s="1"/>
  <c r="U10" i="39"/>
  <c r="AB10" i="39"/>
  <c r="T48" i="39" s="1"/>
  <c r="G48" i="39" s="1"/>
  <c r="U10" i="40"/>
  <c r="AB10" i="40"/>
  <c r="C47" i="11"/>
  <c r="D45" i="11" s="1"/>
  <c r="C29" i="11"/>
  <c r="D27" i="11" s="1"/>
  <c r="C28" i="11"/>
  <c r="C27" i="11" s="1"/>
  <c r="C29" i="68"/>
  <c r="D27" i="68" s="1"/>
  <c r="C47" i="68"/>
  <c r="D45" i="68" s="1"/>
  <c r="AR11" i="1"/>
  <c r="T11" i="1"/>
  <c r="AQ11" i="1"/>
  <c r="S23" i="6"/>
  <c r="H23" i="6"/>
  <c r="R23" i="6" s="1"/>
  <c r="R10" i="1" s="1"/>
  <c r="S22" i="6"/>
  <c r="H22" i="6"/>
  <c r="R22" i="6" s="1"/>
  <c r="R9" i="1" s="1"/>
  <c r="T7" i="1"/>
  <c r="AQ7" i="1"/>
  <c r="AR7" i="1"/>
  <c r="N16" i="1"/>
  <c r="H20" i="6"/>
  <c r="R20" i="6" s="1"/>
  <c r="R7" i="1" s="1"/>
  <c r="S20" i="6"/>
  <c r="S21" i="6"/>
  <c r="H21" i="6"/>
  <c r="R21" i="6" s="1"/>
  <c r="R8" i="1" s="1"/>
  <c r="M27" i="6"/>
  <c r="I19" i="6"/>
  <c r="W10" i="39"/>
  <c r="AC10" i="39"/>
  <c r="V48" i="39" s="1"/>
  <c r="I48" i="39" s="1"/>
  <c r="S10" i="40"/>
  <c r="AA10" i="40"/>
  <c r="W10" i="40"/>
  <c r="AC10" i="40"/>
  <c r="C47" i="69"/>
  <c r="D45" i="69" s="1"/>
  <c r="C29" i="69"/>
  <c r="D27" i="69" s="1"/>
  <c r="C28" i="69"/>
  <c r="C27" i="69" s="1"/>
  <c r="S24" i="6"/>
  <c r="H24" i="6"/>
  <c r="R24" i="6" s="1"/>
  <c r="R11" i="1" s="1"/>
  <c r="AQ10" i="1"/>
  <c r="AR10" i="1"/>
  <c r="E10" i="70"/>
  <c r="T10" i="1"/>
  <c r="AQ9" i="1"/>
  <c r="E9" i="70"/>
  <c r="AR9" i="1"/>
  <c r="T9" i="1"/>
  <c r="M21" i="15"/>
  <c r="M21" i="80"/>
  <c r="C14" i="79"/>
  <c r="C14" i="80"/>
  <c r="F35" i="79"/>
  <c r="F35" i="15"/>
  <c r="F35" i="80"/>
  <c r="C14" i="15"/>
  <c r="M21" i="79"/>
  <c r="C42" i="69" l="1"/>
  <c r="C41" i="69" s="1"/>
  <c r="C31" i="11"/>
  <c r="C18" i="15"/>
  <c r="C15" i="15"/>
  <c r="C15" i="80"/>
  <c r="C18" i="80"/>
  <c r="J20" i="79"/>
  <c r="F63" i="79"/>
  <c r="C62" i="79" s="1"/>
  <c r="C34" i="79"/>
  <c r="C31" i="79" s="1"/>
  <c r="J20" i="15"/>
  <c r="F63" i="15"/>
  <c r="C62" i="15" s="1"/>
  <c r="C34" i="15"/>
  <c r="C31" i="15" s="1"/>
  <c r="J20" i="80"/>
  <c r="F63" i="80"/>
  <c r="C62" i="80" s="1"/>
  <c r="C34" i="80"/>
  <c r="C31" i="80" s="1"/>
  <c r="C15" i="79"/>
  <c r="C18" i="79"/>
  <c r="I52" i="39"/>
  <c r="J52" i="39" s="1"/>
  <c r="I27" i="6"/>
  <c r="H19" i="6"/>
  <c r="S19" i="6"/>
  <c r="S27" i="6" s="1"/>
  <c r="F11" i="12"/>
  <c r="C14" i="12" s="1"/>
  <c r="F34" i="11"/>
  <c r="F34" i="68"/>
  <c r="G52" i="39"/>
  <c r="H52" i="39" s="1"/>
  <c r="G53" i="39"/>
  <c r="H53" i="39" s="1"/>
  <c r="E48" i="39"/>
  <c r="I53" i="39" s="1"/>
  <c r="J53" i="39" s="1"/>
  <c r="R49" i="39"/>
  <c r="T16" i="1"/>
  <c r="C12" i="12"/>
  <c r="C15" i="12"/>
  <c r="C46" i="69"/>
  <c r="C45" i="69" s="1"/>
  <c r="C31" i="69"/>
  <c r="E2" i="70"/>
  <c r="C19" i="80" l="1"/>
  <c r="C20" i="80" s="1"/>
  <c r="C23" i="80" s="1"/>
  <c r="C19" i="15"/>
  <c r="C20" i="15" s="1"/>
  <c r="C23" i="15" s="1"/>
  <c r="C16" i="12"/>
  <c r="C21" i="12" s="1"/>
  <c r="C22" i="12" s="1"/>
  <c r="C19" i="79"/>
  <c r="C49" i="69"/>
  <c r="C51" i="69" s="1"/>
  <c r="C52" i="69" s="1"/>
  <c r="C20" i="79"/>
  <c r="C26" i="79" s="1"/>
  <c r="C36" i="11"/>
  <c r="C37" i="11"/>
  <c r="C34" i="11"/>
  <c r="C48" i="39"/>
  <c r="C49" i="39"/>
  <c r="C36" i="68"/>
  <c r="C37" i="68"/>
  <c r="C34" i="68"/>
  <c r="H27" i="6"/>
  <c r="R19" i="6"/>
  <c r="E53" i="39"/>
  <c r="F53" i="39" s="1"/>
  <c r="E52" i="39"/>
  <c r="F52" i="39" s="1"/>
  <c r="C23" i="79" l="1"/>
  <c r="C26" i="15"/>
  <c r="C29" i="15" s="1"/>
  <c r="B2" i="69"/>
  <c r="B3" i="69" s="1"/>
  <c r="C57" i="69"/>
  <c r="C56" i="69" s="1"/>
  <c r="C29" i="79"/>
  <c r="C35" i="11"/>
  <c r="C38" i="11"/>
  <c r="R6" i="1"/>
  <c r="R16" i="1" s="1"/>
  <c r="R27" i="6"/>
  <c r="C35" i="68"/>
  <c r="C38" i="68"/>
  <c r="C26" i="80"/>
  <c r="C29" i="80" s="1"/>
  <c r="B64" i="39"/>
  <c r="F64" i="39" s="1"/>
  <c r="B60" i="39"/>
  <c r="F60" i="39" s="1"/>
  <c r="B62" i="39"/>
  <c r="F62" i="39" s="1"/>
  <c r="B58" i="39"/>
  <c r="F58" i="39" s="1"/>
  <c r="B59" i="39"/>
  <c r="F59" i="39" s="1"/>
  <c r="B66" i="39"/>
  <c r="F66" i="39" s="1"/>
  <c r="B63" i="39"/>
  <c r="F63" i="39" s="1"/>
  <c r="B65" i="39"/>
  <c r="F65" i="39" s="1"/>
  <c r="B61" i="39"/>
  <c r="F61" i="39" s="1"/>
  <c r="B57" i="39"/>
  <c r="F57" i="39" s="1"/>
  <c r="C33" i="68" l="1"/>
  <c r="Q49" i="15"/>
  <c r="C36" i="15"/>
  <c r="C13" i="15"/>
  <c r="Q70" i="15" s="1"/>
  <c r="J14" i="15"/>
  <c r="J13" i="15" s="1"/>
  <c r="J23" i="15" s="1"/>
  <c r="C33" i="11"/>
  <c r="C39" i="11" s="1"/>
  <c r="C43" i="11" s="1"/>
  <c r="C57" i="15"/>
  <c r="C61" i="15" s="1"/>
  <c r="C59" i="15" s="1"/>
  <c r="J19" i="15"/>
  <c r="J17" i="15" s="1"/>
  <c r="J22" i="15"/>
  <c r="Q49" i="80"/>
  <c r="C36" i="80"/>
  <c r="J14" i="80"/>
  <c r="J19" i="80"/>
  <c r="J17" i="80" s="1"/>
  <c r="C57" i="80"/>
  <c r="C13" i="80"/>
  <c r="F67" i="39"/>
  <c r="B2" i="39" s="1"/>
  <c r="C36" i="79"/>
  <c r="Q49" i="79"/>
  <c r="J19" i="79"/>
  <c r="J17" i="79" s="1"/>
  <c r="J14" i="79"/>
  <c r="C13" i="79"/>
  <c r="C57" i="79"/>
  <c r="C39" i="68" l="1"/>
  <c r="C43" i="68" s="1"/>
  <c r="C91" i="9"/>
  <c r="C42" i="11"/>
  <c r="C41" i="11" s="1"/>
  <c r="C42" i="68"/>
  <c r="C75" i="15"/>
  <c r="C37" i="15"/>
  <c r="C56" i="15"/>
  <c r="C65" i="15" s="1"/>
  <c r="C30" i="15"/>
  <c r="C39" i="15" s="1"/>
  <c r="C40" i="15" s="1"/>
  <c r="C64" i="15"/>
  <c r="C58" i="15" s="1"/>
  <c r="C67" i="15" s="1"/>
  <c r="C68" i="15" s="1"/>
  <c r="C71" i="15" s="1"/>
  <c r="J16" i="15"/>
  <c r="J25" i="15" s="1"/>
  <c r="C46" i="11"/>
  <c r="C45" i="11" s="1"/>
  <c r="C64" i="79"/>
  <c r="C61" i="79"/>
  <c r="C59" i="79" s="1"/>
  <c r="J13" i="79"/>
  <c r="J23" i="79" s="1"/>
  <c r="J22" i="79"/>
  <c r="Q70" i="80"/>
  <c r="C56" i="80"/>
  <c r="C65" i="80" s="1"/>
  <c r="C37" i="80"/>
  <c r="C75" i="80"/>
  <c r="C30" i="80"/>
  <c r="C39" i="80" s="1"/>
  <c r="C37" i="79"/>
  <c r="C30" i="79" s="1"/>
  <c r="C39" i="79" s="1"/>
  <c r="Q70" i="79"/>
  <c r="C56" i="79"/>
  <c r="C65" i="79" s="1"/>
  <c r="C75" i="79"/>
  <c r="B3" i="39"/>
  <c r="C6" i="68"/>
  <c r="C64" i="80"/>
  <c r="C61" i="80"/>
  <c r="C59" i="80" s="1"/>
  <c r="J13" i="80"/>
  <c r="J23" i="80" s="1"/>
  <c r="J22" i="80"/>
  <c r="L51" i="79"/>
  <c r="L51" i="80"/>
  <c r="Q69" i="15" l="1"/>
  <c r="Q68" i="15" s="1"/>
  <c r="C41" i="68"/>
  <c r="C46" i="68"/>
  <c r="C45" i="68" s="1"/>
  <c r="C92" i="9"/>
  <c r="C94" i="9"/>
  <c r="C80" i="15"/>
  <c r="C79" i="15" s="1"/>
  <c r="C46" i="15"/>
  <c r="C49" i="11"/>
  <c r="C51" i="11" s="1"/>
  <c r="J16" i="80"/>
  <c r="J25" i="80" s="1"/>
  <c r="C58" i="80"/>
  <c r="C67" i="80" s="1"/>
  <c r="C68" i="80" s="1"/>
  <c r="C71" i="80" s="1"/>
  <c r="J16" i="79"/>
  <c r="J25" i="79" s="1"/>
  <c r="C52" i="11"/>
  <c r="B2" i="11" s="1"/>
  <c r="B3" i="11" s="1"/>
  <c r="Q67" i="79"/>
  <c r="Q67" i="80"/>
  <c r="Q69" i="79"/>
  <c r="Q68" i="79" s="1"/>
  <c r="C40" i="79"/>
  <c r="C7" i="68"/>
  <c r="C5" i="68" s="1"/>
  <c r="C80" i="79"/>
  <c r="C79" i="79" s="1"/>
  <c r="C43" i="15"/>
  <c r="Q47" i="15"/>
  <c r="Q53" i="15" s="1"/>
  <c r="Q56" i="15"/>
  <c r="Q62" i="15" s="1"/>
  <c r="Q65" i="15"/>
  <c r="Q75" i="15" s="1"/>
  <c r="B2" i="15"/>
  <c r="C83" i="15"/>
  <c r="C82" i="15" s="1"/>
  <c r="Q69" i="80"/>
  <c r="Q68" i="80" s="1"/>
  <c r="C40" i="80"/>
  <c r="C80" i="80"/>
  <c r="C79" i="80" s="1"/>
  <c r="C58" i="79"/>
  <c r="C67" i="79" s="1"/>
  <c r="C68" i="79" s="1"/>
  <c r="L51" i="15"/>
  <c r="AO9" i="1"/>
  <c r="C49" i="68" l="1"/>
  <c r="C51" i="68" s="1"/>
  <c r="Q67" i="15"/>
  <c r="C56" i="11"/>
  <c r="C57" i="11" s="1"/>
  <c r="B9" i="70"/>
  <c r="C71" i="79"/>
  <c r="C46" i="79"/>
  <c r="F8" i="12"/>
  <c r="B3" i="15"/>
  <c r="F6" i="12" s="1"/>
  <c r="C20" i="68"/>
  <c r="C25" i="68" s="1"/>
  <c r="C23" i="68"/>
  <c r="C28" i="68"/>
  <c r="C27" i="68" s="1"/>
  <c r="C43" i="79"/>
  <c r="Q65" i="79"/>
  <c r="Q75" i="79" s="1"/>
  <c r="Q47" i="79"/>
  <c r="Q53" i="79" s="1"/>
  <c r="Q56" i="79"/>
  <c r="Q62" i="79" s="1"/>
  <c r="B2" i="79"/>
  <c r="C83" i="79"/>
  <c r="C82" i="79" s="1"/>
  <c r="Q65" i="80"/>
  <c r="Q75" i="80" s="1"/>
  <c r="Q56" i="80"/>
  <c r="Q62" i="80" s="1"/>
  <c r="C43" i="80"/>
  <c r="Q47" i="80"/>
  <c r="Q53" i="80" s="1"/>
  <c r="B2" i="80"/>
  <c r="C83" i="80"/>
  <c r="C82" i="80" s="1"/>
  <c r="C46" i="80"/>
  <c r="AO8" i="1"/>
  <c r="AO10" i="1"/>
  <c r="C22" i="68" l="1"/>
  <c r="C31" i="68" s="1"/>
  <c r="C52" i="68" s="1"/>
  <c r="C57" i="68" s="1"/>
  <c r="C56" i="68" s="1"/>
  <c r="B10" i="70"/>
  <c r="B8" i="70"/>
  <c r="C44" i="80"/>
  <c r="G8" i="12"/>
  <c r="B3" i="80"/>
  <c r="G6" i="12" s="1"/>
  <c r="E8" i="12"/>
  <c r="C4" i="12" s="1"/>
  <c r="B3" i="79"/>
  <c r="E6" i="12" s="1"/>
  <c r="B2" i="68"/>
  <c r="C19" i="9"/>
  <c r="B2" i="70" l="1"/>
  <c r="B3" i="70" s="1"/>
  <c r="C102" i="9"/>
  <c r="C21" i="9"/>
  <c r="B3" i="68"/>
  <c r="C23" i="12"/>
  <c r="C31" i="12"/>
  <c r="D34" i="9"/>
  <c r="D35" i="9"/>
  <c r="C20" i="9"/>
  <c r="C103" i="9" l="1"/>
  <c r="C30" i="12"/>
  <c r="C28" i="12" s="1"/>
  <c r="C27" i="12"/>
  <c r="C25" i="12" s="1"/>
  <c r="C32" i="12" l="1"/>
  <c r="B2" i="12" s="1"/>
  <c r="B3" i="12" s="1"/>
  <c r="D20" i="9"/>
  <c r="D19" i="9"/>
  <c r="D21" i="9" l="1"/>
  <c r="G19" i="9"/>
  <c r="G21" i="9" s="1"/>
  <c r="D102" i="9"/>
  <c r="D22" i="9"/>
  <c r="D103" i="9"/>
  <c r="G20" i="9"/>
  <c r="J20" i="9" l="1"/>
  <c r="C32" i="9"/>
  <c r="C35" i="9" s="1"/>
  <c r="F118" i="9" s="1"/>
  <c r="H118" i="9" l="1"/>
  <c r="C104" i="9" s="1"/>
  <c r="C34" i="9"/>
  <c r="D118" i="9" s="1"/>
  <c r="G118" i="9"/>
  <c r="G4" i="52" s="1"/>
  <c r="B52" i="72" s="1"/>
  <c r="F4" i="52"/>
  <c r="B51" i="72" s="1"/>
  <c r="F119" i="9"/>
  <c r="F5" i="52" s="1"/>
  <c r="B53" i="72" s="1"/>
  <c r="H101" i="9" l="1"/>
  <c r="D14" i="74"/>
  <c r="B5" i="74" s="1"/>
  <c r="I118" i="9"/>
  <c r="C105" i="9" s="1"/>
  <c r="H4" i="52"/>
  <c r="H119" i="9"/>
  <c r="H5" i="52" s="1"/>
  <c r="D4" i="52"/>
  <c r="B47" i="72" s="1"/>
  <c r="D119" i="9"/>
  <c r="D5" i="52" s="1"/>
  <c r="B49" i="72" s="1"/>
  <c r="M48" i="9" l="1"/>
  <c r="D45" i="9"/>
  <c r="I4" i="52"/>
  <c r="D53" i="9"/>
  <c r="D48" i="9" s="1"/>
  <c r="M52" i="9" s="1"/>
  <c r="F14" i="74"/>
  <c r="E118" i="9"/>
  <c r="E4" i="52" s="1"/>
  <c r="B48" i="72" s="1"/>
  <c r="H107" i="9"/>
  <c r="E14" i="74"/>
  <c r="H102" i="9"/>
  <c r="D7" i="53" s="1"/>
  <c r="B21" i="72" s="1"/>
  <c r="D5" i="53"/>
  <c r="D6" i="53" s="1"/>
  <c r="B22" i="72" s="1"/>
  <c r="H108" i="9"/>
  <c r="D15" i="53" s="1"/>
  <c r="B31" i="72" s="1"/>
  <c r="D5" i="74"/>
  <c r="C5" i="74"/>
  <c r="D122" i="9" l="1"/>
  <c r="M49" i="9"/>
  <c r="D13" i="53"/>
  <c r="D14" i="53" s="1"/>
  <c r="B32" i="72" s="1"/>
  <c r="B20" i="72"/>
  <c r="D55" i="9"/>
  <c r="M53" i="9" s="1"/>
  <c r="C93" i="9"/>
  <c r="C86" i="9" s="1"/>
  <c r="C64" i="9"/>
  <c r="C63" i="9" s="1"/>
  <c r="C67" i="9" s="1"/>
  <c r="C68" i="9" s="1"/>
  <c r="D54" i="9" s="1"/>
  <c r="C85" i="9"/>
  <c r="C95" i="9" s="1"/>
  <c r="C72" i="9"/>
  <c r="C78" i="9"/>
  <c r="C73" i="9" s="1"/>
  <c r="D52" i="9"/>
  <c r="D8" i="52"/>
  <c r="G14" i="74"/>
  <c r="B6" i="74" s="1"/>
  <c r="D123" i="9"/>
  <c r="D9" i="52" s="1"/>
  <c r="B30" i="72"/>
  <c r="L65" i="9" l="1"/>
  <c r="M65" i="9" s="1"/>
  <c r="L64" i="9"/>
  <c r="M64" i="9" s="1"/>
  <c r="L67" i="9"/>
  <c r="M67" i="9" s="1"/>
  <c r="L68" i="9"/>
  <c r="M68" i="9" s="1"/>
  <c r="L66" i="9"/>
  <c r="M66" i="9" s="1"/>
  <c r="L63" i="9"/>
  <c r="M63" i="9" s="1"/>
  <c r="C79" i="9"/>
  <c r="C80" i="9" s="1"/>
  <c r="E80" i="9" s="1"/>
  <c r="E81" i="9" s="1"/>
  <c r="C96" i="9"/>
  <c r="E96" i="9" s="1"/>
  <c r="E97" i="9" s="1"/>
  <c r="C81" i="9"/>
  <c r="D6" i="74"/>
  <c r="C6" i="74"/>
  <c r="M69" i="9" l="1"/>
  <c r="N69" i="9" s="1"/>
  <c r="C97" i="9"/>
  <c r="D58" i="9" s="1"/>
  <c r="D56" i="9" s="1"/>
  <c r="M54" i="9" s="1"/>
  <c r="N57" i="9" s="1"/>
  <c r="P57" i="9" l="1"/>
  <c r="N58" i="9"/>
  <c r="N59" i="9"/>
  <c r="H111" i="9" s="1"/>
  <c r="D126" i="9" l="1"/>
  <c r="D19" i="53"/>
  <c r="N61" i="9"/>
  <c r="H112" i="9" s="1"/>
  <c r="D21" i="53" s="1"/>
  <c r="B39" i="72" s="1"/>
  <c r="N60" i="9"/>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1" authorId="0" shapeId="0">
      <text>
        <r>
          <rPr>
            <b/>
            <sz val="12"/>
            <color indexed="81"/>
            <rFont val="宋体"/>
            <family val="3"/>
            <charset val="134"/>
          </rPr>
          <t>价值时点所在季度</t>
        </r>
        <r>
          <rPr>
            <sz val="12"/>
            <color indexed="81"/>
            <rFont val="宋体"/>
            <family val="3"/>
            <charset val="134"/>
          </rPr>
          <t xml:space="preserve">
</t>
        </r>
      </text>
    </comment>
    <comment ref="B72"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<sst xmlns="http://schemas.openxmlformats.org/spreadsheetml/2006/main" count="10397" uniqueCount="3717">
  <si>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</si>
  <si>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</si>
  <si>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</si>
  <si>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</si>
  <si>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</si>
  <si>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</si>
  <si>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</si>
  <si>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</si>
  <si>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</si>
  <si>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</si>
  <si>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</si>
  <si>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</si>
  <si>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</si>
  <si>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</si>
  <si>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</si>
  <si>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</si>
  <si>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</si>
  <si>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</si>
  <si>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</si>
  <si>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</si>
  <si>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</si>
  <si>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</si>
  <si>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</si>
  <si>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</si>
  <si>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</si>
  <si>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</si>
  <si>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</si>
  <si>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</si>
  <si>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</si>
  <si>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</si>
  <si>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</si>
  <si>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</si>
  <si>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</si>
  <si>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</si>
  <si>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</si>
  <si>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</si>
  <si>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</si>
  <si>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</si>
  <si>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</si>
  <si>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</si>
  <si>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</si>
  <si>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</si>
  <si>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</si>
  <si>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</si>
  <si>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</si>
  <si>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</si>
  <si>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</si>
  <si>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</si>
  <si>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</si>
  <si>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</si>
  <si>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</si>
  <si>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</si>
  <si>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</si>
  <si>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</si>
  <si>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</si>
  <si>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</si>
  <si>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</si>
  <si>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</si>
  <si>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</si>
  <si>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</si>
  <si>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</si>
  <si>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</si>
  <si>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</si>
  <si>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</si>
  <si>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</si>
  <si>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</si>
  <si>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</si>
  <si>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</si>
  <si>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</si>
  <si>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</si>
  <si>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</si>
  <si>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</si>
  <si>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</si>
  <si>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</si>
  <si>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</si>
  <si>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</si>
  <si>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</si>
  <si>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</si>
  <si>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</si>
  <si>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</si>
  <si>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</si>
  <si>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</si>
  <si>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</si>
  <si>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</si>
  <si>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</si>
  <si>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</si>
  <si>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</si>
  <si>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</si>
  <si>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</si>
  <si>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</si>
  <si>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</si>
  <si>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</si>
  <si>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</si>
  <si>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</si>
  <si>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</si>
  <si>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</si>
  <si>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</si>
  <si>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</si>
  <si>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</si>
  <si>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</si>
  <si>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</si>
  <si>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</si>
  <si>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</si>
  <si>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</si>
  <si>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</si>
  <si>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</si>
  <si>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</si>
  <si>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</si>
  <si>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</si>
  <si>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</si>
  <si>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</si>
  <si>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</si>
  <si>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</si>
  <si>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</si>
  <si>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</si>
  <si>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</si>
  <si>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</si>
  <si>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</si>
  <si>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</si>
  <si>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</si>
  <si>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</si>
  <si>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</si>
  <si>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</si>
  <si>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</si>
  <si>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</si>
  <si>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</si>
  <si>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</si>
  <si>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</si>
  <si>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</si>
  <si>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</si>
  <si>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</si>
  <si>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</si>
  <si>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</si>
  <si>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</si>
  <si>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</si>
  <si>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</si>
  <si>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</si>
  <si>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</si>
  <si>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</si>
  <si>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</si>
  <si>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</si>
  <si>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</si>
  <si>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</si>
  <si>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</si>
  <si>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</si>
  <si>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</si>
  <si>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</si>
  <si>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</si>
  <si>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</si>
  <si>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</si>
  <si>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</si>
  <si>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</si>
  <si>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</si>
  <si>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</si>
  <si>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</si>
  <si>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</si>
  <si>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</si>
  <si>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</si>
  <si>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</si>
  <si>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</si>
  <si>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</si>
  <si>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</si>
  <si>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</si>
  <si>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</si>
  <si>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</si>
  <si>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</si>
  <si>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</si>
  <si>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</si>
  <si>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</si>
  <si>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</si>
  <si>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</si>
  <si>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</si>
  <si>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</si>
  <si>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</si>
  <si>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</si>
  <si>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</si>
  <si>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</si>
  <si>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</si>
  <si>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</si>
  <si>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</si>
  <si>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</si>
  <si>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</si>
  <si>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</si>
  <si>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</si>
  <si>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</si>
  <si>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</si>
  <si>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</si>
  <si>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</si>
  <si>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</si>
  <si>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</si>
  <si>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</si>
  <si>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</si>
  <si>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</si>
  <si>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</si>
  <si>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</si>
  <si>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</si>
  <si>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</si>
  <si>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</si>
  <si>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</si>
  <si>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</si>
  <si>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</si>
  <si>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</si>
  <si>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</si>
  <si>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</si>
  <si>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</si>
  <si>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</si>
  <si>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</si>
  <si>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</si>
  <si>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</si>
  <si>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</si>
  <si>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</si>
  <si>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</si>
  <si>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</si>
  <si>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</si>
  <si>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</si>
  <si>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</si>
  <si>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</si>
  <si>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</si>
  <si>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</si>
  <si>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</si>
  <si>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</si>
  <si>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</si>
  <si>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</si>
  <si>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</si>
  <si>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</si>
  <si>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</si>
  <si>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</si>
  <si>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</si>
  <si>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</si>
  <si>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</si>
  <si>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</si>
  <si>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</si>
  <si>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</si>
  <si>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</si>
  <si>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</si>
  <si>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</si>
  <si>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</si>
  <si>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</si>
  <si>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</si>
  <si>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</si>
  <si>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</si>
  <si>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</si>
  <si>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</si>
  <si>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</si>
  <si>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</si>
  <si>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</si>
  <si>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</si>
  <si>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</si>
  <si>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</si>
  <si>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</si>
  <si>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</si>
  <si>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</si>
  <si>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</si>
  <si>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</si>
  <si>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</si>
  <si>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</si>
  <si>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</si>
  <si>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</si>
  <si>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</si>
  <si>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</si>
  <si>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</si>
  <si>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</si>
  <si>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</si>
  <si>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</si>
  <si>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</si>
  <si>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</si>
  <si>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</si>
  <si>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</si>
  <si>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</si>
  <si>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</si>
  <si>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</si>
  <si>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</si>
  <si>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</si>
  <si>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</si>
  <si>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</si>
  <si>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</si>
  <si>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</si>
  <si>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</si>
  <si>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</si>
  <si>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</si>
  <si>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</si>
  <si>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</si>
  <si>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</si>
  <si>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</si>
  <si>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</si>
  <si>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</si>
  <si>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</si>
  <si>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</si>
  <si>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</si>
  <si>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</si>
  <si>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</si>
  <si>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</si>
  <si>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</si>
  <si>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</si>
  <si>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</si>
  <si>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</si>
  <si>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</si>
  <si>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</si>
  <si>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</si>
  <si>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</si>
  <si>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</si>
  <si>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</si>
  <si>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</si>
  <si>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</si>
  <si>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</si>
  <si>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</si>
  <si>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</si>
  <si>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</si>
  <si>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</si>
  <si>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</si>
  <si>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</si>
  <si>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</si>
  <si>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</si>
  <si>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</si>
  <si>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</si>
  <si>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</si>
  <si>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</si>
  <si>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</si>
  <si>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</si>
  <si>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</si>
  <si>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</si>
  <si>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</si>
  <si>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</si>
  <si>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</si>
  <si>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</si>
  <si>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</si>
  <si>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</si>
  <si>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</si>
  <si>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</si>
  <si>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</si>
  <si>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</si>
  <si>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</si>
  <si>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</si>
  <si>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</si>
  <si>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</si>
  <si>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</si>
  <si>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</si>
  <si>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</si>
  <si>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</si>
  <si>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</si>
  <si>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</si>
  <si>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</si>
  <si>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</si>
  <si>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</si>
  <si>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</si>
  <si>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</si>
  <si>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</si>
  <si>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</si>
  <si>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</si>
  <si>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</si>
  <si>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</si>
  <si>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</si>
  <si>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</si>
  <si>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</si>
  <si>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</si>
  <si>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</si>
  <si>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</si>
  <si>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</si>
  <si>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</si>
  <si>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</si>
  <si>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</si>
  <si>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</si>
  <si>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</si>
  <si>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</si>
  <si>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</si>
  <si>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</si>
  <si>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</si>
  <si>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</si>
  <si>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</si>
  <si>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</si>
  <si>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</si>
  <si>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</si>
  <si>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</si>
  <si>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</si>
  <si>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</si>
  <si>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</si>
  <si>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</si>
  <si>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</si>
  <si>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</si>
  <si>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</si>
  <si>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</si>
  <si>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</si>
  <si>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</si>
  <si>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</si>
  <si>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</si>
  <si>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</si>
  <si>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</si>
  <si>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</si>
  <si>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</si>
  <si>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</si>
  <si>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</si>
  <si>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</si>
  <si>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</si>
  <si>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</si>
  <si>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</si>
  <si>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</si>
  <si>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</si>
  <si>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</si>
  <si>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</si>
  <si>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</si>
  <si>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</si>
  <si>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</si>
  <si>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</si>
  <si>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</si>
  <si>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</si>
  <si>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</si>
  <si>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</si>
  <si>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</si>
  <si>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</si>
  <si>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</si>
  <si>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</si>
  <si>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</si>
  <si>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</si>
  <si>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</si>
  <si>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</si>
  <si>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</si>
  <si>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</si>
  <si>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</si>
  <si>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</si>
  <si>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</si>
  <si>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</si>
  <si>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</si>
  <si>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</si>
  <si>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</si>
  <si>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</si>
  <si>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</si>
  <si>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</si>
  <si>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</si>
  <si>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</si>
  <si>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</si>
  <si>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</si>
  <si>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</si>
  <si>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</si>
  <si>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</si>
  <si>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</si>
  <si>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</si>
  <si>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</si>
  <si>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</si>
  <si>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</si>
  <si>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</si>
  <si>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</si>
  <si>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</si>
  <si>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</si>
  <si>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</si>
  <si>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</si>
  <si>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</si>
  <si>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</si>
  <si>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</si>
  <si>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</si>
  <si>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</si>
  <si>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</si>
  <si>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</si>
  <si>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</si>
  <si>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</si>
  <si>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</si>
  <si>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</si>
  <si>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</si>
  <si>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</si>
  <si>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</si>
  <si>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</si>
  <si>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</si>
  <si>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</si>
  <si>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</si>
  <si>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</si>
  <si>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</si>
  <si>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</si>
  <si>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</si>
  <si>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</si>
  <si>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</si>
  <si>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</si>
  <si>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</si>
  <si>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</si>
  <si>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</si>
  <si>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</si>
  <si>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</si>
  <si>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</si>
  <si>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</si>
  <si>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</si>
  <si>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</si>
  <si>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</si>
  <si>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</si>
  <si>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</si>
  <si>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</si>
  <si>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</si>
  <si>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</si>
  <si>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</si>
  <si>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</si>
  <si>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</si>
  <si>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</si>
  <si>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</si>
  <si>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</si>
  <si>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</si>
  <si>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</si>
  <si>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</si>
  <si>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</si>
  <si>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</si>
  <si>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</si>
  <si>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</si>
  <si>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</si>
  <si>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</si>
  <si>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</si>
  <si>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</si>
  <si>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</si>
  <si>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</si>
  <si>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</si>
  <si>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</si>
  <si>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</si>
  <si>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</si>
  <si>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</si>
  <si>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</si>
  <si>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</si>
  <si>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</si>
  <si>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</si>
  <si>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</si>
  <si>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</si>
  <si>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</si>
  <si>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</si>
  <si>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</si>
  <si>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</si>
  <si>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</si>
  <si>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</si>
  <si>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</si>
  <si>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</si>
  <si>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</si>
  <si>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</si>
  <si>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</si>
  <si>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</si>
  <si>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</si>
  <si>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</si>
  <si>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</si>
  <si>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</si>
  <si>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</si>
  <si>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</si>
  <si>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</si>
  <si>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</si>
  <si>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</si>
  <si>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</si>
  <si>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</si>
  <si>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</si>
  <si>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</si>
  <si>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</si>
  <si>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</si>
  <si>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</si>
  <si>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</si>
  <si>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</si>
  <si>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</si>
  <si>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</si>
  <si>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</si>
  <si>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</si>
  <si>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</si>
  <si>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</si>
  <si>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</si>
  <si>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</si>
  <si>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</si>
  <si>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</si>
  <si>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</si>
  <si>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</si>
  <si>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</si>
  <si>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</si>
  <si>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</si>
  <si>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</si>
  <si>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</si>
  <si>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</si>
  <si>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</si>
  <si>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</si>
  <si>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</si>
  <si>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</si>
  <si>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</si>
  <si>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</si>
  <si>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</si>
  <si>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</si>
  <si>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</si>
  <si>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</si>
  <si>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</si>
  <si>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</si>
  <si>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</si>
  <si>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</si>
  <si>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</si>
  <si>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</si>
  <si>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</si>
  <si>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</si>
  <si>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</si>
  <si>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</si>
  <si>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</si>
  <si>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</si>
  <si>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</si>
  <si>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</si>
  <si>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</si>
  <si>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</si>
  <si>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</si>
  <si>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</si>
  <si>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</si>
  <si>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</si>
  <si>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</si>
  <si>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</si>
  <si>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</si>
  <si>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</si>
  <si>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</si>
  <si>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</si>
  <si>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</si>
  <si>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</si>
  <si>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</si>
  <si>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</si>
  <si>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</si>
  <si>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</si>
  <si>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</si>
  <si>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</si>
  <si>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</si>
  <si>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</si>
  <si>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</si>
  <si>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</si>
  <si>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</si>
  <si>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</si>
  <si>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</si>
  <si>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</si>
  <si>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</si>
  <si>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</si>
  <si>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</si>
  <si>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</si>
  <si>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</si>
  <si>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</si>
  <si>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</si>
  <si>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</si>
  <si>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</si>
  <si>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</si>
  <si>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</si>
  <si>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</si>
  <si>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</si>
  <si>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</si>
  <si>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</si>
  <si>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</si>
  <si>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</si>
  <si>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</si>
  <si>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</si>
  <si>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</si>
  <si>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</si>
  <si>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</si>
  <si>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</si>
  <si>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</si>
  <si>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</si>
  <si>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</si>
  <si>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</si>
  <si>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</si>
  <si>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</si>
  <si>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</si>
  <si>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</si>
  <si>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</si>
  <si>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</si>
  <si>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</si>
  <si>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</si>
  <si>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</si>
  <si>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</si>
  <si>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</si>
  <si>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</si>
  <si>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</si>
  <si>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</si>
  <si>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</si>
  <si>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</si>
  <si>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</si>
  <si>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</si>
  <si>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</si>
  <si>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</si>
  <si>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</si>
  <si>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</si>
  <si>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</si>
  <si>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</si>
  <si>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</si>
  <si>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</si>
  <si>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</si>
  <si>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</si>
  <si>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</si>
  <si>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</si>
  <si>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</si>
  <si>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</si>
  <si>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</si>
  <si>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</si>
  <si>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</si>
  <si>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</si>
  <si>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</si>
  <si>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</si>
  <si>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</si>
  <si>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</si>
  <si>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</si>
  <si>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</si>
  <si>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</si>
  <si>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</si>
  <si>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</si>
  <si>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</si>
  <si>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</si>
  <si>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</si>
  <si>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</si>
  <si>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</si>
  <si>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</si>
  <si>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</si>
  <si>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</si>
  <si>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</si>
  <si>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</si>
  <si>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</si>
  <si>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</si>
  <si>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</si>
  <si>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</si>
  <si>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</si>
  <si>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</si>
  <si>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</si>
  <si>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</si>
  <si>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</si>
  <si>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</si>
  <si>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</si>
  <si>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</si>
  <si>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</si>
  <si>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</si>
  <si>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</si>
  <si>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</si>
  <si>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</si>
  <si>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</si>
  <si>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</si>
  <si>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</si>
  <si>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</si>
  <si>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</si>
  <si>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</si>
  <si>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</si>
  <si>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</si>
  <si>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</si>
  <si>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</si>
  <si>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</si>
  <si>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</si>
  <si>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</si>
  <si>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</si>
  <si>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</si>
  <si>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</si>
  <si>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</si>
  <si>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</si>
  <si>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</si>
  <si>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</si>
  <si>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</si>
  <si>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</si>
  <si>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</si>
  <si>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</si>
  <si>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</si>
  <si>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</si>
  <si>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</si>
  <si>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</si>
  <si>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</si>
  <si>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</si>
  <si>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</si>
  <si>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</si>
  <si>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</si>
  <si>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</si>
  <si>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</si>
  <si>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</si>
  <si>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</si>
  <si>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</si>
  <si>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</si>
  <si>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</si>
  <si>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</si>
  <si>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</si>
  <si>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</si>
  <si>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</si>
  <si>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</si>
  <si>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</si>
  <si>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</si>
  <si>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</si>
  <si>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</si>
  <si>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</si>
  <si>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</si>
  <si>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</si>
  <si>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</si>
  <si>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</si>
  <si>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</si>
  <si>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</si>
  <si>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</si>
  <si>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</si>
  <si>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</si>
  <si>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</si>
  <si>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</si>
  <si>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</si>
  <si>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</si>
  <si>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</si>
  <si>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</si>
  <si>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</si>
  <si>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</si>
  <si>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</si>
  <si>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</si>
  <si>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</si>
  <si>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</si>
  <si>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</si>
  <si>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</si>
  <si>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</si>
  <si>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</si>
  <si>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</si>
  <si>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</si>
  <si>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</si>
  <si>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</si>
  <si>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</si>
  <si>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</si>
  <si>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</si>
  <si>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</si>
  <si>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</si>
  <si>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</si>
  <si>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</si>
  <si>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</si>
  <si>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</si>
  <si>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</si>
  <si>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</si>
  <si>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</si>
  <si>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</si>
  <si>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</si>
  <si>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</si>
  <si>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</si>
  <si>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</si>
  <si>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</si>
  <si>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</si>
  <si>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</si>
  <si>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</si>
  <si>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</si>
  <si>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</si>
  <si>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</si>
  <si>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</si>
  <si>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</si>
  <si>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</si>
  <si>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</si>
  <si>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</si>
  <si>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</si>
  <si>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</si>
  <si>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</si>
  <si>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</si>
  <si>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</si>
  <si>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</si>
  <si>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</si>
  <si>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</si>
  <si>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</si>
  <si>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</si>
  <si>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</si>
  <si>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</si>
  <si>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</si>
  <si>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</si>
  <si>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</si>
  <si>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</si>
  <si>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</si>
  <si>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</si>
  <si>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</si>
  <si>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</si>
  <si>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</si>
  <si>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</si>
  <si>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</si>
  <si>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</si>
  <si>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</si>
  <si>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</si>
  <si>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</si>
  <si>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</si>
  <si>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</si>
  <si>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</si>
  <si>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</si>
  <si>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</si>
  <si>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</si>
  <si>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</si>
  <si>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</si>
  <si>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</si>
  <si>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</si>
  <si>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</si>
  <si>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</si>
  <si>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</si>
  <si>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</si>
  <si>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</si>
  <si>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</si>
  <si>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</si>
  <si>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</si>
  <si>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</si>
  <si>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</si>
  <si>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</si>
  <si>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</si>
  <si>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</si>
  <si>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</si>
  <si>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</si>
  <si>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</si>
  <si>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</si>
  <si>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</si>
  <si>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</si>
  <si>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</si>
  <si>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</si>
  <si>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</si>
  <si>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</si>
  <si>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</si>
  <si>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</si>
  <si>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</si>
  <si>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</si>
  <si>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</si>
  <si>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</si>
  <si>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</si>
  <si>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</si>
  <si>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</si>
  <si>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</si>
  <si>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</si>
  <si>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</si>
  <si>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</si>
  <si>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</si>
  <si>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</si>
  <si>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</si>
  <si>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</si>
  <si>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</si>
  <si>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</si>
  <si>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</si>
  <si>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</si>
  <si>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</si>
  <si>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</si>
  <si>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</si>
  <si>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</si>
  <si>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</si>
  <si>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</si>
  <si>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</si>
  <si>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</si>
  <si>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</si>
  <si>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</si>
  <si>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</si>
  <si>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</si>
  <si>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</si>
  <si>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</si>
  <si>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</si>
  <si>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</si>
  <si>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</si>
  <si>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</si>
  <si>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</si>
  <si>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</si>
  <si>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</si>
  <si>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</si>
  <si>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</si>
  <si>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</si>
  <si>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</si>
  <si>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</si>
  <si>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</si>
  <si>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</si>
  <si>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</si>
  <si>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</si>
  <si>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</si>
  <si>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</si>
  <si>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</si>
  <si>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</si>
  <si>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</si>
  <si>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</si>
  <si>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</si>
  <si>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</si>
  <si>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</si>
  <si>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</si>
  <si>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</si>
  <si>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</si>
  <si>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</si>
  <si>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</si>
  <si>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</si>
  <si>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</si>
  <si>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</si>
  <si>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</si>
  <si>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</si>
  <si>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</si>
  <si>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</si>
  <si>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</si>
  <si>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</si>
  <si>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</si>
  <si>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</si>
  <si>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</si>
  <si>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</si>
  <si>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</si>
  <si>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</si>
  <si>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</si>
  <si>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</si>
  <si>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</si>
  <si>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</si>
  <si>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</si>
  <si>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</si>
  <si>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</si>
  <si>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</si>
  <si>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</si>
  <si>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</si>
  <si>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</si>
  <si>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</si>
  <si>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</si>
  <si>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</si>
  <si>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</si>
  <si>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</si>
  <si>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</si>
  <si>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</si>
  <si>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</si>
  <si>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</si>
  <si>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</si>
  <si>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</si>
  <si>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</si>
  <si>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</si>
  <si>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</si>
  <si>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</si>
  <si>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</si>
  <si>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</si>
  <si>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</si>
  <si>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</si>
  <si>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</si>
  <si>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</si>
  <si>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</si>
  <si>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</si>
  <si>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</si>
  <si>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</si>
  <si>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</si>
  <si>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</si>
  <si>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</si>
  <si>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</si>
  <si>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</si>
  <si>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</si>
  <si>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</si>
  <si>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</si>
  <si>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</si>
  <si>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</si>
  <si>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</si>
  <si>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</si>
  <si>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</si>
  <si>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</si>
  <si>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</si>
  <si>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</si>
  <si>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</si>
  <si>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</si>
  <si>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</si>
  <si>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</si>
  <si>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</si>
  <si>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</si>
  <si>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</si>
  <si>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</si>
  <si>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</si>
  <si>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</si>
  <si>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</si>
  <si>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</si>
  <si>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</si>
  <si>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</si>
  <si>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</si>
  <si>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</si>
  <si>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</si>
  <si>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</si>
  <si>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</si>
  <si>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</si>
  <si>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</si>
  <si>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</si>
  <si>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</si>
  <si>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</si>
  <si>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</si>
  <si>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</si>
  <si>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</si>
  <si>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</si>
  <si>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</si>
  <si>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</si>
  <si>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</si>
  <si>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</si>
  <si>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</si>
  <si>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</si>
  <si>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</si>
  <si>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</si>
  <si>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</si>
  <si>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</si>
  <si>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</si>
  <si>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</si>
  <si>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</si>
  <si>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</si>
  <si>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</si>
  <si>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</si>
  <si>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</si>
  <si>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</si>
  <si>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</si>
  <si>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</si>
  <si>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</si>
  <si>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</si>
  <si>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</si>
  <si>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</si>
  <si>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</si>
  <si>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</si>
  <si>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</si>
  <si>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</si>
  <si>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</si>
  <si>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</si>
  <si>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</si>
  <si>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</si>
  <si>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</si>
  <si>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</si>
  <si>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</si>
  <si>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</si>
  <si>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</si>
  <si>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</si>
  <si>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</si>
  <si>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</si>
  <si>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</si>
  <si>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</si>
  <si>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</si>
  <si>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</si>
  <si>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</si>
  <si>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</si>
  <si>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</si>
  <si>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</si>
  <si>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</si>
  <si>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</si>
  <si>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</si>
  <si>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</si>
  <si>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</si>
  <si>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</si>
  <si>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</si>
  <si>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</si>
  <si>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</si>
  <si>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</si>
  <si>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</si>
  <si>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</si>
  <si>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</si>
  <si>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</si>
  <si>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</si>
  <si>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</si>
  <si>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</si>
  <si>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</si>
  <si>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</si>
  <si>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</si>
  <si>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</si>
  <si>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</si>
  <si>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</si>
  <si>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</si>
  <si>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</si>
  <si>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</si>
  <si>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</si>
  <si>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</si>
  <si>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</si>
  <si>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</si>
  <si>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</si>
  <si>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</si>
  <si>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</si>
  <si>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</si>
  <si>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</si>
  <si>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</si>
  <si>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</si>
  <si>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</si>
  <si>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</si>
  <si>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</si>
  <si>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</si>
  <si>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</si>
  <si>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</si>
  <si>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</si>
  <si>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</si>
  <si>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</si>
  <si>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</si>
  <si>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</si>
  <si>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</si>
  <si>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</si>
  <si>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</si>
  <si>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</si>
  <si>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</si>
  <si>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</si>
  <si>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</si>
  <si>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</si>
  <si>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</si>
  <si>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</si>
  <si>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</si>
  <si>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</si>
  <si>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</si>
  <si>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</si>
  <si>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</si>
  <si>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</si>
  <si>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</si>
  <si>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</si>
  <si>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</si>
  <si>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</si>
  <si>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</si>
  <si>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</si>
  <si>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</si>
  <si>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</si>
  <si>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</si>
  <si>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</si>
  <si>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</si>
  <si>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</si>
  <si>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</si>
  <si>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</si>
  <si>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</si>
  <si>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</si>
  <si>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</si>
  <si>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</si>
  <si>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</si>
  <si>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</si>
  <si>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</si>
  <si>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</si>
  <si>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</si>
  <si>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</si>
  <si>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</si>
  <si>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</si>
  <si>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</si>
  <si>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</si>
  <si>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</si>
  <si>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</si>
  <si>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</si>
  <si>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</si>
  <si>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</si>
  <si>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</si>
  <si>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</si>
  <si>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</si>
  <si>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</si>
  <si>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</si>
  <si>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</si>
  <si>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</si>
  <si>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</si>
  <si>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</si>
  <si>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</si>
  <si>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</si>
  <si>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</si>
  <si>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</si>
  <si>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</si>
  <si>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</si>
  <si>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</si>
  <si>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</si>
  <si>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</si>
  <si>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</si>
  <si>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</si>
  <si>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</si>
  <si>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</si>
  <si>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</si>
  <si>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</si>
  <si>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</si>
  <si>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</si>
  <si>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</si>
  <si>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</si>
  <si>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</si>
  <si>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</si>
  <si>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</si>
  <si>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</si>
  <si>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</si>
  <si>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</si>
  <si>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</si>
  <si>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</si>
  <si>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</si>
  <si>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</si>
  <si>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</si>
  <si>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</si>
  <si>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</si>
  <si>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</si>
  <si>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</si>
  <si>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</si>
  <si>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</si>
  <si>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</si>
  <si>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</si>
  <si>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</si>
  <si>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</si>
  <si>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</si>
  <si>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</si>
  <si>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</si>
  <si>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</si>
  <si>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</si>
  <si>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</si>
  <si>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</si>
  <si>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</si>
  <si>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</si>
  <si>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</si>
  <si>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</si>
  <si>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</si>
  <si>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</si>
  <si>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</si>
  <si>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</si>
  <si>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</si>
  <si>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</si>
  <si>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</si>
  <si>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</si>
  <si>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</si>
  <si>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</si>
  <si>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</si>
  <si>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</si>
  <si>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</si>
  <si>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</si>
  <si>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</si>
  <si>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</si>
  <si>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</si>
  <si>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</si>
  <si>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</si>
  <si>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</si>
  <si>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</si>
  <si>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</si>
  <si>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</si>
  <si>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</si>
  <si>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</si>
  <si>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</si>
  <si>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</si>
  <si>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</si>
  <si>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</si>
  <si>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</si>
  <si>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</si>
  <si>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</si>
  <si>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</si>
  <si>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</si>
  <si>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</si>
  <si>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</si>
  <si>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</si>
  <si>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</si>
  <si>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</si>
  <si>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</si>
  <si>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</si>
  <si>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</si>
  <si>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</si>
  <si>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</si>
  <si>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</si>
  <si>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</si>
  <si>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</si>
  <si>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</si>
  <si>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</si>
  <si>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</si>
  <si>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</si>
  <si>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</si>
  <si>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</si>
  <si>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</si>
  <si>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</si>
  <si>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</si>
  <si>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</si>
  <si>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</si>
  <si>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</si>
  <si>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</si>
  <si>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</si>
  <si>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</si>
  <si>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</si>
  <si>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</si>
  <si>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</si>
  <si>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</si>
  <si>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</si>
  <si>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</si>
  <si>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</si>
  <si>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</si>
  <si>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</si>
  <si>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</si>
  <si>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</si>
  <si>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</si>
  <si>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</si>
  <si>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</si>
  <si>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</si>
  <si>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</si>
  <si>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</si>
  <si>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</si>
  <si>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</si>
  <si>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</si>
  <si>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</si>
  <si>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</si>
  <si>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</si>
  <si>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</si>
  <si>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</si>
  <si>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</si>
  <si>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</si>
  <si>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</si>
  <si>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</si>
  <si>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</si>
  <si>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</si>
  <si>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</si>
  <si>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</si>
  <si>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</si>
  <si>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</si>
  <si>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</si>
  <si>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</si>
  <si>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</si>
  <si>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</si>
  <si>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</si>
  <si>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</si>
  <si>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</si>
  <si>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</si>
  <si>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</si>
  <si>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</si>
  <si>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</si>
  <si>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</si>
  <si>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</si>
  <si>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</si>
  <si>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</si>
  <si>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</si>
  <si>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</si>
  <si>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</si>
  <si>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</si>
  <si>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</si>
  <si>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</si>
  <si>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</si>
  <si>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</si>
  <si>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</si>
  <si>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</si>
  <si>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</si>
  <si>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</si>
  <si>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</si>
  <si>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</si>
  <si>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</si>
  <si>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</si>
  <si>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</si>
  <si>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</si>
  <si>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</si>
  <si>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</si>
  <si>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</si>
  <si>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</si>
  <si>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</si>
  <si>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</si>
  <si>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</si>
  <si>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</si>
  <si>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</si>
  <si>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</si>
  <si>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</si>
  <si>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</si>
  <si>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</si>
  <si>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</si>
  <si>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</si>
  <si>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</si>
  <si>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</si>
  <si>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</si>
  <si>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</si>
  <si>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</si>
  <si>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</si>
  <si>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</si>
  <si>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</si>
  <si>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</si>
  <si>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</si>
  <si>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</si>
  <si>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</si>
  <si>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</si>
  <si>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</si>
  <si>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</si>
  <si>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</si>
  <si>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</si>
  <si>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</si>
  <si>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</si>
  <si>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</si>
  <si>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</si>
  <si>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</si>
  <si>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</si>
  <si>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</si>
  <si>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</si>
  <si>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</si>
  <si>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</si>
  <si>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</si>
  <si>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</si>
  <si>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</si>
  <si>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</si>
  <si>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</si>
  <si>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</si>
  <si>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</si>
  <si>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</si>
  <si>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</si>
  <si>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</si>
  <si>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</si>
  <si>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</si>
  <si>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</si>
  <si>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</si>
  <si>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</si>
  <si>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</si>
  <si>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</si>
  <si>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</si>
  <si>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</si>
  <si>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</si>
  <si>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</si>
  <si>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</si>
  <si>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</si>
  <si>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</si>
  <si>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</si>
  <si>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</si>
  <si>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</si>
  <si>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</si>
  <si>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</si>
  <si>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</si>
  <si>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</si>
  <si>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</si>
  <si>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</si>
  <si>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</si>
  <si>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</si>
  <si>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</si>
  <si>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</si>
  <si>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</si>
  <si>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</si>
  <si>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</si>
  <si>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</si>
  <si>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</si>
  <si>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</si>
  <si>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</si>
  <si>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</si>
  <si>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</si>
  <si>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</si>
  <si>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</si>
  <si>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</si>
  <si>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</si>
  <si>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</si>
  <si>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</si>
  <si>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</si>
  <si>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</si>
  <si>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</si>
  <si>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</si>
  <si>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</si>
  <si>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</si>
  <si>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</si>
  <si>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</si>
  <si>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</si>
  <si>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</si>
  <si>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</si>
  <si>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</si>
  <si>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</si>
  <si>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</si>
  <si>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</si>
  <si>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</si>
  <si>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</si>
  <si>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</si>
  <si>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</si>
  <si>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</si>
  <si>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</si>
  <si>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</si>
  <si>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</si>
  <si>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</si>
  <si>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</si>
  <si>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</si>
  <si>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</si>
  <si>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</si>
  <si>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</si>
  <si>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</si>
  <si>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</si>
  <si>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</si>
  <si>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</si>
  <si>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</si>
  <si>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</si>
  <si>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</si>
  <si>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</si>
  <si>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</si>
  <si>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</si>
  <si>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</si>
  <si>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</si>
  <si>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</si>
  <si>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</si>
  <si>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</si>
  <si>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</si>
  <si>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</si>
  <si>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</si>
  <si>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</si>
  <si>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</si>
  <si>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</si>
  <si>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</si>
  <si>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</si>
  <si>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</si>
  <si>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</si>
  <si>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</si>
  <si>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</si>
  <si>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</si>
  <si>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</si>
  <si>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</si>
  <si>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</si>
  <si>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</si>
  <si>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</si>
  <si>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</si>
  <si>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</si>
  <si>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</si>
  <si>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</si>
  <si>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</si>
  <si>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</si>
  <si>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</si>
  <si>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</si>
  <si>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</si>
  <si>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</si>
  <si>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</si>
  <si>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</si>
  <si>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</si>
  <si>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</si>
  <si>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</si>
  <si>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</si>
  <si>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</si>
  <si>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</si>
  <si>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</si>
  <si>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</si>
  <si>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</si>
  <si>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</si>
  <si>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</si>
  <si>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</si>
  <si>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</si>
  <si>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</si>
  <si>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</si>
  <si>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</si>
  <si>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</si>
  <si>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</si>
  <si>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</si>
  <si>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</si>
  <si>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</si>
  <si>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</si>
  <si>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</si>
  <si>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</si>
  <si>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</si>
  <si>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</si>
  <si>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</si>
  <si>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</si>
  <si>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</si>
  <si>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</si>
  <si>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</si>
  <si>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</si>
  <si>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</si>
  <si>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</si>
  <si>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</si>
  <si>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</si>
  <si>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</si>
  <si>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</si>
  <si>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</si>
  <si>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</si>
  <si>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</si>
  <si>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</si>
  <si>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</si>
  <si>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</si>
  <si>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</si>
  <si>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</si>
  <si>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</si>
  <si>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</si>
  <si>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</si>
  <si>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</si>
  <si>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</si>
  <si>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</si>
  <si>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</si>
  <si>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</si>
  <si>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</si>
  <si>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</si>
  <si>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</si>
  <si>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</si>
  <si>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</si>
  <si>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</si>
  <si>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</si>
  <si>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</si>
  <si>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</si>
  <si>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</si>
  <si>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</si>
  <si>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</si>
  <si>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</si>
  <si>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</si>
  <si>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</si>
  <si>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</si>
  <si>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</si>
  <si>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</si>
  <si>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</si>
  <si>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</si>
  <si>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</si>
  <si>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</si>
  <si>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</si>
  <si>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</si>
  <si>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</si>
  <si>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</si>
  <si>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</si>
  <si>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</si>
  <si>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</si>
  <si>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</si>
  <si>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</si>
  <si>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</si>
  <si>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</si>
  <si>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</si>
  <si>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</si>
  <si>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</si>
  <si>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</si>
  <si>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</si>
  <si>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</si>
  <si>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</si>
  <si>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</si>
  <si>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</si>
  <si>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</si>
  <si>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</si>
  <si>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</si>
  <si>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</si>
  <si>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</si>
  <si>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</si>
  <si>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</si>
  <si>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</si>
  <si>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</si>
  <si>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</si>
  <si>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</si>
  <si>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</si>
  <si>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</si>
  <si>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</si>
  <si>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</si>
  <si>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</si>
  <si>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</si>
  <si>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</si>
  <si>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</si>
  <si>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</si>
  <si>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</si>
  <si>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</si>
  <si>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</si>
  <si>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</si>
  <si>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</si>
  <si>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</si>
  <si>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</si>
  <si>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</si>
  <si>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</si>
  <si>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</si>
  <si>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</si>
  <si>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</si>
  <si>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</si>
  <si>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</si>
  <si>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</si>
  <si>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</si>
  <si>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</si>
  <si>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</si>
  <si>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</si>
  <si>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</si>
  <si>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</si>
  <si>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</si>
  <si>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</si>
  <si>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</si>
  <si>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</si>
  <si>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</si>
  <si>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</si>
  <si>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</si>
  <si>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</si>
  <si>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</si>
  <si>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</si>
  <si>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</si>
  <si>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</si>
  <si>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</si>
  <si>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</si>
  <si>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</si>
  <si>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</si>
  <si>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</si>
  <si>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</si>
  <si>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</si>
  <si>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</si>
  <si>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</si>
  <si>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</si>
  <si>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</si>
  <si>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</si>
  <si>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</si>
  <si>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</si>
  <si>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</si>
  <si>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</si>
  <si>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</si>
  <si>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</si>
  <si>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</si>
  <si>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</si>
  <si>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</si>
  <si>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</si>
  <si>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</si>
  <si>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</si>
  <si>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</si>
  <si>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</si>
  <si>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</si>
  <si>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</si>
  <si>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</si>
  <si>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</si>
  <si>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</si>
  <si>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</si>
  <si>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</si>
  <si>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</si>
  <si>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</si>
  <si>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</si>
  <si>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</si>
  <si>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</si>
  <si>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</si>
  <si>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</si>
  <si>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</si>
  <si>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</si>
  <si>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</si>
  <si>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</si>
  <si>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</si>
  <si>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</si>
  <si>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</si>
  <si>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</si>
  <si>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</si>
  <si>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</si>
  <si>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</si>
  <si>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</si>
  <si>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</si>
  <si>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</si>
  <si>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</si>
  <si>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</si>
  <si>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</si>
  <si>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</si>
  <si>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</si>
  <si>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</si>
  <si>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</si>
  <si>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</si>
  <si>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</si>
  <si>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</si>
  <si>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</si>
  <si>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</si>
  <si>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</si>
  <si>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</si>
  <si>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</si>
  <si>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</si>
  <si>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</si>
  <si>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</si>
  <si>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</si>
  <si>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</si>
  <si>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</si>
  <si>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</si>
  <si>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</si>
  <si>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</si>
  <si>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</si>
  <si>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</si>
  <si>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</si>
  <si>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</si>
  <si>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</si>
  <si>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</si>
  <si>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</si>
  <si>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</si>
  <si>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</si>
  <si>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</si>
  <si>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</si>
  <si>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</si>
  <si>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</si>
  <si>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</si>
  <si>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</si>
  <si>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</si>
  <si>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</si>
  <si>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</si>
  <si>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</si>
  <si>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</si>
  <si>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</si>
  <si>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</si>
  <si>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</si>
  <si>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</si>
  <si>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</si>
  <si>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</si>
  <si>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</si>
  <si>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</si>
  <si>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</si>
  <si>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</si>
  <si>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</si>
  <si>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</si>
  <si>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</si>
  <si>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</si>
  <si>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</si>
  <si>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</si>
  <si>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</si>
  <si>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</si>
  <si>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</si>
  <si>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</si>
  <si>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</si>
  <si>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</si>
  <si>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</si>
  <si>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</si>
  <si>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</si>
  <si>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</si>
  <si>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</si>
  <si>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</si>
  <si>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</si>
  <si>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</si>
  <si>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</si>
  <si>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</si>
  <si>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</si>
  <si>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</si>
  <si>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</si>
  <si>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</si>
  <si>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</si>
  <si>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</si>
  <si>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</si>
  <si>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</si>
  <si>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</si>
  <si>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</si>
  <si>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</si>
  <si>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</si>
  <si>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</si>
  <si>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</si>
  <si>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</si>
  <si>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</si>
  <si>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</si>
  <si>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</si>
  <si>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</si>
  <si>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</si>
  <si>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</si>
  <si>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</si>
  <si>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</si>
  <si>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</si>
  <si>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</si>
  <si>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</si>
  <si>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</si>
  <si>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</si>
  <si>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</si>
  <si>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</si>
  <si>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</si>
  <si>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</si>
  <si>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</si>
  <si>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</si>
  <si>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</si>
  <si>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</si>
  <si>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</si>
  <si>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</si>
  <si>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</si>
  <si>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</si>
  <si>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</si>
  <si>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</si>
  <si>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</si>
  <si>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</si>
  <si>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</si>
  <si>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</si>
  <si>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</si>
  <si>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</si>
  <si>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</si>
  <si>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</si>
  <si>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</si>
  <si>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</si>
  <si>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</si>
  <si>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</si>
  <si>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</si>
  <si>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</si>
  <si>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</si>
  <si>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</si>
  <si>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</si>
  <si>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</si>
  <si>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</si>
  <si>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</si>
  <si>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</si>
  <si>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</si>
  <si>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</si>
  <si>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</si>
  <si>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</si>
  <si>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</si>
  <si>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</si>
  <si>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</si>
  <si>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</si>
  <si>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</si>
  <si>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</si>
  <si>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</si>
  <si>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</si>
  <si>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</si>
  <si>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</si>
  <si>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</si>
  <si>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</si>
  <si>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</si>
  <si>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</si>
  <si>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</si>
  <si>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</si>
  <si>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</si>
  <si>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</si>
  <si>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</si>
  <si>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</si>
  <si>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</si>
  <si>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</si>
  <si>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</si>
  <si>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</si>
  <si>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</si>
  <si>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</si>
  <si>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</si>
  <si>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</si>
  <si>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</si>
  <si>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</si>
  <si>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</si>
  <si>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</si>
  <si>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</si>
  <si>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</si>
  <si>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</si>
  <si>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</si>
  <si>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</si>
  <si>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</si>
  <si>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</si>
  <si>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</si>
  <si>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</si>
  <si>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</si>
  <si>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</si>
  <si>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</si>
  <si>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</si>
  <si>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</si>
  <si>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</si>
  <si>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</si>
  <si>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</si>
  <si>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</si>
  <si>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</si>
  <si>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</si>
  <si>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</si>
  <si>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</si>
  <si>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</si>
  <si>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</si>
  <si>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</si>
  <si>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</si>
  <si>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</si>
  <si>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</si>
  <si>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</si>
  <si>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</si>
  <si>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</si>
  <si>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</si>
  <si>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</si>
  <si>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</si>
  <si>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</si>
  <si>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</si>
  <si>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</si>
  <si>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</si>
  <si>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</si>
  <si>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</si>
  <si>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</si>
  <si>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</si>
  <si>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</si>
  <si>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</si>
  <si>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</si>
  <si>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</si>
  <si>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</si>
  <si>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</si>
  <si>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</si>
  <si>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</si>
  <si>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</si>
  <si>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</si>
  <si>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</si>
  <si>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</si>
  <si>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</si>
  <si>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</si>
  <si>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</si>
  <si>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</si>
  <si>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</si>
  <si>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</si>
  <si>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</si>
  <si>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</si>
  <si>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</si>
  <si>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</si>
  <si>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</si>
  <si>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</si>
  <si>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</si>
  <si>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</si>
  <si>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</si>
  <si>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</si>
  <si>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</si>
  <si>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</si>
  <si>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</si>
  <si>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</si>
  <si>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</si>
  <si>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</si>
  <si>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</si>
  <si>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</si>
  <si>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</si>
  <si>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</si>
  <si>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</si>
  <si>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</si>
  <si>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</si>
  <si>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</si>
  <si>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</si>
  <si>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</si>
  <si>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</si>
  <si>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</si>
  <si>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</si>
  <si>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</si>
  <si>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</si>
  <si>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</si>
  <si>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</si>
  <si>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</si>
  <si>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</si>
  <si>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</si>
  <si>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</si>
  <si>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</si>
  <si>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</si>
  <si>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</si>
  <si>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</si>
  <si>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</si>
  <si>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</si>
  <si>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</si>
  <si>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</si>
  <si>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</si>
  <si>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</si>
  <si>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</si>
  <si>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</si>
  <si>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</si>
  <si>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</si>
  <si>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</si>
  <si>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</si>
  <si>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</si>
  <si>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</si>
  <si>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</si>
  <si>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</si>
  <si>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</si>
  <si>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</si>
  <si>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</si>
  <si>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</si>
  <si>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</si>
  <si>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</si>
  <si>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</si>
  <si>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</si>
  <si>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</si>
  <si>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</si>
  <si>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</si>
  <si>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</si>
  <si>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</si>
  <si>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</si>
  <si>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</si>
  <si>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</si>
  <si>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</si>
  <si>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</si>
  <si>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</si>
  <si>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</si>
  <si>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</si>
  <si>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</si>
  <si>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</si>
  <si>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</si>
  <si>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</si>
  <si>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</si>
  <si>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</si>
  <si>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</si>
  <si>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</si>
  <si>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</si>
  <si>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</si>
  <si>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</si>
  <si>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</si>
  <si>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</si>
  <si>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</si>
  <si>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</si>
  <si>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</si>
  <si>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</si>
  <si>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</si>
  <si>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</si>
  <si>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</si>
  <si>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</si>
  <si>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</si>
  <si>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</si>
  <si>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</si>
  <si>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</si>
  <si>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</si>
  <si>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</si>
  <si>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</si>
  <si>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</si>
  <si>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</si>
  <si>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</si>
  <si>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</si>
  <si>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</si>
  <si>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</si>
  <si>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</si>
  <si>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</si>
  <si>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</si>
  <si>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</si>
  <si>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</si>
  <si>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</si>
  <si>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</si>
  <si>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</si>
  <si>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</si>
  <si>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</si>
  <si>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</si>
  <si>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</si>
  <si>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</si>
  <si>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</si>
  <si>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</si>
  <si>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</si>
  <si>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</si>
  <si>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</si>
  <si>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</si>
  <si>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</si>
  <si>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</si>
  <si>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</si>
  <si>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</si>
  <si>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</si>
  <si>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</si>
  <si>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</si>
  <si>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</si>
  <si>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</si>
  <si>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</si>
  <si>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</si>
  <si>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</si>
  <si>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</si>
  <si>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</si>
  <si>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</si>
  <si>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</si>
  <si>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</si>
  <si>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</si>
  <si>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</si>
  <si>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</si>
  <si>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</si>
  <si>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</si>
  <si>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</si>
  <si>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</si>
  <si>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</si>
  <si>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</si>
  <si>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</si>
  <si>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</si>
  <si>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</si>
  <si>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</si>
  <si>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</si>
  <si>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</si>
  <si>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</si>
  <si>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</si>
  <si>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</si>
  <si>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</si>
  <si>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</si>
  <si>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</si>
  <si>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</si>
  <si>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</si>
  <si>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</si>
  <si>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</si>
  <si>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</si>
  <si>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</si>
  <si>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</si>
  <si>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</si>
  <si>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</si>
  <si>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</si>
  <si>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</si>
  <si>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</si>
  <si>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</si>
  <si>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</si>
  <si>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</si>
  <si>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</si>
  <si>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</si>
  <si>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</si>
  <si>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</si>
  <si>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</si>
  <si>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</si>
  <si>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</si>
  <si>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</si>
  <si>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</si>
  <si>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</si>
  <si>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</si>
  <si>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</si>
  <si>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</si>
  <si>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</si>
  <si>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</si>
  <si>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</si>
  <si>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</si>
  <si>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</si>
  <si>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</si>
  <si>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</si>
  <si>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</si>
  <si>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</si>
  <si>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</si>
  <si>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</si>
  <si>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</si>
  <si>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</si>
  <si>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</si>
  <si>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</si>
  <si>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</si>
  <si>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</si>
  <si>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</si>
  <si>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</si>
  <si>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</si>
  <si>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</si>
  <si>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</si>
  <si>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</si>
  <si>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</si>
  <si>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</si>
  <si>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</si>
  <si>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</si>
  <si>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</si>
  <si>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</si>
  <si>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</si>
  <si>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</si>
  <si>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</si>
  <si>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</si>
  <si>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</si>
  <si>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</si>
  <si>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</si>
  <si>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</si>
  <si>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</si>
  <si>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</si>
  <si>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</si>
  <si>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</si>
  <si>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</si>
  <si>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</si>
  <si>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</si>
  <si>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</si>
  <si>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</si>
  <si>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</si>
  <si>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</si>
  <si>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</si>
  <si>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</si>
  <si>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</si>
  <si>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</si>
  <si>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</si>
  <si>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</si>
  <si>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</si>
  <si>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</si>
  <si>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</si>
  <si>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</si>
  <si>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</si>
  <si>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</si>
  <si>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</si>
  <si>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</si>
  <si>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</si>
  <si>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</si>
  <si>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</si>
  <si>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</si>
  <si>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</si>
  <si>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</si>
  <si>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</si>
  <si>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</si>
  <si>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</si>
  <si>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</si>
  <si>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</si>
  <si>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</si>
  <si>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</si>
  <si>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</si>
  <si>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</si>
  <si>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</si>
  <si>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</si>
  <si>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</si>
  <si>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</si>
  <si>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</si>
  <si>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</si>
  <si>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</si>
  <si>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</si>
  <si>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</si>
  <si>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</si>
  <si>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</si>
  <si>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</si>
  <si>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</si>
  <si>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</si>
  <si>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</si>
  <si>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</si>
  <si>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</si>
  <si>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</si>
  <si>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</si>
  <si>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</si>
  <si>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</si>
  <si>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</si>
  <si>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</si>
  <si>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</si>
  <si>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</si>
  <si>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</si>
  <si>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</si>
  <si>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</si>
  <si>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</si>
  <si>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</si>
  <si>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</si>
  <si>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</si>
  <si>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</si>
  <si>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</si>
  <si>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</si>
  <si>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</si>
  <si>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</si>
  <si>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</si>
  <si>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</si>
  <si>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</si>
  <si>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</si>
  <si>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</si>
  <si>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</si>
  <si>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</si>
  <si>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</si>
  <si>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</si>
  <si>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</si>
  <si>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</si>
  <si>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</si>
  <si>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</si>
  <si>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</si>
  <si>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</si>
  <si>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</si>
  <si>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</si>
  <si>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</si>
  <si>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</si>
  <si>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</si>
  <si>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</si>
  <si>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</si>
  <si>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</si>
  <si>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</si>
  <si>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</si>
  <si>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</si>
  <si>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</si>
  <si>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</si>
  <si>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</si>
  <si>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</si>
  <si>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</si>
  <si>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</si>
  <si>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</si>
  <si>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</si>
  <si>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</si>
  <si>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</si>
  <si>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</si>
  <si>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</si>
  <si>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</si>
  <si>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</si>
  <si>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</si>
  <si>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</si>
  <si>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</si>
  <si>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</si>
  <si>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</si>
  <si>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</si>
  <si>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</si>
  <si>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</si>
  <si>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</si>
  <si>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</si>
  <si>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</si>
  <si>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</si>
  <si>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</si>
  <si>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</si>
  <si>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</si>
  <si>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</si>
  <si>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</si>
  <si>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</si>
  <si>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</si>
  <si>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</si>
  <si>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</si>
  <si>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</si>
  <si>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</si>
  <si>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</si>
  <si>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</si>
  <si>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</si>
  <si>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</si>
  <si>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</si>
  <si>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</si>
  <si>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</si>
  <si>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</si>
  <si>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</si>
  <si>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</si>
  <si>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</si>
  <si>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</si>
  <si>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</si>
  <si>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</si>
  <si>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</si>
  <si>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</si>
  <si>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</si>
  <si>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</si>
  <si>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</si>
  <si>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</si>
  <si>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</si>
  <si>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</si>
  <si>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</si>
  <si>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</si>
  <si>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</si>
  <si>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</si>
  <si>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</si>
  <si>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</si>
  <si>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</si>
  <si>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</si>
  <si>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</si>
  <si>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</si>
  <si>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</si>
  <si>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</si>
  <si>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</si>
  <si>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</si>
  <si>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</si>
  <si>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</si>
  <si>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</si>
  <si>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</si>
  <si>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</si>
  <si>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</si>
  <si>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</si>
  <si>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</si>
  <si>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</si>
  <si>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</si>
  <si>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</si>
  <si>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</si>
  <si>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</si>
  <si>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</si>
  <si>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</si>
  <si>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</si>
  <si>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</si>
  <si>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</si>
  <si>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</si>
  <si>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</si>
  <si>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</si>
  <si>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</si>
  <si>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</si>
  <si>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</si>
  <si>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</si>
  <si>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</si>
  <si>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</si>
  <si>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</si>
  <si>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</si>
  <si>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</si>
  <si>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</si>
  <si>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</si>
  <si>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</si>
  <si>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</si>
  <si>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</si>
  <si>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</si>
  <si>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</si>
  <si>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</si>
  <si>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</si>
  <si>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</si>
  <si>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</si>
  <si>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</si>
  <si>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</si>
  <si>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</si>
  <si>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</si>
  <si>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</si>
  <si>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</si>
  <si>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</si>
  <si>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</si>
  <si>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</si>
  <si>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</si>
  <si>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</si>
  <si>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</si>
  <si>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</si>
  <si>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</si>
  <si>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</si>
  <si>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</si>
  <si>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</si>
  <si>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</si>
  <si>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</si>
  <si>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</si>
  <si>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</si>
  <si>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</si>
  <si>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</si>
  <si>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</si>
  <si>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</si>
  <si>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</si>
  <si>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</si>
  <si>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</si>
  <si>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</si>
  <si>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</si>
  <si>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</si>
  <si>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</si>
  <si>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</si>
  <si>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</si>
  <si>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</si>
  <si>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</si>
  <si>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</si>
  <si>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</si>
  <si>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</si>
  <si>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</si>
  <si>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</si>
  <si>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</si>
  <si>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</si>
  <si>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</si>
  <si>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</si>
  <si>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</si>
  <si>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</si>
  <si>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</si>
  <si>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</si>
  <si>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</si>
  <si>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</si>
  <si>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</si>
  <si>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</si>
  <si>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</si>
  <si>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</si>
  <si>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</si>
  <si>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</si>
  <si>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</si>
  <si>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</si>
  <si>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</si>
  <si>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</si>
  <si>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</si>
  <si>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</si>
  <si>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</si>
  <si>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</si>
  <si>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</si>
  <si>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</si>
  <si>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</si>
  <si>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</si>
  <si>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</si>
  <si>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</si>
  <si>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</si>
  <si>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</si>
  <si>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</si>
  <si>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</si>
  <si>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</si>
  <si>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</si>
  <si>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</si>
  <si>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</si>
  <si>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</si>
  <si>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</si>
  <si>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</si>
  <si>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</si>
  <si>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</si>
  <si>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</si>
  <si>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</si>
  <si>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</si>
  <si>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</si>
  <si>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</si>
  <si>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</si>
  <si>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</si>
  <si>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</si>
  <si>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</si>
  <si>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</si>
  <si>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</si>
  <si>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</si>
  <si>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</si>
  <si>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</si>
  <si>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</si>
  <si>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</si>
  <si>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</si>
  <si>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</si>
  <si>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</si>
  <si>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</si>
  <si>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</si>
  <si>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</si>
  <si>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</si>
  <si>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</si>
  <si>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</si>
  <si>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</si>
  <si>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</si>
  <si>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</si>
  <si>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</si>
  <si>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</si>
  <si>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</si>
  <si>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</si>
  <si>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</si>
  <si>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</si>
  <si>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</si>
  <si>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</si>
  <si>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</si>
  <si>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</si>
  <si>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</si>
  <si>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</si>
  <si>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</si>
  <si>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</si>
  <si>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</si>
  <si>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</si>
  <si>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</si>
  <si>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</si>
  <si>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</si>
  <si>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</si>
  <si>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</si>
  <si>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</si>
  <si>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</si>
  <si>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</si>
  <si>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</si>
  <si>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</si>
  <si>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</si>
  <si>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</si>
  <si>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</si>
  <si>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</si>
  <si>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</si>
  <si>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</si>
  <si>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</si>
  <si>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</si>
  <si>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</si>
  <si>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</si>
  <si>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</si>
  <si>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</si>
  <si>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</si>
  <si>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</si>
  <si>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</si>
  <si>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</si>
  <si>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</si>
  <si>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</si>
  <si>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</si>
  <si>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</si>
  <si>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</si>
  <si>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</si>
  <si>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</si>
  <si>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</si>
  <si>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</si>
  <si>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</si>
  <si>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</si>
  <si>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</si>
  <si>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</si>
  <si>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</si>
  <si>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</si>
  <si>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</si>
  <si>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</si>
  <si>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</si>
  <si>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</si>
  <si>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</si>
  <si>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</si>
  <si>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</si>
  <si>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</si>
  <si>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</si>
  <si>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</si>
  <si>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</si>
  <si>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</si>
  <si>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</si>
  <si>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</si>
  <si>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</si>
  <si>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</si>
  <si>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</si>
  <si>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</si>
  <si>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</si>
  <si>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</si>
  <si>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</si>
  <si>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</si>
  <si>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</si>
  <si>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</si>
  <si>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</si>
  <si>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</si>
  <si>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</si>
  <si>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</si>
  <si>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</si>
  <si>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</si>
  <si>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</si>
  <si>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</si>
  <si>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</si>
  <si>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</si>
  <si>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</si>
  <si>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</si>
  <si>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</si>
  <si>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</si>
  <si>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</si>
  <si>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</si>
  <si>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</si>
  <si>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</si>
  <si>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</si>
  <si>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</si>
  <si>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</si>
  <si>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</si>
  <si>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</si>
  <si>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</si>
  <si>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</si>
  <si>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</si>
  <si>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</si>
  <si>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</si>
  <si>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</si>
  <si>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</si>
  <si>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</si>
  <si>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</si>
  <si>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</si>
  <si>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</si>
  <si>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</si>
  <si>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</si>
  <si>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</si>
  <si>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</si>
  <si>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</si>
  <si>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</si>
  <si>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</si>
  <si>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</si>
  <si>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</si>
  <si>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</si>
  <si>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</si>
  <si>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</si>
  <si>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</si>
  <si>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</si>
  <si>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</si>
  <si>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</si>
  <si>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</si>
  <si>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</si>
  <si>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</si>
  <si>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</si>
  <si>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</si>
  <si>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</si>
  <si>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</si>
  <si>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</si>
  <si>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</si>
  <si>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</si>
  <si>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</si>
  <si>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</si>
  <si>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</si>
  <si>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</si>
  <si>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</si>
  <si>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</si>
  <si>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</si>
  <si>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</si>
  <si>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</si>
  <si>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</si>
  <si>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</si>
  <si>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</si>
  <si>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</si>
  <si>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</si>
  <si>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</si>
  <si>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</si>
  <si>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</si>
  <si>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</si>
  <si>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</si>
  <si>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</si>
  <si>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</si>
  <si>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</si>
  <si>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</si>
  <si>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</si>
  <si>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</si>
  <si>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</si>
  <si>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</si>
  <si>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</si>
  <si>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</si>
  <si>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</si>
  <si>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</si>
  <si>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</si>
  <si>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</si>
  <si>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</si>
  <si>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</si>
  <si>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</si>
  <si>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</si>
  <si>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</si>
  <si>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</si>
  <si>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</si>
  <si>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</si>
  <si>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</si>
  <si>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</si>
  <si>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</si>
  <si>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</si>
  <si>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</si>
  <si>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</si>
  <si>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</si>
  <si>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</si>
  <si>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</si>
  <si>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</si>
  <si>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</si>
  <si>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</si>
  <si>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</si>
  <si>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</si>
  <si>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</si>
  <si>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</si>
  <si>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</si>
  <si>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</si>
  <si>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</si>
  <si>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</si>
  <si>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</si>
  <si>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</si>
  <si>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</si>
  <si>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</si>
  <si>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</si>
  <si>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</si>
  <si>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</si>
  <si>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</si>
  <si>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</si>
  <si>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</si>
  <si>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</si>
  <si>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</si>
  <si>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</si>
  <si>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</si>
  <si>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</si>
  <si>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</si>
  <si>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</si>
  <si>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</si>
  <si>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</si>
  <si>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</si>
  <si>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</si>
  <si>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</si>
  <si>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</si>
  <si>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</si>
  <si>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</si>
  <si>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</si>
  <si>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</si>
  <si>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</si>
  <si>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</si>
  <si>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</si>
  <si>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</si>
  <si>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</si>
  <si>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</si>
  <si>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</si>
  <si>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</si>
  <si>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</si>
  <si>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</si>
  <si>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</si>
  <si>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</si>
  <si>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</si>
  <si>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</si>
  <si>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</si>
  <si>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</si>
  <si>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</si>
  <si>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</si>
  <si>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</si>
  <si>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</si>
  <si>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</si>
  <si>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</si>
  <si>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</si>
  <si>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</si>
  <si>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</si>
  <si>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</si>
  <si>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</si>
  <si>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</si>
  <si>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</si>
  <si>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</si>
  <si>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</si>
  <si>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</si>
  <si>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</si>
  <si>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</si>
  <si>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</si>
  <si>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</si>
  <si>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</si>
  <si>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</si>
  <si>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</si>
  <si>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</si>
  <si>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</si>
  <si>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</si>
  <si>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</si>
  <si>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</si>
  <si>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</si>
  <si>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</si>
  <si>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</si>
  <si>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</si>
  <si>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</si>
  <si>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</si>
  <si>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</si>
  <si>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</si>
  <si>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</si>
  <si>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</si>
  <si>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</si>
  <si>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</si>
  <si>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</si>
  <si>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</si>
  <si>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</si>
  <si>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</si>
  <si>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</si>
  <si>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</si>
  <si>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</si>
  <si>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</si>
  <si>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</si>
  <si>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</si>
  <si>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</si>
  <si>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</si>
  <si>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</si>
  <si>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</si>
  <si>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</si>
  <si>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</si>
  <si>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</si>
  <si>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</si>
  <si>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</si>
  <si>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</si>
  <si>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</si>
  <si>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</si>
  <si>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</si>
  <si>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</si>
  <si>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</si>
  <si>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</si>
  <si>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</si>
  <si>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</si>
  <si>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</si>
  <si>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</si>
  <si>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</si>
  <si>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</si>
  <si>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</si>
  <si>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</si>
  <si>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</si>
  <si>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</si>
  <si>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</si>
  <si>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</si>
  <si>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</si>
  <si>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</si>
  <si>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</si>
  <si>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</si>
  <si>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</si>
  <si>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</si>
  <si>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</si>
  <si>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</si>
  <si>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</si>
  <si>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</si>
  <si>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</si>
  <si>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</si>
  <si>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</si>
  <si>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</si>
  <si>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</si>
  <si>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</si>
  <si>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</si>
  <si>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</si>
  <si>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</si>
  <si>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</si>
  <si>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</si>
  <si>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</si>
  <si>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</si>
  <si>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</si>
  <si>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</si>
  <si>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</si>
  <si>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</si>
  <si>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</si>
  <si>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</si>
  <si>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</si>
  <si>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</si>
  <si>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</si>
  <si>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</si>
  <si>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</si>
  <si>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</si>
  <si>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</si>
  <si>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</si>
  <si>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</si>
  <si>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</si>
  <si>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</si>
  <si>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</si>
  <si>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</si>
  <si>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</si>
  <si>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</si>
  <si>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</si>
  <si>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</si>
  <si>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</si>
  <si>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</si>
  <si>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</si>
  <si>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</si>
  <si>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</si>
  <si>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</si>
  <si>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</si>
  <si>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</si>
  <si>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</si>
  <si>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</si>
  <si>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</si>
  <si>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</si>
  <si>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</si>
  <si>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</si>
  <si>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</si>
  <si>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</si>
  <si>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</si>
  <si>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</si>
  <si>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</si>
  <si>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</si>
  <si>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</si>
  <si>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</si>
  <si>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</si>
  <si>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</si>
  <si>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</si>
  <si>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</si>
  <si>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</si>
  <si>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</si>
  <si>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</si>
  <si>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</si>
  <si>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</si>
  <si>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</si>
  <si>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</si>
  <si>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</si>
  <si>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</si>
  <si>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</si>
  <si>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</si>
  <si>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</si>
  <si>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</si>
  <si>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</si>
  <si>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</si>
  <si>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</si>
  <si>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</si>
  <si>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</si>
  <si>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</si>
  <si>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</si>
  <si>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</si>
  <si>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</si>
  <si>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</si>
  <si>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</si>
  <si>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</si>
  <si>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</si>
  <si>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</si>
  <si>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</si>
  <si>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</si>
  <si>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</si>
  <si>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</si>
  <si>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</si>
  <si>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</si>
  <si>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</si>
  <si>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</si>
  <si>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</si>
  <si>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</si>
  <si>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</si>
  <si>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</si>
  <si>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</si>
  <si>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</si>
  <si>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</si>
  <si>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</si>
  <si>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</si>
  <si>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</si>
  <si>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</si>
  <si>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</si>
  <si>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</si>
  <si>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</si>
  <si>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</si>
  <si>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</si>
  <si>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</si>
  <si>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</si>
  <si>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</si>
  <si>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</si>
  <si>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</si>
  <si>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</si>
  <si>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</si>
  <si>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</si>
  <si>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</si>
  <si>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</si>
  <si>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</si>
  <si>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</si>
  <si>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</si>
  <si>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</si>
  <si>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</si>
  <si>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</si>
  <si>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</si>
  <si>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</si>
  <si>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</si>
  <si>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</si>
  <si>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</si>
  <si>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</si>
  <si>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</si>
  <si>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</si>
  <si>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</si>
  <si>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</si>
  <si>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</si>
  <si>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</si>
  <si>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</si>
  <si>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</si>
  <si>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</si>
  <si>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</si>
  <si>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</si>
  <si>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</si>
  <si>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</si>
  <si>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</si>
  <si>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</si>
  <si>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</si>
  <si>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</si>
  <si>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</si>
  <si>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</si>
  <si>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</si>
  <si>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</si>
  <si>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</si>
  <si>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</si>
  <si>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</si>
  <si>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</si>
  <si>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</si>
  <si>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</si>
  <si>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</si>
  <si>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</si>
  <si>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</si>
  <si>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</si>
  <si>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</si>
  <si>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</si>
  <si>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</si>
  <si>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</si>
  <si>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</si>
  <si>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</si>
  <si>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</si>
  <si>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测绘报告</t>
    <phoneticPr fontId="143" type="noConversion"/>
  </si>
  <si>
    <r>
      <t>1</t>
    </r>
    <r>
      <rPr>
        <sz val="11"/>
        <color theme="1"/>
        <rFont val="宋体"/>
        <family val="3"/>
        <charset val="134"/>
        <scheme val="minor"/>
      </rPr>
      <t>#办公楼</t>
    </r>
    <phoneticPr fontId="143" type="noConversion"/>
  </si>
  <si>
    <t>用途</t>
    <phoneticPr fontId="143" type="noConversion"/>
  </si>
  <si>
    <t>住宅</t>
  </si>
  <si>
    <t>住宅</t>
    <phoneticPr fontId="143" type="noConversion"/>
  </si>
  <si>
    <t>商业</t>
    <phoneticPr fontId="143" type="noConversion"/>
  </si>
  <si>
    <t>办公</t>
    <phoneticPr fontId="143" type="noConversion"/>
  </si>
  <si>
    <t>地下车库</t>
    <phoneticPr fontId="143" type="noConversion"/>
  </si>
  <si>
    <t>人防</t>
    <phoneticPr fontId="143" type="noConversion"/>
  </si>
  <si>
    <t>总层数</t>
    <phoneticPr fontId="143" type="noConversion"/>
  </si>
  <si>
    <t>小计</t>
    <phoneticPr fontId="143" type="noConversion"/>
  </si>
  <si>
    <t>2#办公楼</t>
    <phoneticPr fontId="143" type="noConversion"/>
  </si>
  <si>
    <t>3#楼人才公共租赁住房</t>
    <phoneticPr fontId="143" type="noConversion"/>
  </si>
  <si>
    <t>5#办公楼</t>
    <phoneticPr fontId="143" type="noConversion"/>
  </si>
  <si>
    <t>7#办公楼</t>
    <phoneticPr fontId="143" type="noConversion"/>
  </si>
  <si>
    <r>
      <t>0</t>
    </r>
    <r>
      <rPr>
        <sz val="11"/>
        <color theme="1"/>
        <rFont val="宋体"/>
        <family val="3"/>
        <charset val="134"/>
        <scheme val="minor"/>
      </rPr>
      <t>22地块</t>
    </r>
    <r>
      <rPr>
        <sz val="11"/>
        <color theme="1"/>
        <rFont val="宋体"/>
        <family val="3"/>
        <charset val="134"/>
        <scheme val="minor"/>
      </rPr>
      <t>地下室</t>
    </r>
    <phoneticPr fontId="143" type="noConversion"/>
  </si>
  <si>
    <t>自行车库</t>
    <phoneticPr fontId="143" type="noConversion"/>
  </si>
  <si>
    <t>地上商业</t>
    <phoneticPr fontId="143" type="noConversion"/>
  </si>
  <si>
    <t>地下商业</t>
    <phoneticPr fontId="143" type="noConversion"/>
  </si>
  <si>
    <t>地上设备</t>
    <phoneticPr fontId="143" type="noConversion"/>
  </si>
  <si>
    <t>地下设备</t>
    <phoneticPr fontId="143" type="noConversion"/>
  </si>
  <si>
    <r>
      <t>B</t>
    </r>
    <r>
      <rPr>
        <sz val="11"/>
        <color theme="1"/>
        <rFont val="宋体"/>
        <family val="3"/>
        <charset val="134"/>
        <scheme val="minor"/>
      </rPr>
      <t>4-1</t>
    </r>
    <phoneticPr fontId="143" type="noConversion"/>
  </si>
  <si>
    <r>
      <t>039地块</t>
    </r>
    <r>
      <rPr>
        <sz val="11"/>
        <color theme="1"/>
        <rFont val="宋体"/>
        <family val="3"/>
        <charset val="134"/>
        <scheme val="minor"/>
      </rPr>
      <t>地下室</t>
    </r>
    <phoneticPr fontId="143" type="noConversion"/>
  </si>
  <si>
    <r>
      <t>B</t>
    </r>
    <r>
      <rPr>
        <sz val="11"/>
        <color theme="1"/>
        <rFont val="宋体"/>
        <family val="3"/>
        <charset val="134"/>
        <scheme val="minor"/>
      </rPr>
      <t>5-1</t>
    </r>
    <phoneticPr fontId="143" type="noConversion"/>
  </si>
  <si>
    <r>
      <t>B</t>
    </r>
    <r>
      <rPr>
        <sz val="11"/>
        <color theme="1"/>
        <rFont val="宋体"/>
        <family val="3"/>
        <charset val="134"/>
        <scheme val="minor"/>
      </rPr>
      <t>4</t>
    </r>
    <phoneticPr fontId="143" type="noConversion"/>
  </si>
  <si>
    <r>
      <t>040地块</t>
    </r>
    <r>
      <rPr>
        <sz val="11"/>
        <color theme="1"/>
        <rFont val="宋体"/>
        <family val="3"/>
        <charset val="134"/>
        <scheme val="minor"/>
      </rPr>
      <t>地下室</t>
    </r>
    <phoneticPr fontId="143" type="noConversion"/>
  </si>
  <si>
    <t>物业用房</t>
    <phoneticPr fontId="143" type="noConversion"/>
  </si>
  <si>
    <t>4#住宅楼</t>
    <phoneticPr fontId="143" type="noConversion"/>
  </si>
  <si>
    <t>6#住宅楼</t>
    <phoneticPr fontId="143" type="noConversion"/>
  </si>
  <si>
    <t>8#住宅楼</t>
    <phoneticPr fontId="143" type="noConversion"/>
  </si>
  <si>
    <t>合计</t>
    <phoneticPr fontId="143" type="noConversion"/>
  </si>
  <si>
    <t>已售住宅面积</t>
    <phoneticPr fontId="143" type="noConversion"/>
  </si>
  <si>
    <r>
      <t>0</t>
    </r>
    <r>
      <rPr>
        <sz val="11"/>
        <color theme="1"/>
        <rFont val="宋体"/>
        <family val="3"/>
        <charset val="134"/>
        <scheme val="minor"/>
      </rPr>
      <t>40地块</t>
    </r>
    <phoneticPr fontId="143" type="noConversion"/>
  </si>
  <si>
    <t>039地块</t>
    <phoneticPr fontId="143" type="noConversion"/>
  </si>
  <si>
    <t>022地块</t>
    <phoneticPr fontId="143" type="noConversion"/>
  </si>
  <si>
    <t>土地面积</t>
    <phoneticPr fontId="143" type="noConversion"/>
  </si>
  <si>
    <t>吴薇</t>
  </si>
  <si>
    <t>郑燚</t>
  </si>
  <si>
    <t>北京东方蓝海置业有限责任公司</t>
    <phoneticPr fontId="6" type="noConversion"/>
  </si>
  <si>
    <t>核定资产</t>
  </si>
  <si>
    <t>北京市</t>
  </si>
  <si>
    <r>
      <rPr>
        <sz val="12"/>
        <color theme="9" tint="-0.249977111117893"/>
        <rFont val="宋体"/>
        <family val="3"/>
        <charset val="134"/>
      </rPr>
      <t>昌平区北七家镇（未来科技城南区）</t>
    </r>
    <r>
      <rPr>
        <sz val="12"/>
        <color theme="9" tint="-0.249977111117893"/>
        <rFont val="Arial"/>
        <family val="2"/>
      </rPr>
      <t>CP07-0600-0022</t>
    </r>
    <r>
      <rPr>
        <sz val="12"/>
        <color theme="9" tint="-0.249977111117893"/>
        <rFont val="宋体"/>
        <family val="3"/>
        <charset val="134"/>
      </rPr>
      <t>、</t>
    </r>
    <r>
      <rPr>
        <sz val="12"/>
        <color theme="9" tint="-0.249977111117893"/>
        <rFont val="Arial"/>
        <family val="2"/>
      </rPr>
      <t>0039</t>
    </r>
    <r>
      <rPr>
        <sz val="12"/>
        <color theme="9" tint="-0.249977111117893"/>
        <rFont val="宋体"/>
        <family val="3"/>
        <charset val="134"/>
      </rPr>
      <t>、</t>
    </r>
    <r>
      <rPr>
        <sz val="12"/>
        <color theme="9" tint="-0.249977111117893"/>
        <rFont val="Arial"/>
        <family val="2"/>
      </rPr>
      <t>0040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公建混合住宅用地（配建人才公共租赁住房）项目</t>
    </r>
    <phoneticPr fontId="6" type="noConversion"/>
  </si>
  <si>
    <t>企业</t>
  </si>
  <si>
    <t>出让</t>
  </si>
  <si>
    <t>通路</t>
  </si>
  <si>
    <t>通电</t>
  </si>
  <si>
    <t>通讯</t>
  </si>
  <si>
    <t>通上水</t>
  </si>
  <si>
    <t>通热</t>
  </si>
  <si>
    <t>通下水</t>
  </si>
  <si>
    <t>燃气</t>
  </si>
  <si>
    <t>在建</t>
  </si>
  <si>
    <t>是</t>
  </si>
  <si>
    <t>地上</t>
  </si>
  <si>
    <t>小高层</t>
  </si>
  <si>
    <t>小高层</t>
    <phoneticPr fontId="16" type="noConversion"/>
  </si>
  <si>
    <t>公租房</t>
  </si>
  <si>
    <t>公租房</t>
    <phoneticPr fontId="16" type="noConversion"/>
  </si>
  <si>
    <t>办公楼</t>
  </si>
  <si>
    <t>底商</t>
  </si>
  <si>
    <t>地下</t>
  </si>
  <si>
    <t>车库</t>
  </si>
  <si>
    <t>小高层</t>
    <phoneticPr fontId="7" type="noConversion"/>
  </si>
  <si>
    <t>公租房</t>
    <phoneticPr fontId="7" type="noConversion"/>
  </si>
  <si>
    <t>商业</t>
    <phoneticPr fontId="7" type="noConversion"/>
  </si>
  <si>
    <t>地下车库</t>
    <phoneticPr fontId="7" type="noConversion"/>
  </si>
  <si>
    <t>出让合同：</t>
    <phoneticPr fontId="143" type="noConversion"/>
  </si>
  <si>
    <t>住宅、综合、商业</t>
    <phoneticPr fontId="143" type="noConversion"/>
  </si>
  <si>
    <t>容积率</t>
    <phoneticPr fontId="143" type="noConversion"/>
  </si>
  <si>
    <t>3.2-4</t>
    <phoneticPr fontId="143" type="noConversion"/>
  </si>
  <si>
    <t>建筑面积</t>
    <phoneticPr fontId="143" type="noConversion"/>
  </si>
  <si>
    <t>签订日期</t>
    <phoneticPr fontId="143" type="noConversion"/>
  </si>
  <si>
    <t>地价款</t>
    <phoneticPr fontId="143" type="noConversion"/>
  </si>
  <si>
    <r>
      <t>公建部分要求自持5</t>
    </r>
    <r>
      <rPr>
        <sz val="11"/>
        <color theme="1"/>
        <rFont val="宋体"/>
        <family val="3"/>
        <charset val="134"/>
        <scheme val="minor"/>
      </rPr>
      <t>0%，自持20年</t>
    </r>
    <phoneticPr fontId="143" type="noConversion"/>
  </si>
  <si>
    <r>
      <t>公共租赁住房7</t>
    </r>
    <r>
      <rPr>
        <sz val="11"/>
        <color theme="1"/>
        <rFont val="宋体"/>
        <family val="3"/>
        <charset val="134"/>
        <scheme val="minor"/>
      </rPr>
      <t>600平方米，回购价5000/平方米</t>
    </r>
    <phoneticPr fontId="143" type="noConversion"/>
  </si>
  <si>
    <t>出让合同约定面积：</t>
    <phoneticPr fontId="143" type="noConversion"/>
  </si>
  <si>
    <t>超出面积</t>
    <phoneticPr fontId="143" type="noConversion"/>
  </si>
  <si>
    <t>补缴总额</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</si>
  <si>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</si>
  <si>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</si>
  <si>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</si>
  <si>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</si>
  <si>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</si>
  <si>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</si>
  <si>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</si>
  <si>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</si>
  <si>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</si>
  <si>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</si>
  <si>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</si>
  <si>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</si>
  <si>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</si>
  <si>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</si>
  <si>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</si>
  <si>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</si>
  <si>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</si>
  <si>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</si>
  <si>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</si>
  <si>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</si>
  <si>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</si>
  <si>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</si>
  <si>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</si>
  <si>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</si>
  <si>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</si>
  <si>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</si>
  <si>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</si>
  <si>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</si>
  <si>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</si>
  <si>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</si>
  <si>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</si>
  <si>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</si>
  <si>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</si>
  <si>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</si>
  <si>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</si>
  <si>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</si>
  <si>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</si>
  <si>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</si>
  <si>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</si>
  <si>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</si>
  <si>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</si>
  <si>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</si>
  <si>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</si>
  <si>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</si>
  <si>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</si>
  <si>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北京市昌平区沙河镇七里渠南北村土地一级开发项目CP00-1600-0015等地块R2二类居住用地、B4综合性商业金融服务业用地</t>
  </si>
  <si>
    <t>综合用地(含住宅)</t>
  </si>
  <si>
    <t>昌平区</t>
  </si>
  <si>
    <t>昌平区沙河镇七里渠南北村</t>
  </si>
  <si>
    <t>挂牌</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</si>
  <si>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</si>
  <si>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</si>
  <si>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</si>
  <si>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</si>
  <si>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</si>
  <si>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</si>
  <si>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</si>
  <si>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</si>
  <si>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2018-12-17</t>
  </si>
  <si>
    <t>2018-12-29</t>
  </si>
  <si>
    <t>已成交</t>
  </si>
  <si>
    <t>北京建工地产有限责任公司、北京首都开发股份有限公司和北京润置商业运营管理有限公司联合体</t>
  </si>
  <si>
    <t>居住70年、商业40年、办公50年</t>
  </si>
  <si>
    <t>3星</t>
  </si>
  <si>
    <t>北京市昌平区沙河镇七里渠南北村土地一级开发项目QLQ-004地块B4综合性商业金融服务业用地</t>
  </si>
  <si>
    <t>商业/办公用地</t>
  </si>
  <si>
    <t>京土整储挂(昌)[2018]040号</t>
  </si>
  <si>
    <t>B4综合性商业金融服务业用地</t>
  </si>
  <si>
    <t>≤50%</t>
  </si>
  <si>
    <t>≤45</t>
  </si>
  <si>
    <t>含租赁用地</t>
  </si>
  <si>
    <t>2018-10-23</t>
  </si>
  <si>
    <t>2018-11-12</t>
  </si>
  <si>
    <t>时代好未来教育科技(北京)有限公司</t>
  </si>
  <si>
    <t>商业40年、办公50年</t>
  </si>
  <si>
    <t>2星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</si>
  <si>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</si>
  <si>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</si>
  <si>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</si>
  <si>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</si>
  <si>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2018-10-22</t>
  </si>
  <si>
    <t>北京未来科学城置业有限公司、北京城建投资发展股份有限公司和天津北方裕茂企业管理有限公司联合体</t>
  </si>
  <si>
    <t>4星</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</si>
  <si>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</si>
  <si>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</si>
  <si>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</si>
  <si>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</si>
  <si>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</si>
  <si>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</si>
  <si>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</si>
  <si>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</si>
  <si>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</si>
  <si>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</si>
  <si>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</si>
  <si>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</si>
  <si>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</si>
  <si>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</si>
  <si>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</si>
  <si>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</si>
  <si>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</si>
  <si>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</si>
  <si>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</si>
  <si>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</si>
  <si>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</si>
  <si>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</si>
  <si>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</si>
  <si>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</si>
  <si>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</si>
  <si>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</si>
  <si>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</si>
  <si>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</si>
  <si>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</si>
  <si>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</si>
  <si>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</si>
  <si>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</si>
  <si>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</si>
  <si>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</si>
  <si>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</si>
  <si>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</si>
  <si>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</si>
  <si>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</si>
  <si>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</si>
  <si>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</si>
  <si>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</si>
  <si>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限地价,限房价,竞自持,90/70</t>
  </si>
  <si>
    <t>已完工</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</si>
  <si>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</si>
  <si>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</si>
  <si>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</si>
  <si>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</si>
  <si>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</si>
  <si>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</si>
  <si>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</si>
  <si>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</si>
  <si>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</si>
  <si>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</si>
  <si>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</si>
  <si>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</si>
  <si>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</si>
  <si>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</si>
  <si>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</si>
  <si>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</si>
  <si>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</si>
  <si>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</si>
  <si>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</si>
  <si>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</si>
  <si>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</si>
  <si>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</si>
  <si>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</si>
  <si>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</si>
  <si>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</si>
  <si>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</si>
  <si>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</si>
  <si>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</si>
  <si>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</si>
  <si>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</si>
  <si>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</si>
  <si>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</si>
  <si>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</si>
  <si>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</si>
  <si>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</si>
  <si>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</si>
  <si>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</si>
  <si>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</si>
  <si>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</si>
  <si>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</si>
  <si>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</si>
  <si>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</si>
  <si>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</si>
  <si>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</si>
  <si>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</si>
  <si>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</si>
  <si>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</si>
  <si>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</si>
  <si>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</si>
  <si>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</si>
  <si>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</si>
  <si>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</si>
  <si>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</si>
  <si>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</si>
  <si>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</si>
  <si>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2015-11-11</t>
  </si>
  <si>
    <t>2015-12-01</t>
  </si>
  <si>
    <t>2015-12-15</t>
  </si>
  <si>
    <t>北京泰达和信投资管理有限公司</t>
  </si>
  <si>
    <t>昌平区小汤山镇(未来科技城北区)CP05-0801-0011、0013、0015、0017地块</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</si>
  <si>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</si>
  <si>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</si>
  <si>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</si>
  <si>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</si>
  <si>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</si>
  <si>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</si>
  <si>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</si>
  <si>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</si>
  <si>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</si>
  <si>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</si>
  <si>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</si>
  <si>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</si>
  <si>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</si>
  <si>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</si>
  <si>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</si>
  <si>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</si>
  <si>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</si>
  <si>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</si>
  <si>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</si>
  <si>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</si>
  <si>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</si>
  <si>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昌平区北七家镇(未来科技城南区)CP07-0600-0005、0026地块</t>
  </si>
  <si>
    <t>京土整储挂(昌)[2015]060号</t>
  </si>
  <si>
    <t>北京世博宏业房地产开发有限公司、北京和筑房地产开发有限公司和北京未来科技城昌远置业有限公司联合体</t>
  </si>
  <si>
    <t>昌平区南邵镇(中关村科技园区昌平园东区二期)0303-07地块</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</si>
  <si>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</si>
  <si>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</si>
  <si>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</si>
  <si>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</si>
  <si>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</si>
  <si>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</si>
  <si>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</si>
  <si>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</si>
  <si>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昌平区北七家镇(未来科技城南区)CP07-0600-0022、0039、0040地块</t>
  </si>
  <si>
    <t>昌平区北七家镇,未来科技城南区内</t>
  </si>
  <si>
    <t>京土整储挂(昌)[2015]010号</t>
  </si>
  <si>
    <t>2015-01-13</t>
  </si>
  <si>
    <t>2015-02-02</t>
  </si>
  <si>
    <t>2015-02-15</t>
  </si>
  <si>
    <t>北京东方蓝海置业有限责任公司</t>
  </si>
  <si>
    <t>住宅70年、商业40年、综合50年</t>
  </si>
  <si>
    <t>昌平区北七家镇(未来科技城南区)CP07-0600-0049、0062地块</t>
  </si>
  <si>
    <t>京土整储挂(昌)[2015]009号</t>
  </si>
  <si>
    <t>现场竞报自住型商品住房面积27000平方米,销售限价为19000元/平方米</t>
  </si>
  <si>
    <t>北京未来科技城置业有限公司和金融街长安(北京)置业有限公司联合体</t>
  </si>
  <si>
    <t>昌平区北七家镇(中心起步区(海鶄落新村建设)项目一期)HQL-02、04、07、08、12、13、14、16、17、18地块</t>
  </si>
  <si>
    <t>招标</t>
  </si>
  <si>
    <t>京土整储招(昌)[2015]002号</t>
  </si>
  <si>
    <t>F1住宅混合公建用地、R2二类居住用地、A33基础教育用地、U17邮政设施用地、F81绿隔产业用地</t>
  </si>
  <si>
    <t>2015-01-07</t>
  </si>
  <si>
    <t>2015-01-30</t>
  </si>
  <si>
    <t>绿地控股集团有限公司</t>
  </si>
  <si>
    <t>居住70年、商业40年、50年</t>
  </si>
  <si>
    <t>昌平区北七家镇(未来科技城南区)CP07-0600-0014、0030地块F2公建混合住宅用地项目</t>
  </si>
  <si>
    <t>京土整储挂(昌)[2014]078号</t>
  </si>
  <si>
    <t>2014-10-22</t>
  </si>
  <si>
    <t>2014-11-13</t>
  </si>
  <si>
    <t>2014-11-26</t>
  </si>
  <si>
    <t>5星</t>
  </si>
  <si>
    <t>昌平区南邵镇(中关村科技园区昌平园东区二期)0303-16地块C3文化娱乐用地</t>
  </si>
  <si>
    <t>京土整储挂(昌)[2014]039号</t>
  </si>
  <si>
    <t>C3文化娱乐用地</t>
  </si>
  <si>
    <t>2014-06-13</t>
  </si>
  <si>
    <t>2014-07-03</t>
  </si>
  <si>
    <t>2014-07-17</t>
  </si>
  <si>
    <t>北京世纪华盛科技发展有限公司</t>
  </si>
  <si>
    <t>商业40年、综合50年</t>
  </si>
  <si>
    <t>昌平区沙河镇北沙河北侧(丽春湖土地一级开发项目)LCH-008地块R2二类居住用地</t>
  </si>
  <si>
    <t>昌平区沙河镇北沙河北侧</t>
  </si>
  <si>
    <t>京土整储挂(昌)[2014]035号</t>
  </si>
  <si>
    <t>2014-06-10</t>
  </si>
  <si>
    <t>2014-06-30</t>
  </si>
  <si>
    <t>2014-07-14</t>
  </si>
  <si>
    <t>北京瑞坤置业有限责任公司</t>
  </si>
  <si>
    <t>昌平区北七家镇R2二类居住、C2商业金融、U21公共交通、R54中小学合校、R53托幼等用地</t>
  </si>
  <si>
    <t>京土整储招(昌)[2014]007号</t>
  </si>
  <si>
    <t>R2二类居住、C2商业金融、R54中小学合校、U21公共交通、R53托幼、C51医院、C9其他公共设施、C1行政办公用地</t>
  </si>
  <si>
    <t>宗地居住用途建筑规模全部用于建设“自住型商品住房”,销售限价为19000元/平方米。</t>
  </si>
  <si>
    <t>2014-02-13</t>
  </si>
  <si>
    <t>2014-03-07</t>
  </si>
  <si>
    <t>2014-03-10</t>
  </si>
  <si>
    <t>北京龙冠房产开发有限责任公司</t>
  </si>
  <si>
    <t>居住70年、商业40年、综合50年</t>
  </si>
  <si>
    <t>昌平区沙河镇七里渠南北村QLQ-007公建混合住宅用地、QLQ-009、QLQ-037住宅混合公建用地</t>
  </si>
  <si>
    <t>京土整储招(昌)[2013]148号</t>
  </si>
  <si>
    <t>F2公建混合住宅、F1住宅混合公建</t>
  </si>
  <si>
    <t>居住部分建筑规模需全部建设“自住型商品住房”,销售限价为21000元/平方米。</t>
  </si>
  <si>
    <t>2013-12-19</t>
  </si>
  <si>
    <t>2014-01-13</t>
  </si>
  <si>
    <t>北京万科企业有限公司和北京祥业房地产有限公司联合体</t>
  </si>
  <si>
    <t>昌平区北七家镇(未来科技城南区)CP07-0600-0047、0048、0060、0061地块F2公建混合住宅用地项目(配建“人才公共租赁住房”)</t>
  </si>
  <si>
    <t>昌平区北七家镇,未来科技城南区</t>
  </si>
  <si>
    <t>京土整储招(昌)[2013]149号</t>
  </si>
  <si>
    <t>剩余居住用途全部建设“自住型商品住房”,销售限价为19000元/平方米。</t>
  </si>
  <si>
    <t>绿地控股集团有限公司和远洋地产有限公司联合体</t>
  </si>
  <si>
    <t>昌平区北七家镇(未来科技城南区)CP07-0600-0008、0011、0016、0017、0018、0020、0021地块F3其它类多功能用地</t>
  </si>
  <si>
    <t>昌平区北七家镇、未来科技城南区内</t>
  </si>
  <si>
    <t>京土整储招(昌)[2013]150号</t>
  </si>
  <si>
    <t>F3其它类多功能用地</t>
  </si>
  <si>
    <t>北京未来科技城开发建设有限公司和北京未来科技城置业有限公司联合体</t>
  </si>
  <si>
    <t>昌平区沙河镇C-X06、C-X07、C-X10地块二类居住、公建混合住宅、托幼用地项目(配建“人才公共租赁住房”)</t>
  </si>
  <si>
    <t>京土整储挂(昌)[2013]119号</t>
  </si>
  <si>
    <t>R2二类居住用地、R53托幼用地、F2公建混合住宅用地</t>
  </si>
  <si>
    <t>2013-10-25</t>
  </si>
  <si>
    <t>2013-11-14</t>
  </si>
  <si>
    <t>2013-11-28</t>
  </si>
  <si>
    <t>北京龙湖兴顺置业有限公司</t>
  </si>
  <si>
    <t>昌平区东小口镇G06-2、G06-4、G09-1地块C2商业金融用地、R22居住小区级配套公建项目用地</t>
  </si>
  <si>
    <t>昌平区东小口镇</t>
  </si>
  <si>
    <t>京土整储挂(昌)[2013]114号</t>
  </si>
  <si>
    <t>C2商业金融用地、R22居住小区级配套公建</t>
  </si>
  <si>
    <t>2013-10-18</t>
  </si>
  <si>
    <t>2013-11-07</t>
  </si>
  <si>
    <t>2013-11-21</t>
  </si>
  <si>
    <t>北京首都开发股份有限公司</t>
  </si>
  <si>
    <t>商业40年综合50年</t>
  </si>
  <si>
    <t>昌平区北七家镇(平西府组团土地一级开发项目(北区)地块)二类居住、商业金融、托幼用地项目(配建限价商品住房)</t>
  </si>
  <si>
    <t>昌平区北七家镇,七北路北侧,平西府西路东侧</t>
  </si>
  <si>
    <t>京土整储挂(昌)[2013]088号</t>
  </si>
  <si>
    <t>R2二类居住用地、C2商业金融用地、R53托幼用地</t>
  </si>
  <si>
    <t>现场竞报自住型商品房面积64000平方米,销售限价19000元/平方米。</t>
  </si>
  <si>
    <t>2013-09-29</t>
  </si>
  <si>
    <t>2013-10-21</t>
  </si>
  <si>
    <t>2013-11-04</t>
  </si>
  <si>
    <t>北京世纪鸿城置业有限公司</t>
  </si>
  <si>
    <t>昌平区沙河镇(沙河高教园二期(一)地块)R2二类居住用地项目(配建公共租赁住房)</t>
  </si>
  <si>
    <t>京土整储挂(昌)[2013]050号</t>
  </si>
  <si>
    <t>二类居住用地</t>
  </si>
  <si>
    <t>2013-05-30</t>
  </si>
  <si>
    <t>2013-06-19</t>
  </si>
  <si>
    <t>2013-07-03</t>
  </si>
  <si>
    <t>恒大地产集团有限公司</t>
  </si>
  <si>
    <t>昌平区小汤山镇B-04、B-05、B-07地块公建混合住宅用地(配建限价商品住房)</t>
  </si>
  <si>
    <t>京土整储招(昌)[2013]024号</t>
  </si>
  <si>
    <t>F2公建混合住宅用地、F3其它类多功能用地</t>
  </si>
  <si>
    <t>限价房</t>
  </si>
  <si>
    <t>2013-01-30</t>
  </si>
  <si>
    <t>2013-02-25</t>
  </si>
  <si>
    <t>昌平区北七家镇公建混合住宅用地(配建公共租赁住房)</t>
  </si>
  <si>
    <t>京土整储招(昌)[2013]023号</t>
  </si>
  <si>
    <t>公共租赁房</t>
  </si>
  <si>
    <t>北京科技商务区建设有限责任公司和绿地控股集团有限公司联合体</t>
  </si>
  <si>
    <t>昌平区东小口镇住宅混合公建用地(配建公共租赁住房)</t>
  </si>
  <si>
    <t>京土整储招(昌)[2012]090号</t>
  </si>
  <si>
    <t>2012-12-26</t>
  </si>
  <si>
    <t>2013-01-21</t>
  </si>
  <si>
    <t>北京京投置地房地产有限公司和北京市基础设施投资有限公司联合体</t>
  </si>
  <si>
    <t>昌平区中关村科技园昌平园东区二期0303-04地块住宅混合公建用地</t>
  </si>
  <si>
    <t>京土整储挂(昌)[2012]063号</t>
  </si>
  <si>
    <t>2012-11-07</t>
  </si>
  <si>
    <t>2012-11-27</t>
  </si>
  <si>
    <t>2012-12-11</t>
  </si>
  <si>
    <t>中国铁建房地产集团有限公司</t>
  </si>
  <si>
    <t>昌平区沙河镇南一村二类居住用地(配建限价商品住房)</t>
  </si>
  <si>
    <t>京土整储挂(昌)[2012]050号</t>
  </si>
  <si>
    <t>R2二类居住用地、R5居住区配套教育用地</t>
  </si>
  <si>
    <t>2012-09-17</t>
  </si>
  <si>
    <t>2012-09-29</t>
  </si>
  <si>
    <t>盘锦运河石油房地产开发有限公司</t>
  </si>
  <si>
    <t>居住70年,商业40年,综合50年</t>
  </si>
  <si>
    <t>昌平区中关村科技园昌平园东区三期0303-03地块住宅混合公建用地</t>
  </si>
  <si>
    <t>京土整储挂(昌)[2011]*137号</t>
  </si>
  <si>
    <t>F1住宅混合公建用地、R53托幼用地</t>
  </si>
  <si>
    <t>2011-11-28</t>
  </si>
  <si>
    <t>2011-12-16</t>
  </si>
  <si>
    <t>泰康之家(北京)投资有限公司与北京昌科航星科技开发有限公司联合体</t>
  </si>
  <si>
    <t>住宅70年,商业40年,综合50年</t>
  </si>
  <si>
    <t>北京市昌平区未来科技城北区A-21地块商业金融项目</t>
  </si>
  <si>
    <t>京土整储挂(昌)[2011]087号</t>
  </si>
  <si>
    <t>商业金融</t>
  </si>
  <si>
    <t>2011-08-22</t>
  </si>
  <si>
    <t>2011-09-06</t>
  </si>
  <si>
    <t>北京未来科技城开发建设有限公司</t>
  </si>
  <si>
    <t>40年</t>
  </si>
  <si>
    <t>昌平区沙河镇南一村居住项目用地</t>
  </si>
  <si>
    <t>昌平区沙河镇(东至京包铁路;西至王麻子剪刀厂高压线走廊;南至南沙河北岸;北至规划二路中线)</t>
  </si>
  <si>
    <t>京土整储招(昌)[2010]167号</t>
  </si>
  <si>
    <t>2010-12-22</t>
  </si>
  <si>
    <t>2010-12-27</t>
  </si>
  <si>
    <t>保利(北京)房地产开发有限公司与北京金成华房地产开发有限公司联合体</t>
  </si>
  <si>
    <t>中关村科技园区昌平园东区三期联合储备开发项目0303-32-1地块普通商品住房项目国有建设用地</t>
  </si>
  <si>
    <t>昌平区南邵镇(东至规划二路;西至规划南丰路;南至景文屯中街;北至白浮泉路)</t>
  </si>
  <si>
    <t>京土整储招(昌)[2010]153号</t>
  </si>
  <si>
    <t>2010-12-16</t>
  </si>
  <si>
    <t>2010-12-21</t>
  </si>
  <si>
    <t>北京住总房地产开发有限责任公司与天津融创置地有限公司联合体</t>
  </si>
  <si>
    <t>中关村科技园区昌平园东区二期0303-55地块住宅混合公建用地(配建限价商品住房)(保障性用地)</t>
  </si>
  <si>
    <t>昌平区南邵镇(东至何营路;西至何营西路;南至昌怀路南线;北至昌怀路)</t>
  </si>
  <si>
    <t>京土整储招(昌)[2010]155号</t>
  </si>
  <si>
    <t>F1公建混合住宅</t>
  </si>
  <si>
    <t>常州宏骏房地产开发有限公司(路劲地产集团旗下子公司)</t>
  </si>
  <si>
    <t>中关村科技园区昌平园东区三期联合储备开发项目0303-41-1、0303-41-2地块普通商品住房项目国有建设用地</t>
  </si>
  <si>
    <t>昌平区南邵镇(东至规划南丰东路;西至规划南丰路;南至规划京密引水渠北路;北至景文屯中街)</t>
  </si>
  <si>
    <t>京土整储招(昌)[2010]154号</t>
  </si>
  <si>
    <t>重庆市金科实业(集团)有限公司</t>
  </si>
  <si>
    <t>中关村科技园区昌平园东区三期联合储备开发项目0303-32-3地块限价商品住房项目用地国有建设用地(保障性用地)</t>
  </si>
  <si>
    <t>昌平区南邵镇(东至规划南丰东路;南至规划景文屯中街;西至规划路;北至0303-30-2地块)</t>
  </si>
  <si>
    <t>京土整储招(昌)[2010]118号</t>
  </si>
  <si>
    <t>R2二类居住用地、R53托幼用地</t>
  </si>
  <si>
    <t>2010-11-17</t>
  </si>
  <si>
    <t>2010-11-18</t>
  </si>
  <si>
    <t>中国水电建设集团房地产有限公司</t>
  </si>
  <si>
    <t>昌平新城东区0302-122地块限价商品住房项目用地国有建设用地(保障性用地)</t>
  </si>
  <si>
    <t>昌平区南邵镇(东至何营东路;南至南环路;西至何营村小街;北至四合庄北路)</t>
  </si>
  <si>
    <t>京土整储招(昌)[2010]119号</t>
  </si>
  <si>
    <t>R2二类居住</t>
  </si>
  <si>
    <t>国奥投资发展有限公司</t>
  </si>
  <si>
    <t>住宅70年</t>
  </si>
  <si>
    <t>昌平区兴寿镇桃源旅游设施(B地块)项目用地国有建设用地</t>
  </si>
  <si>
    <t>昌平区兴寿镇</t>
  </si>
  <si>
    <t>京土整储招(昌)[2010]110号</t>
  </si>
  <si>
    <t>旅游设施、市政公用设施</t>
  </si>
  <si>
    <t>2010-11-11</t>
  </si>
  <si>
    <t>2010-11-15</t>
  </si>
  <si>
    <t>民福置业集团有限公司</t>
  </si>
  <si>
    <t>1星</t>
  </si>
  <si>
    <t>北京市昌平区回龙观商业金融项目用地(原佰嘉经济适用房配套公建项目用地)</t>
  </si>
  <si>
    <t>昌平区回龙观镇</t>
  </si>
  <si>
    <t>京土整储挂(昌)[2010]096号</t>
  </si>
  <si>
    <t>商业金融用地</t>
  </si>
  <si>
    <t>2010-10-08</t>
  </si>
  <si>
    <t>2010-10-21</t>
  </si>
  <si>
    <t>北京佰嘉置业有限公司</t>
  </si>
  <si>
    <t>东方蓝海中心</t>
    <phoneticPr fontId="3" type="noConversion"/>
  </si>
  <si>
    <t>办公自持</t>
    <phoneticPr fontId="7" type="noConversion"/>
  </si>
  <si>
    <t>办公出售</t>
    <phoneticPr fontId="7" type="noConversion"/>
  </si>
  <si>
    <t>租金单价</t>
    <phoneticPr fontId="3" type="noConversion"/>
  </si>
  <si>
    <t>楼层系数</t>
    <phoneticPr fontId="3" type="noConversion"/>
  </si>
  <si>
    <t>综合租金</t>
    <phoneticPr fontId="3" type="noConversion"/>
  </si>
  <si>
    <t>商业</t>
    <phoneticPr fontId="3" type="noConversion"/>
  </si>
  <si>
    <t>地上</t>
    <phoneticPr fontId="3" type="noConversion"/>
  </si>
  <si>
    <t>地下</t>
    <phoneticPr fontId="3" type="noConversion"/>
  </si>
  <si>
    <t>收益法-商业</t>
  </si>
  <si>
    <t>收益法-商业</t>
    <phoneticPr fontId="16" type="noConversion"/>
  </si>
  <si>
    <t>收益法-办公自持</t>
  </si>
  <si>
    <t>收益法-办公自持</t>
    <phoneticPr fontId="16" type="noConversion"/>
  </si>
  <si>
    <t>收益法-地下车库</t>
  </si>
  <si>
    <t>收益法-地下车库</t>
    <phoneticPr fontId="16" type="noConversion"/>
  </si>
  <si>
    <t>在建（套用方法）</t>
  </si>
  <si>
    <t>自定义</t>
  </si>
  <si>
    <t>按租金收入计税</t>
  </si>
  <si>
    <t>钢混</t>
  </si>
  <si>
    <t>非生产用房</t>
  </si>
  <si>
    <t>办公自持</t>
  </si>
  <si>
    <t>办公出售</t>
  </si>
  <si>
    <t>押一</t>
  </si>
  <si>
    <t>高板</t>
    <phoneticPr fontId="3" type="noConversion"/>
  </si>
  <si>
    <t>钢</t>
    <phoneticPr fontId="3" type="noConversion"/>
  </si>
  <si>
    <t>钢混</t>
    <phoneticPr fontId="3" type="noConversion"/>
  </si>
  <si>
    <t>砖混</t>
    <phoneticPr fontId="3" type="noConversion"/>
  </si>
  <si>
    <t>好</t>
  </si>
  <si>
    <t>较好</t>
  </si>
  <si>
    <t>一般</t>
  </si>
  <si>
    <t>较差</t>
  </si>
  <si>
    <t>差</t>
  </si>
  <si>
    <t>精装</t>
    <phoneticPr fontId="3" type="noConversion"/>
  </si>
  <si>
    <t>普装</t>
    <phoneticPr fontId="3" type="noConversion"/>
  </si>
  <si>
    <t>简装</t>
    <phoneticPr fontId="3" type="noConversion"/>
  </si>
  <si>
    <t>毛坯</t>
    <phoneticPr fontId="3" type="noConversion"/>
  </si>
  <si>
    <t>七桶</t>
    <phoneticPr fontId="3" type="noConversion"/>
  </si>
  <si>
    <t>六通</t>
    <phoneticPr fontId="3" type="noConversion"/>
  </si>
  <si>
    <t>五通</t>
    <phoneticPr fontId="3" type="noConversion"/>
  </si>
  <si>
    <t>四通</t>
    <phoneticPr fontId="3" type="noConversion"/>
  </si>
  <si>
    <t>三通</t>
    <phoneticPr fontId="3" type="noConversion"/>
  </si>
  <si>
    <t>融尚未来</t>
    <phoneticPr fontId="3" type="noConversion"/>
  </si>
  <si>
    <t>华润·未来城市</t>
    <phoneticPr fontId="3" type="noConversion"/>
  </si>
  <si>
    <t>昌平未来科学城南区</t>
    <phoneticPr fontId="3" type="noConversion"/>
  </si>
  <si>
    <t>昌平北五环京承高速北七家出口西</t>
    <phoneticPr fontId="3" type="noConversion"/>
  </si>
  <si>
    <t>住宅</t>
    <phoneticPr fontId="25" type="noConversion"/>
  </si>
  <si>
    <t>60-70（含）</t>
  </si>
  <si>
    <t>七通</t>
  </si>
  <si>
    <t>高板</t>
  </si>
  <si>
    <t>精装</t>
  </si>
  <si>
    <t>六通</t>
  </si>
  <si>
    <t>毛坯</t>
  </si>
  <si>
    <t>未来公元</t>
    <phoneticPr fontId="3" type="noConversion"/>
  </si>
  <si>
    <t>售价</t>
  </si>
  <si>
    <t>自持比例</t>
    <phoneticPr fontId="31" type="noConversion"/>
  </si>
  <si>
    <t>住宅配比</t>
    <phoneticPr fontId="31" type="noConversion"/>
  </si>
  <si>
    <t>东方蓝海中心</t>
    <phoneticPr fontId="3" type="noConversion"/>
  </si>
  <si>
    <t>昌平区北七家镇</t>
    <phoneticPr fontId="3" type="noConversion"/>
  </si>
  <si>
    <t>昌平区沙河镇</t>
    <phoneticPr fontId="3"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</si>
  <si>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</si>
  <si>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</si>
  <si>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</si>
  <si>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</si>
  <si>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</si>
  <si>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</si>
  <si>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</si>
  <si>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</si>
  <si>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</si>
  <si>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</si>
  <si>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</si>
  <si>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</si>
  <si>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</si>
  <si>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</si>
  <si>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</si>
  <si>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</si>
  <si>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</si>
  <si>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</si>
  <si>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</si>
  <si>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公租房</t>
    <phoneticPr fontId="31" type="noConversion"/>
  </si>
  <si>
    <t>无</t>
    <phoneticPr fontId="31" type="noConversion"/>
  </si>
  <si>
    <r>
      <t>0-30%</t>
    </r>
    <r>
      <rPr>
        <sz val="11"/>
        <color indexed="8"/>
        <rFont val="宋体"/>
        <family val="3"/>
        <charset val="134"/>
      </rPr>
      <t>（含）</t>
    </r>
    <phoneticPr fontId="31" type="noConversion"/>
  </si>
  <si>
    <r>
      <t>30-60%</t>
    </r>
    <r>
      <rPr>
        <sz val="11"/>
        <color indexed="8"/>
        <rFont val="宋体"/>
        <family val="3"/>
        <charset val="134"/>
      </rPr>
      <t>（含）</t>
    </r>
    <phoneticPr fontId="31" type="noConversion"/>
  </si>
  <si>
    <r>
      <t>60-90%</t>
    </r>
    <r>
      <rPr>
        <sz val="11"/>
        <color indexed="8"/>
        <rFont val="宋体"/>
        <family val="3"/>
        <charset val="134"/>
      </rPr>
      <t>（含）</t>
    </r>
    <phoneticPr fontId="31" type="noConversion"/>
  </si>
  <si>
    <t>办公</t>
    <phoneticPr fontId="32" type="noConversion"/>
  </si>
  <si>
    <t>40-50（含）</t>
  </si>
  <si>
    <t>多面临街</t>
  </si>
  <si>
    <t>标准层高</t>
  </si>
  <si>
    <t>标准层高</t>
    <phoneticPr fontId="32" type="noConversion"/>
  </si>
  <si>
    <t>办公楼</t>
    <phoneticPr fontId="32" type="noConversion"/>
  </si>
  <si>
    <t>高速路</t>
    <phoneticPr fontId="31" type="noConversion"/>
  </si>
  <si>
    <t>主干道</t>
    <phoneticPr fontId="31" type="noConversion"/>
  </si>
  <si>
    <t>次干道</t>
  </si>
  <si>
    <t>次干道</t>
    <phoneticPr fontId="31" type="noConversion"/>
  </si>
  <si>
    <t>支路</t>
    <phoneticPr fontId="31" type="noConversion"/>
  </si>
  <si>
    <t>是否限价</t>
    <phoneticPr fontId="31" type="noConversion"/>
  </si>
  <si>
    <t>否</t>
    <phoneticPr fontId="31" type="noConversion"/>
  </si>
  <si>
    <t>是</t>
    <phoneticPr fontId="31" type="noConversion"/>
  </si>
  <si>
    <t>是</t>
    <phoneticPr fontId="31" type="noConversion"/>
  </si>
  <si>
    <t>双面临街</t>
  </si>
  <si>
    <t>无</t>
    <phoneticPr fontId="31" type="noConversion"/>
  </si>
  <si>
    <t>成本比率</t>
  </si>
  <si>
    <t>成本法</t>
  </si>
  <si>
    <t>未包含在土地购买价格中</t>
  </si>
  <si>
    <t>全部缴纳</t>
  </si>
  <si>
    <t>已包含在土地取得成本中</t>
  </si>
  <si>
    <t>假设开发法</t>
  </si>
  <si>
    <t>地上楼面单价</t>
    <phoneticPr fontId="8" type="noConversion"/>
  </si>
  <si>
    <t>不动产权证号</t>
  </si>
  <si>
    <t>建筑面积依据</t>
  </si>
  <si>
    <t>楼号</t>
  </si>
  <si>
    <t>（分摊）土地面积</t>
  </si>
  <si>
    <t>建筑面积</t>
  </si>
  <si>
    <t>工程进度情况</t>
  </si>
  <si>
    <t>地上商业</t>
  </si>
  <si>
    <t>地下商业</t>
  </si>
  <si>
    <t>公共配套设施</t>
  </si>
  <si>
    <t>物业用房</t>
  </si>
  <si>
    <t>设备用房及其他</t>
  </si>
  <si>
    <r>
      <t>昌平区北七家镇（未来科技城南区）</t>
    </r>
    <r>
      <rPr>
        <sz val="7.5"/>
        <color theme="1"/>
        <rFont val="Arial"/>
        <family val="2"/>
      </rPr>
      <t>CP07-0600-0022</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</si>
  <si>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0000070</t>
    </r>
    <r>
      <rPr>
        <sz val="7.5"/>
        <color rgb="FF000000"/>
        <rFont val="华文细黑"/>
        <family val="3"/>
        <charset val="134"/>
      </rPr>
      <t>号</t>
    </r>
  </si>
  <si>
    <t>《房屋面积测算技术报告书》及《项目情况说明》</t>
  </si>
  <si>
    <r>
      <t>1#</t>
    </r>
    <r>
      <rPr>
        <sz val="7.5"/>
        <color rgb="FF000000"/>
        <rFont val="华文细黑"/>
        <family val="3"/>
        <charset val="134"/>
      </rPr>
      <t>办公楼</t>
    </r>
  </si>
  <si>
    <t>所有楼栋已完成二次结构及外部装修，正在进行内部设施设备安装</t>
  </si>
  <si>
    <r>
      <t>2#</t>
    </r>
    <r>
      <rPr>
        <sz val="7.5"/>
        <color rgb="FF000000"/>
        <rFont val="华文细黑"/>
        <family val="3"/>
        <charset val="134"/>
      </rPr>
      <t>办公楼</t>
    </r>
  </si>
  <si>
    <r>
      <t>3#</t>
    </r>
    <r>
      <rPr>
        <sz val="7.5"/>
        <color rgb="FF000000"/>
        <rFont val="华文细黑"/>
        <family val="3"/>
        <charset val="134"/>
      </rPr>
      <t>楼人才公共租赁住房</t>
    </r>
  </si>
  <si>
    <r>
      <t>4#</t>
    </r>
    <r>
      <rPr>
        <sz val="7.5"/>
        <color rgb="FF000000"/>
        <rFont val="华文细黑"/>
        <family val="3"/>
        <charset val="134"/>
      </rPr>
      <t>住宅楼</t>
    </r>
  </si>
  <si>
    <r>
      <t>022</t>
    </r>
    <r>
      <rPr>
        <sz val="7.5"/>
        <color rgb="FF000000"/>
        <rFont val="华文细黑"/>
        <family val="3"/>
        <charset val="134"/>
      </rPr>
      <t>地块地下室</t>
    </r>
  </si>
  <si>
    <r>
      <t>昌平区北七家镇（未来科技城南区）</t>
    </r>
    <r>
      <rPr>
        <sz val="7.5"/>
        <color theme="1"/>
        <rFont val="Arial"/>
        <family val="2"/>
      </rPr>
      <t>CP07-0600-0039</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</si>
  <si>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0000071</t>
    </r>
    <r>
      <rPr>
        <sz val="7.5"/>
        <color rgb="FF000000"/>
        <rFont val="华文细黑"/>
        <family val="3"/>
        <charset val="134"/>
      </rPr>
      <t>号</t>
    </r>
  </si>
  <si>
    <r>
      <t>5#</t>
    </r>
    <r>
      <rPr>
        <sz val="7.5"/>
        <color rgb="FF000000"/>
        <rFont val="华文细黑"/>
        <family val="3"/>
        <charset val="134"/>
      </rPr>
      <t>办公楼</t>
    </r>
  </si>
  <si>
    <r>
      <t>6#</t>
    </r>
    <r>
      <rPr>
        <sz val="7.5"/>
        <color rgb="FF000000"/>
        <rFont val="华文细黑"/>
        <family val="3"/>
        <charset val="134"/>
      </rPr>
      <t>住宅楼</t>
    </r>
  </si>
  <si>
    <r>
      <t>039</t>
    </r>
    <r>
      <rPr>
        <sz val="7.5"/>
        <color rgb="FF000000"/>
        <rFont val="华文细黑"/>
        <family val="3"/>
        <charset val="134"/>
      </rPr>
      <t>地块地下室</t>
    </r>
  </si>
  <si>
    <r>
      <t>昌平区北七家镇（未来科技城南区）</t>
    </r>
    <r>
      <rPr>
        <sz val="7.5"/>
        <color theme="1"/>
        <rFont val="Arial"/>
        <family val="2"/>
      </rPr>
      <t>CP07-0600-0040</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</si>
  <si>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0000069</t>
    </r>
    <r>
      <rPr>
        <sz val="7.5"/>
        <color rgb="FF000000"/>
        <rFont val="华文细黑"/>
        <family val="3"/>
        <charset val="134"/>
      </rPr>
      <t>号</t>
    </r>
  </si>
  <si>
    <r>
      <t>7#</t>
    </r>
    <r>
      <rPr>
        <sz val="7.5"/>
        <color rgb="FF000000"/>
        <rFont val="华文细黑"/>
        <family val="3"/>
        <charset val="134"/>
      </rPr>
      <t>办公楼</t>
    </r>
  </si>
  <si>
    <r>
      <t>8#</t>
    </r>
    <r>
      <rPr>
        <sz val="7.5"/>
        <color rgb="FF000000"/>
        <rFont val="华文细黑"/>
        <family val="3"/>
        <charset val="134"/>
      </rPr>
      <t>住宅楼</t>
    </r>
  </si>
  <si>
    <r>
      <t>040</t>
    </r>
    <r>
      <rPr>
        <sz val="7.5"/>
        <color rgb="FF000000"/>
        <rFont val="华文细黑"/>
        <family val="3"/>
        <charset val="134"/>
      </rPr>
      <t>地块地下室</t>
    </r>
  </si>
  <si>
    <t>1#办公楼</t>
    <phoneticPr fontId="143" type="noConversion"/>
  </si>
  <si>
    <t>2#办公楼</t>
    <phoneticPr fontId="143" type="noConversion"/>
  </si>
  <si>
    <t>3#楼人才公共租赁住房</t>
    <phoneticPr fontId="143" type="noConversion"/>
  </si>
  <si>
    <t>4#住宅楼</t>
    <phoneticPr fontId="143" type="noConversion"/>
  </si>
  <si>
    <t>5#办公楼</t>
    <phoneticPr fontId="143" type="noConversion"/>
  </si>
  <si>
    <t>6#住宅楼</t>
    <phoneticPr fontId="143" type="noConversion"/>
  </si>
  <si>
    <t>7#办公楼</t>
    <phoneticPr fontId="143" type="noConversion"/>
  </si>
  <si>
    <t>8#住宅楼</t>
    <phoneticPr fontId="143" type="noConversion"/>
  </si>
  <si>
    <t>022地块地下室</t>
    <phoneticPr fontId="143" type="noConversion"/>
  </si>
  <si>
    <t>039地块地下室</t>
    <phoneticPr fontId="143" type="noConversion"/>
  </si>
  <si>
    <t>040地块地下室</t>
    <phoneticPr fontId="143" type="noConversion"/>
  </si>
  <si>
    <t>普装</t>
  </si>
  <si>
    <t>钢混</t>
    <phoneticPr fontId="32" type="noConversion"/>
  </si>
  <si>
    <t>TBD万科天地</t>
    <phoneticPr fontId="3" type="noConversion"/>
  </si>
  <si>
    <t>TBD万科天地</t>
    <phoneticPr fontId="143" type="noConversion"/>
  </si>
  <si>
    <t>佰嘉城</t>
    <phoneticPr fontId="143" type="noConversion"/>
  </si>
  <si>
    <t>华润科创大道</t>
    <phoneticPr fontId="143" type="noConversion"/>
  </si>
  <si>
    <t>用途</t>
    <phoneticPr fontId="143" type="noConversion"/>
  </si>
  <si>
    <t>金域国际</t>
    <phoneticPr fontId="143" type="noConversion"/>
  </si>
  <si>
    <t>珠江摩尔国际</t>
    <phoneticPr fontId="143" type="noConversion"/>
  </si>
  <si>
    <t>龙旗广场</t>
    <phoneticPr fontId="143" type="noConversion"/>
  </si>
  <si>
    <r>
      <t>3</t>
    </r>
    <r>
      <rPr>
        <sz val="11"/>
        <color theme="1"/>
        <rFont val="宋体"/>
        <family val="3"/>
        <charset val="134"/>
        <scheme val="minor"/>
      </rPr>
      <t>-</t>
    </r>
    <r>
      <rPr>
        <sz val="11"/>
        <color theme="1"/>
        <rFont val="宋体"/>
        <family val="3"/>
        <charset val="134"/>
        <scheme val="minor"/>
      </rPr>
      <t>3.3</t>
    </r>
    <phoneticPr fontId="143" type="noConversion"/>
  </si>
  <si>
    <r>
      <t>3.8</t>
    </r>
    <r>
      <rPr>
        <sz val="11"/>
        <color theme="1"/>
        <rFont val="宋体"/>
        <family val="3"/>
        <charset val="134"/>
        <scheme val="minor"/>
      </rPr>
      <t>-4</t>
    </r>
    <phoneticPr fontId="143" type="noConversion"/>
  </si>
  <si>
    <t>琥珀大厦</t>
    <phoneticPr fontId="143" type="noConversion"/>
  </si>
  <si>
    <r>
      <t>3</t>
    </r>
    <r>
      <rPr>
        <sz val="11"/>
        <color theme="1"/>
        <rFont val="宋体"/>
        <family val="3"/>
        <charset val="134"/>
        <scheme val="minor"/>
      </rPr>
      <t>-3.5</t>
    </r>
    <phoneticPr fontId="143" type="noConversion"/>
  </si>
  <si>
    <t>3-3.5</t>
    <phoneticPr fontId="143" type="noConversion"/>
  </si>
  <si>
    <r>
      <t>租金（元/平方米</t>
    </r>
    <r>
      <rPr>
        <sz val="11"/>
        <color theme="1"/>
        <rFont val="宋体"/>
        <family val="3"/>
        <charset val="134"/>
        <scheme val="minor"/>
      </rPr>
      <t>/天</t>
    </r>
    <r>
      <rPr>
        <sz val="11"/>
        <color theme="1"/>
        <rFont val="宋体"/>
        <family val="3"/>
        <charset val="134"/>
        <scheme val="minor"/>
      </rPr>
      <t>）</t>
    </r>
    <phoneticPr fontId="143" type="noConversion"/>
  </si>
  <si>
    <t>TBD云集中心</t>
    <phoneticPr fontId="143" type="noConversion"/>
  </si>
  <si>
    <t>首开国风美唐</t>
    <phoneticPr fontId="143" type="noConversion"/>
  </si>
  <si>
    <t>华润科创大道</t>
    <phoneticPr fontId="3" type="noConversion"/>
  </si>
  <si>
    <r>
      <t>3</t>
    </r>
    <r>
      <rPr>
        <sz val="11"/>
        <color theme="1"/>
        <rFont val="宋体"/>
        <family val="3"/>
        <charset val="134"/>
        <scheme val="minor"/>
      </rPr>
      <t>3000-36000</t>
    </r>
    <phoneticPr fontId="143" type="noConversion"/>
  </si>
  <si>
    <r>
      <t>3</t>
    </r>
    <r>
      <rPr>
        <sz val="11"/>
        <color theme="1"/>
        <rFont val="宋体"/>
        <family val="3"/>
        <charset val="134"/>
        <scheme val="minor"/>
      </rPr>
      <t>0000-31000</t>
    </r>
    <phoneticPr fontId="143" type="noConversion"/>
  </si>
  <si>
    <r>
      <t>3</t>
    </r>
    <r>
      <rPr>
        <sz val="11"/>
        <color theme="1"/>
        <rFont val="宋体"/>
        <family val="3"/>
        <charset val="134"/>
        <scheme val="minor"/>
      </rPr>
      <t>2000-</t>
    </r>
    <r>
      <rPr>
        <sz val="11"/>
        <color theme="1"/>
        <rFont val="宋体"/>
        <family val="3"/>
        <charset val="134"/>
        <scheme val="minor"/>
      </rPr>
      <t>34</t>
    </r>
    <r>
      <rPr>
        <sz val="11"/>
        <color theme="1"/>
        <rFont val="宋体"/>
        <family val="3"/>
        <charset val="134"/>
        <scheme val="minor"/>
      </rPr>
      <t>000</t>
    </r>
    <phoneticPr fontId="143" type="noConversion"/>
  </si>
  <si>
    <t>名称</t>
    <phoneticPr fontId="143" type="noConversion"/>
  </si>
  <si>
    <t>办公（元/平方米）</t>
    <phoneticPr fontId="143" type="noConversion"/>
  </si>
  <si>
    <t>估价对象</t>
    <phoneticPr fontId="143" type="noConversion"/>
  </si>
  <si>
    <t>兴创国际中心</t>
    <phoneticPr fontId="3" type="noConversion"/>
  </si>
  <si>
    <t>大兴区西红门</t>
    <phoneticPr fontId="3" type="noConversion"/>
  </si>
  <si>
    <t>情况3</t>
  </si>
  <si>
    <t>房地产抵押价值</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</si>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</sst>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1"/>
      <name val="Times New Roman"/>
      <family val="1"/>
    </font>
    <font>
      <sz val="7.5"/>
      <color rgb="FF000000"/>
      <name val="华文细黑"/>
      <family val="3"/>
      <charset val="134"/>
    </font>
    <font>
      <sz val="7.5"/>
      <color rgb="FF000000"/>
      <name val="Arial"/>
      <family val="2"/>
    </font>
    <font>
      <sz val="7.5"/>
      <color theme="1"/>
      <name val="华文细黑"/>
      <family val="3"/>
      <charset val="134"/>
    </font>
    <font>
      <sz val="7.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style="medium">
        <color rgb="FF404040"/>
      </top>
      <bottom/>
      <diagonal/>
    </border>
    <border>
      <left/>
      <right style="medium">
        <color rgb="FF404040"/>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right" vertical="center"/>
    </xf>
    <xf numFmtId="0" fontId="0" fillId="0" borderId="0" xfId="0" applyAlignment="1">
      <alignment horizontal="righ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lignment vertical="center"/>
    </xf>
    <xf numFmtId="49" fontId="254" fillId="5" borderId="1" xfId="0" applyNumberFormat="1" applyFont="1" applyFill="1" applyBorder="1" applyAlignment="1" applyProtection="1">
      <alignment horizontal="center" vertical="center" wrapText="1"/>
      <protection locked="0"/>
    </xf>
    <xf numFmtId="0" fontId="0" fillId="5" borderId="0" xfId="0" applyFill="1" applyAlignment="1"/>
    <xf numFmtId="0" fontId="120" fillId="0" borderId="0" xfId="0" applyFont="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9" fillId="5" borderId="0" xfId="0" applyFont="1" applyFill="1" applyAlignment="1"/>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55" fillId="0" borderId="0" xfId="0" applyFont="1" applyAlignment="1">
      <alignment vertical="center" wrapText="1"/>
    </xf>
    <xf numFmtId="0" fontId="256" fillId="0" borderId="156" xfId="0" applyFont="1" applyBorder="1" applyAlignment="1">
      <alignment vertical="center"/>
    </xf>
    <xf numFmtId="0" fontId="256" fillId="0" borderId="157" xfId="0" applyFont="1" applyBorder="1" applyAlignment="1">
      <alignment vertical="center"/>
    </xf>
    <xf numFmtId="0" fontId="256" fillId="0" borderId="1" xfId="0" applyFont="1" applyBorder="1" applyAlignment="1">
      <alignment horizontal="justify" vertical="center"/>
    </xf>
    <xf numFmtId="0" fontId="256" fillId="0" borderId="1" xfId="0" applyFont="1" applyBorder="1" applyAlignment="1">
      <alignment horizontal="justify" vertical="center" wrapText="1"/>
    </xf>
    <xf numFmtId="0" fontId="257" fillId="0" borderId="1" xfId="0" applyFont="1" applyBorder="1" applyAlignment="1">
      <alignment horizontal="justify" vertical="center"/>
    </xf>
    <xf numFmtId="0" fontId="257" fillId="0" borderId="1" xfId="0" applyFont="1" applyBorder="1" applyAlignment="1">
      <alignment horizontal="justify" vertical="center" wrapText="1"/>
    </xf>
    <xf numFmtId="0" fontId="257" fillId="0" borderId="1" xfId="0" applyFont="1" applyBorder="1" applyAlignment="1">
      <alignment horizontal="left" vertical="center"/>
    </xf>
    <xf numFmtId="0" fontId="257" fillId="0" borderId="1" xfId="0" applyFont="1" applyBorder="1" applyAlignment="1">
      <alignment horizontal="left" vertical="center" wrapText="1"/>
    </xf>
    <xf numFmtId="0" fontId="56" fillId="0" borderId="1" xfId="0" applyFont="1" applyBorder="1" applyAlignment="1" applyProtection="1">
      <alignment horizontal="left" vertical="center" wrapText="1"/>
      <protection locked="0"/>
    </xf>
    <xf numFmtId="0" fontId="98" fillId="2" borderId="2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left" vertical="center"/>
    </xf>
    <xf numFmtId="0" fontId="99" fillId="0" borderId="1" xfId="0" applyFont="1" applyFill="1" applyBorder="1" applyAlignment="1">
      <alignment horizontal="left" vertical="center"/>
    </xf>
    <xf numFmtId="0" fontId="0" fillId="0" borderId="1" xfId="0" applyBorder="1" applyAlignment="1">
      <alignment horizontal="left" vertical="center"/>
    </xf>
    <xf numFmtId="181" fontId="120" fillId="0" borderId="1" xfId="0" applyNumberFormat="1" applyFont="1" applyFill="1" applyBorder="1" applyAlignment="1" applyProtection="1">
      <alignment horizontal="center" vertical="center"/>
      <protection locked="0"/>
    </xf>
    <xf numFmtId="0" fontId="120" fillId="0" borderId="23" xfId="0" applyFont="1" applyBorder="1" applyAlignment="1" applyProtection="1">
      <alignment vertical="center"/>
      <protection locked="0"/>
    </xf>
    <xf numFmtId="181" fontId="120" fillId="0" borderId="1" xfId="0" applyNumberFormat="1" applyFont="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6" fillId="0" borderId="1" xfId="0" applyFont="1" applyBorder="1" applyAlignment="1">
      <alignment horizontal="justify" vertical="center"/>
    </xf>
    <xf numFmtId="0" fontId="256" fillId="0" borderId="1" xfId="0" applyFont="1" applyBorder="1" applyAlignment="1">
      <alignment horizontal="justify" vertical="center" wrapText="1"/>
    </xf>
    <xf numFmtId="0" fontId="256" fillId="0" borderId="1" xfId="0" applyFont="1" applyBorder="1" applyAlignment="1">
      <alignment horizontal="center" vertical="center"/>
    </xf>
    <xf numFmtId="0" fontId="258" fillId="0" borderId="1" xfId="0" applyFont="1" applyBorder="1" applyAlignment="1">
      <alignment horizontal="center" vertical="center" wrapText="1"/>
    </xf>
    <xf numFmtId="0" fontId="257" fillId="0" borderId="1" xfId="0" applyFont="1" applyBorder="1" applyAlignment="1">
      <alignment horizontal="justify" vertical="center" wrapText="1"/>
    </xf>
    <xf numFmtId="0" fontId="258" fillId="0" borderId="1" xfId="0" applyFont="1" applyBorder="1" applyAlignment="1">
      <alignment horizontal="justify" vertical="center" wrapText="1"/>
    </xf>
    <xf numFmtId="0" fontId="256" fillId="0" borderId="1"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5"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51</xdr:row>
      <xdr:rowOff>76200</xdr:rowOff>
    </xdr:from>
    <xdr:to>
      <xdr:col>10</xdr:col>
      <xdr:colOff>874647</xdr:colOff>
      <xdr:row>85</xdr:row>
      <xdr:rowOff>3305</xdr:rowOff>
    </xdr:to>
    <xdr:pic>
      <xdr:nvPicPr>
        <xdr:cNvPr id="2" name="图片 1"/>
        <xdr:cNvPicPr>
          <a:picLocks noChangeAspect="1"/>
        </xdr:cNvPicPr>
      </xdr:nvPicPr>
      <xdr:blipFill>
        <a:blip xmlns:r="http://schemas.openxmlformats.org/officeDocument/2006/relationships" r:embed="rId1"/>
        <a:stretch>
          <a:fillRect/>
        </a:stretch>
      </xdr:blipFill>
      <xdr:spPr>
        <a:xfrm>
          <a:off x="32657" y="6161314"/>
          <a:ext cx="13219047" cy="6219048"/>
        </a:xfrm>
        <a:prstGeom prst="rect">
          <a:avLst/>
        </a:prstGeom>
      </xdr:spPr>
    </xdr:pic>
    <xdr:clientData/>
  </xdr:twoCellAnchor>
  <xdr:twoCellAnchor editAs="oneCell">
    <xdr:from>
      <xdr:col>11</xdr:col>
      <xdr:colOff>0</xdr:colOff>
      <xdr:row>33</xdr:row>
      <xdr:rowOff>0</xdr:rowOff>
    </xdr:from>
    <xdr:to>
      <xdr:col>16</xdr:col>
      <xdr:colOff>335124</xdr:colOff>
      <xdr:row>81</xdr:row>
      <xdr:rowOff>143523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3465629" y="6085114"/>
          <a:ext cx="7780952" cy="5695238"/>
        </a:xfrm>
        <a:prstGeom prst="rect">
          <a:avLst/>
        </a:prstGeom>
      </xdr:spPr>
    </xdr:pic>
    <xdr:clientData/>
  </xdr:twoCellAnchor>
  <xdr:twoCellAnchor editAs="oneCell">
    <xdr:from>
      <xdr:col>0</xdr:col>
      <xdr:colOff>0</xdr:colOff>
      <xdr:row>86</xdr:row>
      <xdr:rowOff>0</xdr:rowOff>
    </xdr:from>
    <xdr:to>
      <xdr:col>10</xdr:col>
      <xdr:colOff>632467</xdr:colOff>
      <xdr:row>118</xdr:row>
      <xdr:rowOff>106742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62114"/>
          <a:ext cx="13009524" cy="6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北京市昌平区北七家镇（未来科技城南区）CP07-0600-0022、0039、0040地块F2公建混合住宅用地（配建人才公共租赁住房）项目出让国有建设用地使用权及在建建筑物房地产抵押价值预评估</v>
      </c>
    </row>
    <row r="3" spans="1:2" s="1592" customFormat="1">
      <c r="A3" s="1590" t="s">
        <v>1217</v>
      </c>
      <c r="B3" s="1591" t="str">
        <f>'预评函-封皮'!B40</f>
        <v>北京东方蓝海置业有限责任公司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北七家镇（未来科技城南区）CP07-0600-0022、0039、0040地块F2公建混合住宅用地（配建人才公共租赁住房）项目出让国有建设用地使用权及在建建筑物房地产抵押价值进行了预评估。</v>
      </c>
    </row>
    <row r="7" spans="1:2" s="1592" customFormat="1">
      <c r="A7" s="1590" t="s">
        <v>1260</v>
      </c>
      <c r="B7" s="1591" t="str">
        <f>'预评函-1'!A7</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20133.75平方米，建筑面积为112033.45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20133.75平方米，规划建筑面积为112033.45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2019年5月31日（评估专业人员实地查勘之日）</v>
      </c>
    </row>
    <row r="13" spans="1:2" s="1592" customFormat="1">
      <c r="A13" s="1590" t="s">
        <v>1223</v>
      </c>
      <c r="B13" s="1591" t="str">
        <f>'预评函-1'!A18</f>
        <v>本次估价的“房地产价值”是指在正常市场情况下，在价值时点2019年5月31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242829</v>
      </c>
    </row>
    <row r="21" spans="1:2" s="1592" customFormat="1">
      <c r="A21" s="1590" t="s">
        <v>1231</v>
      </c>
      <c r="B21" s="1591">
        <f ca="1">'预评函-2'!D7</f>
        <v>21675</v>
      </c>
    </row>
    <row r="22" spans="1:2" s="1592" customFormat="1">
      <c r="A22" s="1590" t="s">
        <v>1232</v>
      </c>
      <c r="B22" s="1591" t="str">
        <f ca="1">'预评函-2'!D6</f>
        <v>贰拾肆亿贰仟捌佰贰拾玖万元整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242829</v>
      </c>
    </row>
    <row r="31" spans="1:2" s="1592" customFormat="1">
      <c r="A31" s="1590" t="s">
        <v>1270</v>
      </c>
      <c r="B31" s="1591">
        <f ca="1">'预评函-2'!D15</f>
        <v>21675</v>
      </c>
    </row>
    <row r="32" spans="1:2" s="1592" customFormat="1">
      <c r="A32" s="1590" t="s">
        <v>1237</v>
      </c>
      <c r="B32" s="1591" t="str">
        <f ca="1">'预评函-2'!D14</f>
        <v>贰拾肆亿贰仟捌佰贰拾玖万元整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224710</v>
      </c>
    </row>
    <row r="39" spans="1:2" s="1592" customFormat="1">
      <c r="A39" s="1590" t="s">
        <v>1239</v>
      </c>
      <c r="B39" s="1591">
        <f ca="1">'预评函-2'!D21</f>
        <v>20057</v>
      </c>
    </row>
    <row r="40" spans="1:2" s="1592" customFormat="1">
      <c r="A40" s="1590" t="s">
        <v>1240</v>
      </c>
      <c r="B40" s="1591" t="str">
        <f ca="1">'预评函-2'!D20</f>
        <v>贰拾贰亿肆仟柒佰壹拾万元整</v>
      </c>
    </row>
    <row r="41" spans="1:2" s="1592" customFormat="1">
      <c r="A41" s="1590" t="s">
        <v>1286</v>
      </c>
      <c r="B41" s="1591" t="str">
        <f>'预评函-3'!A4</f>
        <v>北京市昌平区北七家镇（未来科技城南区）CP07-0600-0022、0039、0040地块F2公建混合住宅用地（配建人才公共租赁住房）项目出让国有建设用地使用权及在建建筑物房地产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112033.45000000001</v>
      </c>
    </row>
    <row r="44" spans="1:2" s="1592" customFormat="1" ht="31.2">
      <c r="A44" s="1590" t="s">
        <v>1269</v>
      </c>
      <c r="B44" s="1591" t="str">
        <f>'预评函-3'!C2</f>
        <v>(分摊)土地面积</v>
      </c>
    </row>
    <row r="45" spans="1:2" s="1592" customFormat="1">
      <c r="A45" s="1590" t="s">
        <v>1241</v>
      </c>
      <c r="B45" s="1591">
        <f>'预评函-3'!C4</f>
        <v>20133.75</v>
      </c>
    </row>
    <row r="46" spans="1:2" s="1592" customFormat="1">
      <c r="A46" s="1590" t="s">
        <v>1267</v>
      </c>
      <c r="B46" s="1591" t="str">
        <f>'预评函-3'!D2</f>
        <v>出让国有建设用地使用权价值</v>
      </c>
    </row>
    <row r="47" spans="1:2" s="1592" customFormat="1">
      <c r="A47" s="1590" t="s">
        <v>1242</v>
      </c>
      <c r="B47" s="1591">
        <f ca="1">'预评函-3'!D4</f>
        <v>196934</v>
      </c>
    </row>
    <row r="48" spans="1:2" s="1592" customFormat="1">
      <c r="A48" s="1590" t="s">
        <v>1243</v>
      </c>
      <c r="B48" s="1591">
        <f ca="1">'预评函-3'!E4</f>
        <v>17578</v>
      </c>
    </row>
    <row r="49" spans="1:2" s="1592" customFormat="1">
      <c r="A49" s="1590" t="s">
        <v>1244</v>
      </c>
      <c r="B49" s="1591" t="str">
        <f ca="1">'预评函-3'!D5</f>
        <v>壹拾玖亿陆仟玖佰叁拾肆万元整</v>
      </c>
    </row>
    <row r="50" spans="1:2" s="1592" customFormat="1">
      <c r="A50" s="1590" t="s">
        <v>1268</v>
      </c>
      <c r="B50" s="1591" t="str">
        <f>'预评函-3'!F2</f>
        <v>在建建筑物价值</v>
      </c>
    </row>
    <row r="51" spans="1:2" s="1592" customFormat="1">
      <c r="A51" s="1590" t="s">
        <v>1245</v>
      </c>
      <c r="B51" s="1591">
        <f ca="1">'预评函-3'!F4</f>
        <v>45895</v>
      </c>
    </row>
    <row r="52" spans="1:2" s="1592" customFormat="1">
      <c r="A52" s="1590" t="s">
        <v>1246</v>
      </c>
      <c r="B52" s="1591">
        <f ca="1">'预评函-3'!G4</f>
        <v>4097</v>
      </c>
    </row>
    <row r="53" spans="1:2" s="1592" customFormat="1">
      <c r="A53" s="1590" t="s">
        <v>1274</v>
      </c>
      <c r="B53" s="1591" t="str">
        <f ca="1">'预评函-3'!F5</f>
        <v>肆亿伍仟捌佰玖拾伍万元整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3549</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6" t="s">
        <v>3551</v>
      </c>
      <c r="C17" s="2014"/>
    </row>
    <row r="18" spans="1:3">
      <c r="A18" s="2013" t="s">
        <v>1762</v>
      </c>
      <c r="B18" s="2016" t="s">
        <v>3553</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3107</v>
      </c>
      <c r="B27" s="2013" t="s">
        <v>757</v>
      </c>
      <c r="C27" s="2014"/>
    </row>
    <row r="28" spans="1:3">
      <c r="A28" s="2013" t="s">
        <v>3109</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-0022、0039、0040地块F2公建混合住宅用地（配建人才公共租赁住房）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4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21" t="s">
        <v>861</v>
      </c>
      <c r="C54" s="2018" t="s">
        <v>1277</v>
      </c>
    </row>
    <row r="55" spans="1:4">
      <c r="A55" s="3047"/>
      <c r="B55" s="2021" t="s">
        <v>862</v>
      </c>
      <c r="C55" s="2018" t="s">
        <v>1278</v>
      </c>
    </row>
    <row r="56" spans="1:4">
      <c r="A56" s="3047"/>
      <c r="B56" s="2021" t="s">
        <v>863</v>
      </c>
      <c r="C56" s="2018" t="s">
        <v>1282</v>
      </c>
    </row>
    <row r="57" spans="1:4">
      <c r="A57" s="304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8671875" style="2031" customWidth="1"/>
    <col min="2" max="2" width="12" style="2031" customWidth="1"/>
    <col min="3" max="3" width="11.44140625" style="2031" customWidth="1"/>
    <col min="4" max="4" width="12.664062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48" t="str">
        <f>IF(B10="北京市","北京市",C10)&amp;F10&amp;IF(结果表!G1="在建","出让国有建设用地使用权及在建建筑物",IF(结果表!G1="土地","出让国有建设用地使用权",))&amp;B9&amp;"预评估"</f>
        <v>北京市昌平区北七家镇（未来科技城南区）CP07-0600-0022、0039、0040地块F2公建混合住宅用地（配建人才公共租赁住房）项目出让国有建设用地使用权及在建建筑物房地产抵押价值预评估</v>
      </c>
      <c r="C1" s="3049"/>
      <c r="D1" s="3049"/>
      <c r="E1" s="3049"/>
      <c r="F1" s="3049"/>
      <c r="G1" s="3049"/>
      <c r="H1" s="3049"/>
      <c r="I1" s="305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北京市昌平区北七家镇（未来科技城南区）CP07-0600-0022、0039、0040地块F2公建混合住宅用地（配建人才公共租赁住房）项目出让国有建设用地使用权及在建建筑物房地产抵押价值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北京市昌平区北七家镇（未来科技城南区）CP07-0600-0022、0039、0040地块F2公建混合住宅用地（配建人才公共租赁住房）项目出让国有建设用地使用权及在建建筑物房地产</v>
      </c>
    </row>
    <row r="3" spans="1:19" ht="18" customHeight="1">
      <c r="A3" s="2034" t="s">
        <v>1773</v>
      </c>
      <c r="B3" s="2035">
        <v>43616</v>
      </c>
      <c r="C3" s="2036" t="s">
        <v>1774</v>
      </c>
      <c r="D3" s="2035">
        <f>B3</f>
        <v>43616</v>
      </c>
      <c r="E3" s="2025"/>
      <c r="F3" s="2025"/>
      <c r="G3" s="2025"/>
      <c r="H3" s="2025"/>
      <c r="I3" s="2025"/>
      <c r="J3" s="2025"/>
      <c r="K3" s="2026"/>
      <c r="L3" s="2027"/>
      <c r="M3" s="2027"/>
      <c r="N3" s="2028"/>
      <c r="O3" s="2029"/>
      <c r="P3" s="2028"/>
      <c r="Q3" s="2028"/>
      <c r="R3" s="2028"/>
      <c r="S3" s="2030"/>
    </row>
    <row r="4" spans="1:19" ht="18" customHeight="1" thickBot="1">
      <c r="A4" s="2037" t="s">
        <v>1775</v>
      </c>
      <c r="B4" s="2038" t="s">
        <v>3088</v>
      </c>
      <c r="C4" s="1037">
        <f ca="1">SUMIF(注册房地产估价师,B4,估价师及机构信息!B3:B24)</f>
        <v>1419970001</v>
      </c>
      <c r="D4" s="2038" t="s">
        <v>3089</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951" t="s">
        <v>3090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3091</v>
      </c>
      <c r="C8" s="2054"/>
      <c r="D8" s="3051" t="s">
        <v>1780</v>
      </c>
      <c r="E8" s="2055" t="s">
        <v>3715</v>
      </c>
      <c r="F8" s="2056"/>
      <c r="G8" s="2025"/>
      <c r="H8" s="2025"/>
      <c r="I8" s="2025"/>
      <c r="J8" s="2041"/>
      <c r="K8" s="2042"/>
      <c r="L8" s="2027"/>
      <c r="M8" s="2027"/>
      <c r="N8" s="2028"/>
      <c r="O8" s="2029"/>
      <c r="P8" s="2028"/>
      <c r="Q8" s="2028"/>
      <c r="R8" s="2028"/>
    </row>
    <row r="9" spans="1:19" ht="18" customHeight="1" thickBot="1">
      <c r="A9" s="2039" t="s">
        <v>1781</v>
      </c>
      <c r="B9" s="2057" t="s">
        <v>3715</v>
      </c>
      <c r="C9" s="2058"/>
      <c r="D9" s="3052"/>
      <c r="E9" s="2057" t="s">
        <v>1281</v>
      </c>
      <c r="F9" s="2059"/>
      <c r="G9" s="2060"/>
      <c r="H9" s="2060"/>
      <c r="I9" s="2060"/>
      <c r="J9" s="2041"/>
      <c r="K9" s="2052"/>
      <c r="L9" s="2027"/>
      <c r="M9" s="2027"/>
      <c r="N9" s="2028"/>
      <c r="O9" s="2029"/>
      <c r="P9" s="2028"/>
      <c r="Q9" s="2028"/>
      <c r="R9" s="2028"/>
    </row>
    <row r="10" spans="1:19" ht="18" customHeight="1" thickTop="1">
      <c r="A10" s="2061" t="s">
        <v>1782</v>
      </c>
      <c r="B10" s="2062" t="s">
        <v>3092</v>
      </c>
      <c r="C10" s="2063"/>
      <c r="D10" s="2045"/>
      <c r="E10" s="2064" t="s">
        <v>1783</v>
      </c>
      <c r="F10" s="2065" t="s">
        <v>3093</v>
      </c>
      <c r="G10" s="2066"/>
      <c r="H10" s="2067"/>
      <c r="I10" s="2045"/>
      <c r="J10" s="2041"/>
      <c r="K10" s="2052"/>
      <c r="L10" s="2027"/>
      <c r="M10" s="2027"/>
      <c r="N10" s="2028"/>
      <c r="O10" s="2029"/>
      <c r="P10" s="2028"/>
      <c r="Q10" s="2028"/>
      <c r="R10" s="2028"/>
    </row>
    <row r="11" spans="1:19" ht="18" customHeight="1">
      <c r="A11" s="2068" t="s">
        <v>1784</v>
      </c>
      <c r="B11" s="2069" t="s">
        <v>3094</v>
      </c>
      <c r="C11" s="2070" t="str">
        <f>B5</f>
        <v>北京东方蓝海置业有限责任公司</v>
      </c>
      <c r="D11" s="2071"/>
      <c r="E11" s="2041"/>
      <c r="F11" s="2041"/>
      <c r="G11" s="2041"/>
      <c r="H11" s="2041"/>
      <c r="I11" s="2041"/>
      <c r="J11" s="2041"/>
      <c r="K11" s="2052"/>
      <c r="L11" s="2027"/>
      <c r="M11" s="2027"/>
      <c r="N11" s="2028"/>
      <c r="O11" s="2029"/>
      <c r="P11" s="2028"/>
      <c r="Q11" s="2028"/>
      <c r="R11" s="2028"/>
    </row>
    <row r="12" spans="1:19" ht="18" customHeight="1">
      <c r="A12" s="2072" t="s">
        <v>1785</v>
      </c>
      <c r="B12" s="2069" t="s">
        <v>3095</v>
      </c>
      <c r="C12" s="2073" t="s">
        <v>1786</v>
      </c>
      <c r="D12" s="2074" t="s">
        <v>1787</v>
      </c>
      <c r="E12" s="2074" t="s">
        <v>1788</v>
      </c>
      <c r="F12" s="2074" t="s">
        <v>1789</v>
      </c>
      <c r="G12" s="2074" t="s">
        <v>1790</v>
      </c>
      <c r="H12" s="2074" t="s">
        <v>1791</v>
      </c>
      <c r="I12" s="2074" t="s">
        <v>1792</v>
      </c>
      <c r="J12" s="2041"/>
      <c r="K12" s="2052"/>
      <c r="L12" s="2027"/>
      <c r="M12" s="2027"/>
      <c r="N12" s="2028"/>
      <c r="O12" s="2029"/>
      <c r="P12" s="2028"/>
      <c r="Q12" s="2028"/>
      <c r="R12" s="2028"/>
    </row>
    <row r="13" spans="1:19" ht="18" customHeight="1">
      <c r="A13" s="2075"/>
      <c r="B13" s="2076"/>
      <c r="C13" s="2077" t="s">
        <v>1793</v>
      </c>
      <c r="D13" s="2078">
        <v>67643</v>
      </c>
      <c r="E13" s="2078">
        <v>56685</v>
      </c>
      <c r="F13" s="2078">
        <v>60338</v>
      </c>
      <c r="G13" s="2078">
        <v>60338</v>
      </c>
      <c r="H13" s="2078"/>
      <c r="I13" s="1047"/>
      <c r="J13" s="2041"/>
      <c r="K13" s="2052"/>
      <c r="L13" s="2027"/>
      <c r="M13" s="2027"/>
      <c r="N13" s="2028"/>
      <c r="O13" s="2029"/>
      <c r="P13" s="2028"/>
      <c r="Q13" s="2028"/>
      <c r="R13" s="2028"/>
    </row>
    <row r="14" spans="1:19" ht="18" customHeight="1">
      <c r="A14" s="2075"/>
      <c r="B14" s="2076"/>
      <c r="C14" s="2077" t="s">
        <v>1794</v>
      </c>
      <c r="D14" s="1050">
        <v>70</v>
      </c>
      <c r="E14" s="1050">
        <v>40</v>
      </c>
      <c r="F14" s="1050">
        <v>50</v>
      </c>
      <c r="G14" s="1050">
        <v>50</v>
      </c>
      <c r="H14" s="1050"/>
      <c r="I14" s="1050"/>
      <c r="J14" s="2041"/>
      <c r="K14" s="2079"/>
      <c r="L14" s="2027"/>
      <c r="M14" s="2027"/>
      <c r="N14" s="2028"/>
      <c r="O14" s="2029"/>
      <c r="P14" s="2028"/>
      <c r="Q14" s="2028"/>
      <c r="R14" s="2028"/>
    </row>
    <row r="15" spans="1:19" ht="18" customHeight="1">
      <c r="A15" s="2061"/>
      <c r="B15" s="2080"/>
      <c r="C15" s="2077" t="s">
        <v>1795</v>
      </c>
      <c r="D15" s="1049">
        <f>IF(B12="出让",IF(D13="","",ROUNDDOWN(MIN((D13-$D$3)/365,D14),2)),D14)</f>
        <v>65.819999999999993</v>
      </c>
      <c r="E15" s="1049">
        <f>IF(B12="出让",IF(E13="","",ROUNDDOWN(MIN((E13-$D$3)/365,E14),2)),E14)</f>
        <v>35.799999999999997</v>
      </c>
      <c r="F15" s="1049">
        <f>IF(B12="出让",IF(F13="","",ROUNDDOWN(MIN((F13-$D$3)/365,F14),2)),F14)</f>
        <v>45.81</v>
      </c>
      <c r="G15" s="1049">
        <f>IF(B12="出让",IF(G13="","",ROUNDDOWN(MIN((G13-$D$3)/365,G14),2)),G14)</f>
        <v>45.81</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1796</v>
      </c>
      <c r="B16" s="3058"/>
      <c r="C16" s="3059"/>
      <c r="D16" s="3060"/>
      <c r="E16" s="2084" t="s">
        <v>1797</v>
      </c>
      <c r="F16" s="3061"/>
      <c r="G16" s="3062"/>
      <c r="H16" s="3062"/>
      <c r="I16" s="3063"/>
      <c r="J16" s="2028"/>
      <c r="K16" s="2081"/>
      <c r="L16" s="2082"/>
      <c r="M16" s="2082"/>
      <c r="N16" s="2083"/>
      <c r="O16" s="2082"/>
      <c r="P16" s="2083"/>
      <c r="Q16" s="2028"/>
      <c r="R16" s="2028"/>
    </row>
    <row r="17" spans="1:22" ht="18" customHeight="1">
      <c r="A17" s="2085" t="s">
        <v>1798</v>
      </c>
      <c r="B17" s="2034" t="s">
        <v>1799</v>
      </c>
      <c r="C17" s="1054">
        <f>'数据-汇总表'!E3</f>
        <v>112033.45000000001</v>
      </c>
      <c r="D17" s="2086" t="s">
        <v>1800</v>
      </c>
      <c r="E17" s="3064" t="s">
        <v>1801</v>
      </c>
      <c r="F17" s="3065"/>
      <c r="G17" s="3065"/>
      <c r="H17" s="3065"/>
      <c r="I17" s="3066"/>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20133.75</v>
      </c>
      <c r="D18" s="2089" t="s">
        <v>1800</v>
      </c>
      <c r="E18" s="3067" t="s">
        <v>1804</v>
      </c>
      <c r="F18" s="3068"/>
      <c r="G18" s="3068"/>
      <c r="H18" s="3068"/>
      <c r="I18" s="3069"/>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1808</v>
      </c>
      <c r="B20" s="3054" t="s">
        <v>1809</v>
      </c>
      <c r="C20" s="3055"/>
      <c r="D20" s="3056" t="s">
        <v>1810</v>
      </c>
      <c r="E20" s="3057"/>
      <c r="F20" s="2096" t="s">
        <v>1811</v>
      </c>
      <c r="G20" s="2041"/>
      <c r="H20" s="2041"/>
      <c r="I20" s="2041"/>
      <c r="J20" s="2041"/>
      <c r="K20" s="305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71" t="s">
        <v>1824</v>
      </c>
      <c r="B27" s="2061"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71"/>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71"/>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72"/>
      <c r="B30" s="2034" t="s">
        <v>1828</v>
      </c>
      <c r="C30" s="3073"/>
      <c r="D30" s="3074"/>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75" t="s">
        <v>1829</v>
      </c>
      <c r="B31" s="2125" t="s">
        <v>3103</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76"/>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76"/>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2" t="s">
        <v>3096</v>
      </c>
      <c r="C34" s="2132" t="s">
        <v>3097</v>
      </c>
      <c r="D34" s="2132" t="s">
        <v>3098</v>
      </c>
      <c r="E34" s="2132" t="s">
        <v>3099</v>
      </c>
      <c r="F34" s="2132" t="s">
        <v>3101</v>
      </c>
      <c r="G34" s="2132" t="s">
        <v>3100</v>
      </c>
      <c r="H34" s="2132" t="s">
        <v>3102</v>
      </c>
      <c r="I34" s="2041"/>
      <c r="J34" s="2041"/>
      <c r="K34" s="1794">
        <f>COUNTIF(B34:H34,"——")</f>
        <v>0</v>
      </c>
      <c r="L34" s="2073" t="s">
        <v>1831</v>
      </c>
      <c r="M34" s="2073" t="s">
        <v>1832</v>
      </c>
      <c r="N34" s="2073" t="s">
        <v>1833</v>
      </c>
      <c r="O34" s="2073" t="s">
        <v>1834</v>
      </c>
      <c r="P34" s="2073" t="s">
        <v>1835</v>
      </c>
      <c r="Q34" s="2073" t="s">
        <v>1836</v>
      </c>
      <c r="R34" s="2073" t="s">
        <v>1837</v>
      </c>
      <c r="S34" s="3070" t="s">
        <v>1838</v>
      </c>
      <c r="T34" s="2133" t="str">
        <f>NUMBERSTRING(7-K34,1)&amp;"通"</f>
        <v>七通</v>
      </c>
      <c r="U34" s="2028"/>
      <c r="V34" s="2028"/>
    </row>
    <row r="35" spans="1:22" ht="18" customHeight="1">
      <c r="A35" s="2134"/>
      <c r="B35" s="3077" t="s">
        <v>1839</v>
      </c>
      <c r="C35" s="3077"/>
      <c r="D35" s="3077"/>
      <c r="E35" s="3077"/>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0"/>
      <c r="T35" s="48" t="str">
        <f>IF(T34="一通",L35,IF(T34="二通",M35,IF(T34="三通",N35,IF(T34="四通",O35,IF(T34="五通",P35,IF(T34="六通",Q35,R35))))))</f>
        <v>通路、通电、通讯、通上水、通下水、通热、燃气</v>
      </c>
      <c r="U35" s="2028"/>
      <c r="V35" s="2028"/>
    </row>
    <row r="36" spans="1:22" ht="18" customHeight="1">
      <c r="A36" s="2136"/>
      <c r="B36" s="2135" t="s">
        <v>1840</v>
      </c>
      <c r="C36" s="2135" t="s">
        <v>1841</v>
      </c>
      <c r="D36" s="2135" t="s">
        <v>1842</v>
      </c>
      <c r="E36" s="2135" t="s">
        <v>1843</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1844</v>
      </c>
      <c r="B37" s="2957" t="s">
        <v>526</v>
      </c>
      <c r="C37" s="2957" t="s">
        <v>526</v>
      </c>
      <c r="D37" s="2957" t="s">
        <v>526</v>
      </c>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1845</v>
      </c>
      <c r="B38" s="2141" t="s">
        <v>439</v>
      </c>
      <c r="C38" s="2141" t="s">
        <v>439</v>
      </c>
      <c r="D38" s="2141" t="s">
        <v>439</v>
      </c>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F13" activePane="bottomRight" state="frozen"/>
      <selection activeCell="C50" sqref="C50"/>
      <selection pane="topRight" activeCell="C50" sqref="C50"/>
      <selection pane="bottomLeft" activeCell="C50" sqref="C50"/>
      <selection pane="bottomRight" activeCell="J26" sqref="J26:J28"/>
    </sheetView>
  </sheetViews>
  <sheetFormatPr defaultColWidth="8.88671875" defaultRowHeight="13.8"/>
  <cols>
    <col min="1" max="1" width="10.6640625" style="2158" customWidth="1"/>
    <col min="2" max="2" width="11" style="2158" customWidth="1"/>
    <col min="3" max="3" width="20.109375" style="2158" customWidth="1"/>
    <col min="4" max="4" width="9.109375" style="2158" customWidth="1"/>
    <col min="5" max="6" width="10" style="2221" customWidth="1"/>
    <col min="7" max="7" width="12.33203125" style="2158" customWidth="1"/>
    <col min="8" max="8" width="12" style="2158" customWidth="1"/>
    <col min="9" max="9" width="10.6640625" style="2158" customWidth="1"/>
    <col min="10" max="10" width="9.44140625" style="2158"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hidden="1" customWidth="1"/>
    <col min="32" max="33" width="9.44140625" style="2158" hidden="1" customWidth="1"/>
    <col min="34" max="34" width="9.44140625" style="2158" customWidth="1"/>
    <col min="35" max="35" width="9.44140625" style="2158" hidden="1" customWidth="1"/>
    <col min="36" max="36" width="9.44140625" style="2158" customWidth="1"/>
    <col min="37" max="37" width="9.44140625" style="2158" hidden="1" customWidth="1"/>
    <col min="38" max="38" width="9.44140625" style="2158" customWidth="1"/>
    <col min="39"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项目经济指标表!B25</f>
        <v>23730.99</v>
      </c>
      <c r="B3" s="14">
        <f>IF(C3="否",G5-AT5,G5)</f>
        <v>132050.17999999996</v>
      </c>
      <c r="C3" s="2167" t="s">
        <v>3104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132050.17999999996</v>
      </c>
      <c r="H5" s="16">
        <f t="shared" ref="H5:AT5" si="0">SUM(H13:H656)</f>
        <v>112586.60999999999</v>
      </c>
      <c r="I5" s="16">
        <f t="shared" si="0"/>
        <v>17145.2</v>
      </c>
      <c r="J5" s="16">
        <f t="shared" si="0"/>
        <v>9564.23</v>
      </c>
      <c r="K5" s="16">
        <f t="shared" si="0"/>
        <v>7755.46</v>
      </c>
      <c r="L5" s="16">
        <f t="shared" si="0"/>
        <v>0</v>
      </c>
      <c r="M5" s="16">
        <f t="shared" si="0"/>
        <v>53994.58</v>
      </c>
      <c r="N5" s="16">
        <f t="shared" si="0"/>
        <v>0</v>
      </c>
      <c r="O5" s="16">
        <f t="shared" si="0"/>
        <v>2994.6</v>
      </c>
      <c r="P5" s="16">
        <f t="shared" si="0"/>
        <v>0</v>
      </c>
      <c r="Q5" s="16">
        <f t="shared" si="0"/>
        <v>12769.119999999999</v>
      </c>
      <c r="R5" s="16">
        <f t="shared" si="0"/>
        <v>0</v>
      </c>
      <c r="S5" s="16">
        <f t="shared" si="0"/>
        <v>17927.650000000001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9011.07</v>
      </c>
      <c r="AD5" s="16">
        <f t="shared" si="0"/>
        <v>7504.2800000000007</v>
      </c>
      <c r="AE5" s="16">
        <f t="shared" si="0"/>
        <v>0</v>
      </c>
      <c r="AF5" s="16">
        <f t="shared" si="0"/>
        <v>0</v>
      </c>
      <c r="AG5" s="16">
        <f t="shared" si="0"/>
        <v>0</v>
      </c>
      <c r="AH5" s="16">
        <f t="shared" si="0"/>
        <v>101.72</v>
      </c>
      <c r="AI5" s="16">
        <f t="shared" si="0"/>
        <v>0</v>
      </c>
      <c r="AJ5" s="16">
        <f t="shared" si="0"/>
        <v>55.46</v>
      </c>
      <c r="AK5" s="16">
        <f t="shared" si="0"/>
        <v>0</v>
      </c>
      <c r="AL5" s="16">
        <f t="shared" si="0"/>
        <v>277</v>
      </c>
      <c r="AM5" s="16">
        <f t="shared" si="0"/>
        <v>0</v>
      </c>
      <c r="AN5" s="16">
        <f t="shared" si="0"/>
        <v>1072.6099999999999</v>
      </c>
      <c r="AO5" s="16">
        <f t="shared" si="0"/>
        <v>0</v>
      </c>
      <c r="AP5" s="16">
        <f t="shared" si="0"/>
        <v>0</v>
      </c>
      <c r="AQ5" s="16">
        <f t="shared" si="0"/>
        <v>0</v>
      </c>
      <c r="AR5" s="16">
        <f t="shared" si="0"/>
        <v>0</v>
      </c>
      <c r="AS5" s="16">
        <f t="shared" si="0"/>
        <v>0</v>
      </c>
      <c r="AT5" s="16">
        <f t="shared" si="0"/>
        <v>10452.5</v>
      </c>
      <c r="AU5" s="1801"/>
      <c r="AV5" s="15" t="s">
        <v>1874</v>
      </c>
      <c r="AW5" s="1802"/>
      <c r="AX5" s="1802"/>
      <c r="AY5" s="17" t="s">
        <v>3</v>
      </c>
      <c r="AZ5" s="18">
        <f t="shared" ref="AZ5:BT5" si="1">SUM(AZ13:AZ656)</f>
        <v>112033.45000000001</v>
      </c>
      <c r="BA5" s="18">
        <f t="shared" si="1"/>
        <v>103022.37999999999</v>
      </c>
      <c r="BB5" s="18">
        <f t="shared" si="1"/>
        <v>7580.97</v>
      </c>
      <c r="BC5" s="18">
        <f t="shared" si="1"/>
        <v>7755.46</v>
      </c>
      <c r="BD5" s="18">
        <f t="shared" si="1"/>
        <v>53994.58</v>
      </c>
      <c r="BE5" s="18">
        <f t="shared" si="1"/>
        <v>2994.6</v>
      </c>
      <c r="BF5" s="18">
        <f t="shared" si="1"/>
        <v>12769.119999999999</v>
      </c>
      <c r="BG5" s="18">
        <f t="shared" si="1"/>
        <v>17927.650000000001</v>
      </c>
      <c r="BH5" s="18">
        <f t="shared" si="1"/>
        <v>0</v>
      </c>
      <c r="BI5" s="18">
        <f t="shared" si="1"/>
        <v>0</v>
      </c>
      <c r="BJ5" s="18">
        <f t="shared" si="1"/>
        <v>0</v>
      </c>
      <c r="BK5" s="18">
        <f t="shared" si="1"/>
        <v>0</v>
      </c>
      <c r="BL5" s="18">
        <f t="shared" si="1"/>
        <v>9011.07</v>
      </c>
      <c r="BM5" s="18">
        <f t="shared" si="1"/>
        <v>7504.2800000000007</v>
      </c>
      <c r="BN5" s="18">
        <f t="shared" si="1"/>
        <v>0</v>
      </c>
      <c r="BO5" s="18">
        <f t="shared" si="1"/>
        <v>101.72</v>
      </c>
      <c r="BP5" s="18">
        <f t="shared" si="1"/>
        <v>55.46</v>
      </c>
      <c r="BQ5" s="18">
        <f t="shared" si="1"/>
        <v>277</v>
      </c>
      <c r="BR5" s="18">
        <f t="shared" si="1"/>
        <v>1072.6099999999999</v>
      </c>
      <c r="BS5" s="18">
        <f t="shared" si="1"/>
        <v>0</v>
      </c>
      <c r="BT5" s="19">
        <f t="shared" si="1"/>
        <v>0</v>
      </c>
    </row>
    <row r="6" spans="1:72" s="2176" customFormat="1" ht="13.2">
      <c r="A6" s="15" t="s">
        <v>1875</v>
      </c>
      <c r="B6" s="2173"/>
      <c r="C6" s="2173"/>
      <c r="D6" s="2174"/>
      <c r="E6" s="16">
        <f>H6+AC6+AT6</f>
        <v>23731</v>
      </c>
      <c r="F6" s="16" t="s">
        <v>1</v>
      </c>
      <c r="G6" s="16" t="s">
        <v>2</v>
      </c>
      <c r="H6" s="20">
        <f>SUMIF(I$12:AB$12,"总值",I6:AB6)</f>
        <v>20233.16</v>
      </c>
      <c r="I6" s="16">
        <f t="shared" ref="I6:AB6" si="2">ROUND($A$3*I5/$B$3,2)</f>
        <v>3081.2</v>
      </c>
      <c r="J6" s="16">
        <f t="shared" si="2"/>
        <v>1718.81</v>
      </c>
      <c r="K6" s="16">
        <f t="shared" si="2"/>
        <v>1393.75</v>
      </c>
      <c r="L6" s="16">
        <f t="shared" si="2"/>
        <v>0</v>
      </c>
      <c r="M6" s="16">
        <f t="shared" si="2"/>
        <v>9703.4699999999993</v>
      </c>
      <c r="N6" s="16">
        <f t="shared" si="2"/>
        <v>0</v>
      </c>
      <c r="O6" s="16">
        <f t="shared" si="2"/>
        <v>538.16999999999996</v>
      </c>
      <c r="P6" s="16">
        <f t="shared" si="2"/>
        <v>0</v>
      </c>
      <c r="Q6" s="16">
        <f t="shared" si="2"/>
        <v>2294.7600000000002</v>
      </c>
      <c r="R6" s="16">
        <f t="shared" si="2"/>
        <v>0</v>
      </c>
      <c r="S6" s="16">
        <f t="shared" si="2"/>
        <v>3221.81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1619.3999999999999</v>
      </c>
      <c r="AD6" s="16">
        <f t="shared" ref="AD6:AS6" si="3">ROUND($A$3*AD5/$B$3,2)</f>
        <v>1348.61</v>
      </c>
      <c r="AE6" s="16">
        <f t="shared" si="3"/>
        <v>0</v>
      </c>
      <c r="AF6" s="16">
        <f t="shared" si="3"/>
        <v>0</v>
      </c>
      <c r="AG6" s="16">
        <f t="shared" si="3"/>
        <v>0</v>
      </c>
      <c r="AH6" s="16">
        <f t="shared" si="3"/>
        <v>18.28</v>
      </c>
      <c r="AI6" s="16">
        <f t="shared" si="3"/>
        <v>0</v>
      </c>
      <c r="AJ6" s="16">
        <f t="shared" si="3"/>
        <v>9.9700000000000006</v>
      </c>
      <c r="AK6" s="16">
        <f t="shared" si="3"/>
        <v>0</v>
      </c>
      <c r="AL6" s="16">
        <f t="shared" si="3"/>
        <v>49.78</v>
      </c>
      <c r="AM6" s="16">
        <f t="shared" si="3"/>
        <v>0</v>
      </c>
      <c r="AN6" s="16">
        <f t="shared" si="3"/>
        <v>192.76</v>
      </c>
      <c r="AO6" s="16">
        <f t="shared" si="3"/>
        <v>0</v>
      </c>
      <c r="AP6" s="16">
        <f t="shared" si="3"/>
        <v>0</v>
      </c>
      <c r="AQ6" s="16">
        <f t="shared" si="3"/>
        <v>0</v>
      </c>
      <c r="AR6" s="16">
        <f t="shared" si="3"/>
        <v>0</v>
      </c>
      <c r="AS6" s="16">
        <f t="shared" si="3"/>
        <v>0</v>
      </c>
      <c r="AT6" s="20">
        <f>IF(C3="是",ROUND($A$3*AT5/$B$3,2),0)</f>
        <v>1878.44</v>
      </c>
      <c r="AU6" s="2175"/>
      <c r="AV6" s="15" t="s">
        <v>1875</v>
      </c>
      <c r="AW6" s="2173"/>
      <c r="AX6" s="2173"/>
      <c r="AY6" s="21">
        <f>IF(AY3&gt;0,AY3,ROUND($A$3*AZ5/$B$3,2))</f>
        <v>20133.75</v>
      </c>
      <c r="AZ6" s="16" t="s">
        <v>3</v>
      </c>
      <c r="BA6" s="16">
        <f>ROUND($AY$6*BA5/$AZ$5,2)</f>
        <v>18514.349999999999</v>
      </c>
      <c r="BB6" s="16">
        <f>ROUND($AY$6*BB5/$AZ$5,2)</f>
        <v>1362.39</v>
      </c>
      <c r="BC6" s="16">
        <f t="shared" ref="BC6:BH6" si="4">ROUND($AY$6*BC5/$AZ$5,2)</f>
        <v>1393.75</v>
      </c>
      <c r="BD6" s="16">
        <f t="shared" si="4"/>
        <v>9703.4699999999993</v>
      </c>
      <c r="BE6" s="16">
        <f t="shared" si="4"/>
        <v>538.16999999999996</v>
      </c>
      <c r="BF6" s="16">
        <f t="shared" si="4"/>
        <v>2294.7600000000002</v>
      </c>
      <c r="BG6" s="16">
        <f t="shared" si="4"/>
        <v>3221.81</v>
      </c>
      <c r="BH6" s="16">
        <f t="shared" si="4"/>
        <v>0</v>
      </c>
      <c r="BI6" s="16">
        <f t="shared" ref="BI6:BT6" si="5">ROUND($AY$6*BI5/$AZ$5,2)</f>
        <v>0</v>
      </c>
      <c r="BJ6" s="16">
        <f t="shared" si="5"/>
        <v>0</v>
      </c>
      <c r="BK6" s="16">
        <f t="shared" si="5"/>
        <v>0</v>
      </c>
      <c r="BL6" s="16">
        <f t="shared" si="5"/>
        <v>1619.4</v>
      </c>
      <c r="BM6" s="16">
        <f t="shared" si="5"/>
        <v>1348.61</v>
      </c>
      <c r="BN6" s="16">
        <f t="shared" si="5"/>
        <v>0</v>
      </c>
      <c r="BO6" s="16">
        <f t="shared" si="5"/>
        <v>18.28</v>
      </c>
      <c r="BP6" s="16">
        <f t="shared" si="5"/>
        <v>9.9700000000000006</v>
      </c>
      <c r="BQ6" s="16">
        <f t="shared" si="5"/>
        <v>49.78</v>
      </c>
      <c r="BR6" s="16">
        <f t="shared" si="5"/>
        <v>192.76</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3105</v>
      </c>
      <c r="J9" s="981"/>
      <c r="K9" s="2190" t="s">
        <v>3105</v>
      </c>
      <c r="L9" s="981"/>
      <c r="M9" s="2190" t="s">
        <v>3105</v>
      </c>
      <c r="N9" s="981"/>
      <c r="O9" s="2190" t="s">
        <v>3105</v>
      </c>
      <c r="P9" s="981"/>
      <c r="Q9" s="2190" t="s">
        <v>3112</v>
      </c>
      <c r="R9" s="981"/>
      <c r="S9" s="2190" t="s">
        <v>3112</v>
      </c>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3055</v>
      </c>
      <c r="J10" s="981"/>
      <c r="K10" s="2196" t="s">
        <v>3055</v>
      </c>
      <c r="L10" s="981"/>
      <c r="M10" s="2196" t="s">
        <v>27</v>
      </c>
      <c r="N10" s="981"/>
      <c r="O10" s="2196" t="s">
        <v>1373</v>
      </c>
      <c r="P10" s="981"/>
      <c r="Q10" s="2196" t="s">
        <v>1373</v>
      </c>
      <c r="R10" s="981"/>
      <c r="S10" s="2196" t="s">
        <v>3113</v>
      </c>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3106</v>
      </c>
      <c r="J11" s="2202"/>
      <c r="K11" s="2201" t="s">
        <v>3108</v>
      </c>
      <c r="L11" s="2202"/>
      <c r="M11" s="2201" t="s">
        <v>3110</v>
      </c>
      <c r="N11" s="2202"/>
      <c r="O11" s="2201" t="s">
        <v>3111</v>
      </c>
      <c r="P11" s="2202"/>
      <c r="Q11" s="2201" t="s">
        <v>3111</v>
      </c>
      <c r="R11" s="2202"/>
      <c r="S11" s="2201" t="s">
        <v>3113</v>
      </c>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办公</v>
      </c>
      <c r="BE11" s="2186" t="str">
        <f>O10</f>
        <v>商业</v>
      </c>
      <c r="BF11" s="2186" t="str">
        <f>Q10</f>
        <v>商业</v>
      </c>
      <c r="BG11" s="2186" t="str">
        <f>S10</f>
        <v>车库</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小高层</v>
      </c>
      <c r="BC12" s="2211" t="str">
        <f>K11</f>
        <v>公租房</v>
      </c>
      <c r="BD12" s="2211" t="str">
        <f>M11</f>
        <v>办公楼</v>
      </c>
      <c r="BE12" s="2186" t="str">
        <f>O11</f>
        <v>底商</v>
      </c>
      <c r="BF12" s="2186" t="str">
        <f>Q11</f>
        <v>底商</v>
      </c>
      <c r="BG12" s="2186" t="str">
        <f>S11</f>
        <v>车库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2994" t="s">
        <v>3676</v>
      </c>
      <c r="D13" s="2212" t="s">
        <v>3104</v>
      </c>
      <c r="E13" s="16">
        <f>IF($C$3="是",ROUND($A$3*G13/$B$3,2),ROUND($A$3*(G13-AT13)/$B$3,2))</f>
        <v>1324.56</v>
      </c>
      <c r="F13" s="32"/>
      <c r="G13" s="33">
        <f>H13+AC13+AT13</f>
        <v>7370.47</v>
      </c>
      <c r="H13" s="20">
        <f>SUMIF(I$12:AB$12,"总值",I13:AB13)</f>
        <v>7370.47</v>
      </c>
      <c r="I13" s="2213"/>
      <c r="J13" s="2213"/>
      <c r="K13" s="2213"/>
      <c r="L13" s="2213"/>
      <c r="M13" s="2213">
        <v>7021.83</v>
      </c>
      <c r="N13" s="2213"/>
      <c r="O13" s="2213">
        <v>348.64</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1#办公楼</v>
      </c>
      <c r="AY13" s="1805">
        <f>ROUND($AY$6*AZ13/$AZ$5,2)</f>
        <v>1324.56</v>
      </c>
      <c r="AZ13" s="16">
        <f>BA13+BL13</f>
        <v>7370.47</v>
      </c>
      <c r="BA13" s="16">
        <f>SUM(BB13:BK13)</f>
        <v>7370.47</v>
      </c>
      <c r="BB13" s="16">
        <f>IF($D13="是",I13-J13,0)</f>
        <v>0</v>
      </c>
      <c r="BC13" s="16">
        <f>IF($D13="是",K13-L13,0)</f>
        <v>0</v>
      </c>
      <c r="BD13" s="16">
        <f>IF($D13="是",M13-N13,0)</f>
        <v>7021.83</v>
      </c>
      <c r="BE13" s="16">
        <f>IF($D13="是",O13-P13,0)</f>
        <v>348.64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94" t="s">
        <v>3677</v>
      </c>
      <c r="D14" s="2212" t="s">
        <v>3104</v>
      </c>
      <c r="E14" s="16">
        <f>IF($C$3="是",ROUND($A$3*G14/$B$3,2),ROUND($A$3*(G14-AT14)/$B$3,2))</f>
        <v>2893.22</v>
      </c>
      <c r="F14" s="32"/>
      <c r="G14" s="33">
        <f>H14+AC14+AT14</f>
        <v>16099.210000000001</v>
      </c>
      <c r="H14" s="20">
        <f>SUMIF(I$12:AB$12,"总值",I14:AB14)</f>
        <v>16099.210000000001</v>
      </c>
      <c r="I14" s="2213"/>
      <c r="J14" s="2213"/>
      <c r="K14" s="2213"/>
      <c r="L14" s="2213"/>
      <c r="M14" s="2213">
        <v>15353.03</v>
      </c>
      <c r="N14" s="2213"/>
      <c r="O14" s="2213">
        <v>746.18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2#办公楼</v>
      </c>
      <c r="AY14" s="1805">
        <f>ROUND($AY$6*AZ14/$AZ$5,2)</f>
        <v>2893.22</v>
      </c>
      <c r="AZ14" s="16">
        <f>BA14+BL14</f>
        <v>16099.210000000001</v>
      </c>
      <c r="BA14" s="16">
        <f>SUM(BB14:BK14)</f>
        <v>16099.210000000001</v>
      </c>
      <c r="BB14" s="16">
        <f>IF($D14="是",I14-J14,0)</f>
        <v>0</v>
      </c>
      <c r="BC14" s="16">
        <f>IF($D14="是",K14-L14,0)</f>
        <v>0</v>
      </c>
      <c r="BD14" s="16">
        <f>IF($D14="是",M14-N14,0)</f>
        <v>15353.03</v>
      </c>
      <c r="BE14" s="16">
        <f>IF($D14="是",O14-P14,0)</f>
        <v>746.18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5" customHeight="1">
      <c r="A15" s="1272"/>
      <c r="B15" s="1272"/>
      <c r="C15" s="2994" t="s">
        <v>3678</v>
      </c>
      <c r="D15" s="2212" t="s">
        <v>3104</v>
      </c>
      <c r="E15" s="16">
        <f>IF($C$3="是",ROUND($A$3*G15/$B$3,2),ROUND($A$3*(G15-AT15)/$B$3,2))</f>
        <v>1449.29</v>
      </c>
      <c r="F15" s="32"/>
      <c r="G15" s="33">
        <f>H15+AC15+AT15</f>
        <v>8064.53</v>
      </c>
      <c r="H15" s="20">
        <f>SUMIF(I$12:AB$12,"总值",I15:AB15)</f>
        <v>8064.53</v>
      </c>
      <c r="I15" s="2213"/>
      <c r="J15" s="2213"/>
      <c r="K15" s="2213">
        <v>7755.46</v>
      </c>
      <c r="L15" s="2213"/>
      <c r="M15" s="2213"/>
      <c r="N15" s="2213"/>
      <c r="O15" s="2213">
        <v>309.07</v>
      </c>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3#楼人才公共租赁住房</v>
      </c>
      <c r="AY15" s="1805">
        <f>ROUND($AY$6*AZ15/$AZ$5,2)</f>
        <v>1449.29</v>
      </c>
      <c r="AZ15" s="16">
        <f>BA15+BL15</f>
        <v>8064.53</v>
      </c>
      <c r="BA15" s="16">
        <f>SUM(BB15:BK15)</f>
        <v>8064.53</v>
      </c>
      <c r="BB15" s="16">
        <f>IF($D15="是",I15-J15,0)</f>
        <v>0</v>
      </c>
      <c r="BC15" s="16">
        <f>IF($D15="是",K15-L15,0)</f>
        <v>7755.46</v>
      </c>
      <c r="BD15" s="16">
        <f>IF($D15="是",M15-N15,0)</f>
        <v>0</v>
      </c>
      <c r="BE15" s="16">
        <f>IF($D15="是",O15-P15,0)</f>
        <v>309.07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994" t="s">
        <v>3679</v>
      </c>
      <c r="D16" s="2212" t="s">
        <v>3104</v>
      </c>
      <c r="E16" s="16">
        <f>IF($C$3="是",ROUND($A$3*G16/$B$3,2),ROUND($A$3*(G16-AT16)/$B$3,2))</f>
        <v>505.2</v>
      </c>
      <c r="F16" s="32"/>
      <c r="G16" s="33">
        <f>H16+AC16+AT16</f>
        <v>2811.1699999999996</v>
      </c>
      <c r="H16" s="20">
        <f>SUMIF(I$12:AB$12,"总值",I16:AB16)</f>
        <v>2709.45</v>
      </c>
      <c r="I16" s="2213">
        <v>2693.22</v>
      </c>
      <c r="J16" s="2213">
        <v>244.88</v>
      </c>
      <c r="K16" s="2213"/>
      <c r="L16" s="2213"/>
      <c r="M16" s="2213"/>
      <c r="N16" s="2213"/>
      <c r="O16" s="2213">
        <v>16.23</v>
      </c>
      <c r="P16" s="2213"/>
      <c r="Q16" s="2213"/>
      <c r="R16" s="2213"/>
      <c r="S16" s="2213"/>
      <c r="T16" s="2213"/>
      <c r="U16" s="2213"/>
      <c r="V16" s="2213"/>
      <c r="W16" s="2213"/>
      <c r="X16" s="2213"/>
      <c r="Y16" s="2213"/>
      <c r="Z16" s="2213"/>
      <c r="AA16" s="2213"/>
      <c r="AB16" s="2213"/>
      <c r="AC16" s="16">
        <f>SUMIF(AD$12:AS$12,"总值",AD16:AS16)</f>
        <v>101.72</v>
      </c>
      <c r="AD16" s="2214"/>
      <c r="AE16" s="2214"/>
      <c r="AF16" s="2214"/>
      <c r="AG16" s="2214"/>
      <c r="AH16" s="2214">
        <v>101.72</v>
      </c>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4#住宅楼</v>
      </c>
      <c r="AY16" s="1805">
        <f>ROUND($AY$6*AZ16/$AZ$5,2)</f>
        <v>461.19</v>
      </c>
      <c r="AZ16" s="16">
        <f>BA16+BL16</f>
        <v>2566.2899999999995</v>
      </c>
      <c r="BA16" s="16">
        <f>SUM(BB16:BK16)</f>
        <v>2464.5699999999997</v>
      </c>
      <c r="BB16" s="16">
        <f>IF($D16="是",I16-J16,0)</f>
        <v>2448.3399999999997</v>
      </c>
      <c r="BC16" s="16">
        <f>IF($D16="是",K16-L16,0)</f>
        <v>0</v>
      </c>
      <c r="BD16" s="16">
        <f>IF($D16="是",M16-N16,0)</f>
        <v>0</v>
      </c>
      <c r="BE16" s="16">
        <f>IF($D16="是",O16-P16,0)</f>
        <v>16.23</v>
      </c>
      <c r="BF16" s="16">
        <f>IF($D16="是",Q16-R16,0)</f>
        <v>0</v>
      </c>
      <c r="BG16" s="16">
        <f>IF($D16="是",S16-T16,0)</f>
        <v>0</v>
      </c>
      <c r="BH16" s="16">
        <f>IF($D16="是",U16-V16,0)</f>
        <v>0</v>
      </c>
      <c r="BI16" s="16">
        <f>IF($D16="是",W16-X16,0)</f>
        <v>0</v>
      </c>
      <c r="BJ16" s="16">
        <f>IF($D16="是",Y16-Z16,0)</f>
        <v>0</v>
      </c>
      <c r="BK16" s="16">
        <f>IF($D16="是",AA16-AB16,0)</f>
        <v>0</v>
      </c>
      <c r="BL16" s="16">
        <f>SUM(BM16:BT16)</f>
        <v>101.72</v>
      </c>
      <c r="BM16" s="16">
        <f>IF($D16="是",AD16-AE16,0)</f>
        <v>0</v>
      </c>
      <c r="BN16" s="16">
        <f>IF($D16="是",AF16-AG16,0)</f>
        <v>0</v>
      </c>
      <c r="BO16" s="16">
        <f>IF($D16="是",AH16-AI16,0)</f>
        <v>101.72</v>
      </c>
      <c r="BP16" s="16">
        <f>IF($D16="是",AJ16-AK16,0)</f>
        <v>0</v>
      </c>
      <c r="BQ16" s="16">
        <f>IF($D16="是",AL16-AM16,0)</f>
        <v>0</v>
      </c>
      <c r="BR16" s="16">
        <f>IF($D16="是",AN16-AO16,0)</f>
        <v>0</v>
      </c>
      <c r="BS16" s="16">
        <f>IF($D16="是",AP16-AQ16,0)</f>
        <v>0</v>
      </c>
      <c r="BT16" s="22">
        <f>IF($D16="是",AR16-AS16,0)</f>
        <v>0</v>
      </c>
    </row>
    <row r="17" spans="1:72" s="2166" customFormat="1" ht="13.2">
      <c r="A17" s="1272"/>
      <c r="B17" s="1272"/>
      <c r="C17" s="2994" t="s">
        <v>3680</v>
      </c>
      <c r="D17" s="2212" t="s">
        <v>3104</v>
      </c>
      <c r="E17" s="16">
        <f>IF($C$3="是",ROUND($A$3*G17/$B$3,2),ROUND($A$3*(G17-AT17)/$B$3,2))</f>
        <v>3008.85</v>
      </c>
      <c r="F17" s="32"/>
      <c r="G17" s="33">
        <f>H17+AC17+AT17</f>
        <v>16742.650000000001</v>
      </c>
      <c r="H17" s="20">
        <f>SUMIF(I$12:AB$12,"总值",I17:AB17)</f>
        <v>16533.240000000002</v>
      </c>
      <c r="I17" s="2213"/>
      <c r="J17" s="2213"/>
      <c r="K17" s="2213"/>
      <c r="L17" s="2213"/>
      <c r="M17" s="2213">
        <v>15926.17</v>
      </c>
      <c r="N17" s="2213"/>
      <c r="O17" s="2213">
        <v>607.07000000000005</v>
      </c>
      <c r="P17" s="2213"/>
      <c r="Q17" s="2213"/>
      <c r="R17" s="2213"/>
      <c r="S17" s="2213"/>
      <c r="T17" s="2213"/>
      <c r="U17" s="2213"/>
      <c r="V17" s="2213"/>
      <c r="W17" s="2213"/>
      <c r="X17" s="2213"/>
      <c r="Y17" s="2213"/>
      <c r="Z17" s="2213"/>
      <c r="AA17" s="2213"/>
      <c r="AB17" s="2213"/>
      <c r="AC17" s="16">
        <f>SUMIF(AD$12:AS$12,"总值",AD17:AS17)</f>
        <v>209.41</v>
      </c>
      <c r="AD17" s="2214"/>
      <c r="AE17" s="2214"/>
      <c r="AF17" s="2214"/>
      <c r="AG17" s="2214"/>
      <c r="AH17" s="2214"/>
      <c r="AI17" s="2214"/>
      <c r="AJ17" s="2214"/>
      <c r="AK17" s="2214"/>
      <c r="AL17" s="2214">
        <v>209.41</v>
      </c>
      <c r="AM17" s="2214"/>
      <c r="AN17" s="2214"/>
      <c r="AO17" s="2214"/>
      <c r="AP17" s="2214"/>
      <c r="AQ17" s="2214"/>
      <c r="AR17" s="2214"/>
      <c r="AS17" s="2214"/>
      <c r="AT17" s="2215"/>
      <c r="AU17" s="2216"/>
      <c r="AV17" s="11">
        <f t="shared" si="6"/>
        <v>0</v>
      </c>
      <c r="AW17" s="11">
        <f t="shared" si="6"/>
        <v>0</v>
      </c>
      <c r="AX17" s="11" t="str">
        <f t="shared" si="6"/>
        <v>5#办公楼</v>
      </c>
      <c r="AY17" s="1805">
        <f>ROUND($AY$6*AZ17/$AZ$5,2)</f>
        <v>3008.85</v>
      </c>
      <c r="AZ17" s="16">
        <f>BA17+BL17</f>
        <v>16742.650000000001</v>
      </c>
      <c r="BA17" s="16">
        <f>SUM(BB17:BK17)</f>
        <v>16533.240000000002</v>
      </c>
      <c r="BB17" s="16">
        <f>IF($D17="是",I17-J17,0)</f>
        <v>0</v>
      </c>
      <c r="BC17" s="16">
        <f>IF($D17="是",K17-L17,0)</f>
        <v>0</v>
      </c>
      <c r="BD17" s="16">
        <f>IF($D17="是",M17-N17,0)</f>
        <v>15926.17</v>
      </c>
      <c r="BE17" s="16">
        <f>IF($D17="是",O17-P17,0)</f>
        <v>607.07000000000005</v>
      </c>
      <c r="BF17" s="16">
        <f>IF($D17="是",Q17-R17,0)</f>
        <v>0</v>
      </c>
      <c r="BG17" s="16">
        <f>IF($D17="是",S17-T17,0)</f>
        <v>0</v>
      </c>
      <c r="BH17" s="16">
        <f>IF($D17="是",U17-V17,0)</f>
        <v>0</v>
      </c>
      <c r="BI17" s="16">
        <f>IF($D17="是",W17-X17,0)</f>
        <v>0</v>
      </c>
      <c r="BJ17" s="16">
        <f>IF($D17="是",Y17-Z17,0)</f>
        <v>0</v>
      </c>
      <c r="BK17" s="16">
        <f>IF($D17="是",AA17-AB17,0)</f>
        <v>0</v>
      </c>
      <c r="BL17" s="16">
        <f>SUM(BM17:BT17)</f>
        <v>209.41</v>
      </c>
      <c r="BM17" s="16">
        <f>IF($D17="是",AD17-AE17,0)</f>
        <v>0</v>
      </c>
      <c r="BN17" s="16">
        <f>IF($D17="是",AF17-AG17,0)</f>
        <v>0</v>
      </c>
      <c r="BO17" s="16">
        <f>IF($D17="是",AH17-AI17,0)</f>
        <v>0</v>
      </c>
      <c r="BP17" s="16">
        <f>IF($D17="是",AJ17-AK17,0)</f>
        <v>0</v>
      </c>
      <c r="BQ17" s="16">
        <f>IF($D17="是",AL17-AM17,0)</f>
        <v>209.41</v>
      </c>
      <c r="BR17" s="16">
        <f>IF($D17="是",AN17-AO17,0)</f>
        <v>0</v>
      </c>
      <c r="BS17" s="16">
        <f>IF($D17="是",AP17-AQ17,0)</f>
        <v>0</v>
      </c>
      <c r="BT17" s="22">
        <f>IF($D17="是",AR17-AS17,0)</f>
        <v>0</v>
      </c>
    </row>
    <row r="18" spans="1:72">
      <c r="A18" s="9"/>
      <c r="B18" s="34"/>
      <c r="C18" s="2994" t="s">
        <v>3681</v>
      </c>
      <c r="D18" s="2212" t="s">
        <v>3104</v>
      </c>
      <c r="E18" s="35">
        <f t="shared" ref="E18:E112" si="7">IF($C$3="是",ROUND($A$3*G18/$B$3,2),ROUND($A$3*(G18-AT18)/$B$3,2))</f>
        <v>1295.23</v>
      </c>
      <c r="F18" s="36"/>
      <c r="G18" s="37">
        <f t="shared" ref="G18:G109" si="8">H18+AC18+AT18</f>
        <v>7207.28</v>
      </c>
      <c r="H18" s="38">
        <f t="shared" ref="H18:H109" si="9">SUMIF(I$12:AB$12,"总值",I18:AB18)</f>
        <v>7178.55</v>
      </c>
      <c r="I18" s="2213">
        <v>7178.55</v>
      </c>
      <c r="J18" s="2213">
        <v>3451.97</v>
      </c>
      <c r="K18" s="39"/>
      <c r="L18" s="39"/>
      <c r="M18" s="2213"/>
      <c r="N18" s="39"/>
      <c r="O18" s="2213"/>
      <c r="P18" s="39"/>
      <c r="Q18" s="2213"/>
      <c r="R18" s="39"/>
      <c r="S18" s="2213"/>
      <c r="T18" s="39"/>
      <c r="U18" s="39"/>
      <c r="V18" s="39"/>
      <c r="W18" s="39"/>
      <c r="X18" s="39"/>
      <c r="Y18" s="39"/>
      <c r="Z18" s="39"/>
      <c r="AA18" s="39"/>
      <c r="AB18" s="39"/>
      <c r="AC18" s="35">
        <f t="shared" ref="AC18:AC109" si="10">SUMIF(AD$12:AS$12,"总值",AD18:AS18)</f>
        <v>0</v>
      </c>
      <c r="AD18" s="2214"/>
      <c r="AE18" s="40"/>
      <c r="AF18" s="40"/>
      <c r="AG18" s="40"/>
      <c r="AH18" s="2214"/>
      <c r="AI18" s="40"/>
      <c r="AJ18" s="40"/>
      <c r="AK18" s="40"/>
      <c r="AL18" s="2214"/>
      <c r="AM18" s="40"/>
      <c r="AN18" s="2214"/>
      <c r="AO18" s="40"/>
      <c r="AP18" s="40"/>
      <c r="AQ18" s="40"/>
      <c r="AR18" s="40"/>
      <c r="AS18" s="40"/>
      <c r="AT18" s="2215">
        <v>28.73</v>
      </c>
      <c r="AU18" s="2218"/>
      <c r="AV18" s="1794">
        <f t="shared" ref="AV18:AV112" si="11">A18</f>
        <v>0</v>
      </c>
      <c r="AW18" s="1794">
        <f t="shared" ref="AW18:AW112" si="12">B18</f>
        <v>0</v>
      </c>
      <c r="AX18" s="1794" t="str">
        <f t="shared" ref="AX18:AX112" si="13">C18</f>
        <v>6#住宅楼</v>
      </c>
      <c r="AY18" s="42">
        <f t="shared" ref="AY18:AY109" si="14">ROUND($AY$6*AZ18/$AZ$5,2)</f>
        <v>669.71</v>
      </c>
      <c r="AZ18" s="35">
        <f t="shared" ref="AZ18:AZ109" si="15">BA18+BL18</f>
        <v>3726.5800000000004</v>
      </c>
      <c r="BA18" s="35">
        <f t="shared" ref="BA18:BA109" si="16">SUM(BB18:BK18)</f>
        <v>3726.5800000000004</v>
      </c>
      <c r="BB18" s="35">
        <f t="shared" ref="BB18:BB109" si="17">IF($D18="是",I18-J18,0)</f>
        <v>3726.5800000000004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4" t="s">
        <v>3682</v>
      </c>
      <c r="D19" s="2212" t="s">
        <v>3104</v>
      </c>
      <c r="E19" s="35">
        <f t="shared" si="7"/>
        <v>2994.17</v>
      </c>
      <c r="F19" s="36"/>
      <c r="G19" s="37">
        <f t="shared" si="8"/>
        <v>16660.96</v>
      </c>
      <c r="H19" s="38">
        <f t="shared" si="9"/>
        <v>16660.96</v>
      </c>
      <c r="I19" s="2213"/>
      <c r="J19" s="2213"/>
      <c r="K19" s="39"/>
      <c r="L19" s="39"/>
      <c r="M19" s="2213">
        <v>15693.55</v>
      </c>
      <c r="N19" s="39"/>
      <c r="O19" s="2213">
        <v>967.41</v>
      </c>
      <c r="P19" s="39"/>
      <c r="Q19" s="2213"/>
      <c r="R19" s="39"/>
      <c r="S19" s="2213"/>
      <c r="T19" s="39"/>
      <c r="U19" s="39"/>
      <c r="V19" s="39"/>
      <c r="W19" s="39"/>
      <c r="X19" s="39"/>
      <c r="Y19" s="39"/>
      <c r="Z19" s="39"/>
      <c r="AA19" s="39"/>
      <c r="AB19" s="39"/>
      <c r="AC19" s="35">
        <f t="shared" si="10"/>
        <v>0</v>
      </c>
      <c r="AD19" s="2214"/>
      <c r="AE19" s="40"/>
      <c r="AF19" s="40"/>
      <c r="AG19" s="40"/>
      <c r="AH19" s="2214"/>
      <c r="AI19" s="40"/>
      <c r="AJ19" s="40"/>
      <c r="AK19" s="40"/>
      <c r="AL19" s="2214"/>
      <c r="AM19" s="40"/>
      <c r="AN19" s="2214"/>
      <c r="AO19" s="40"/>
      <c r="AP19" s="40"/>
      <c r="AQ19" s="40"/>
      <c r="AR19" s="40"/>
      <c r="AS19" s="40"/>
      <c r="AT19" s="2215"/>
      <c r="AU19" s="2218"/>
      <c r="AV19" s="1794">
        <f t="shared" si="11"/>
        <v>0</v>
      </c>
      <c r="AW19" s="1794">
        <f t="shared" si="12"/>
        <v>0</v>
      </c>
      <c r="AX19" s="1794" t="str">
        <f t="shared" si="13"/>
        <v>7#办公楼</v>
      </c>
      <c r="AY19" s="42">
        <f t="shared" si="14"/>
        <v>2994.17</v>
      </c>
      <c r="AZ19" s="35">
        <f t="shared" si="15"/>
        <v>16660.96</v>
      </c>
      <c r="BA19" s="35">
        <f t="shared" si="16"/>
        <v>16660.96</v>
      </c>
      <c r="BB19" s="35">
        <f t="shared" si="17"/>
        <v>0</v>
      </c>
      <c r="BC19" s="35">
        <f t="shared" si="18"/>
        <v>0</v>
      </c>
      <c r="BD19" s="35">
        <f t="shared" si="19"/>
        <v>15693.55</v>
      </c>
      <c r="BE19" s="35">
        <f t="shared" si="20"/>
        <v>967.41</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4" t="s">
        <v>3683</v>
      </c>
      <c r="D20" s="2212" t="s">
        <v>3104</v>
      </c>
      <c r="E20" s="35">
        <f t="shared" si="7"/>
        <v>1307.1199999999999</v>
      </c>
      <c r="F20" s="36"/>
      <c r="G20" s="37">
        <f t="shared" si="8"/>
        <v>7273.43</v>
      </c>
      <c r="H20" s="38">
        <f t="shared" si="9"/>
        <v>7273.43</v>
      </c>
      <c r="I20" s="2213">
        <v>7273.43</v>
      </c>
      <c r="J20" s="2213">
        <v>5867.38</v>
      </c>
      <c r="K20" s="39"/>
      <c r="L20" s="39"/>
      <c r="M20" s="2213"/>
      <c r="N20" s="39"/>
      <c r="O20" s="2213"/>
      <c r="P20" s="39"/>
      <c r="Q20" s="2213"/>
      <c r="R20" s="39"/>
      <c r="S20" s="2213"/>
      <c r="T20" s="39"/>
      <c r="U20" s="39"/>
      <c r="V20" s="39"/>
      <c r="W20" s="39"/>
      <c r="X20" s="39"/>
      <c r="Y20" s="39"/>
      <c r="Z20" s="39"/>
      <c r="AA20" s="39"/>
      <c r="AB20" s="39"/>
      <c r="AC20" s="35">
        <f t="shared" si="10"/>
        <v>0</v>
      </c>
      <c r="AD20" s="2214"/>
      <c r="AE20" s="40"/>
      <c r="AF20" s="40"/>
      <c r="AG20" s="40"/>
      <c r="AH20" s="2214"/>
      <c r="AI20" s="40"/>
      <c r="AJ20" s="40"/>
      <c r="AK20" s="40"/>
      <c r="AL20" s="2214"/>
      <c r="AM20" s="40"/>
      <c r="AN20" s="2214"/>
      <c r="AO20" s="40"/>
      <c r="AP20" s="40"/>
      <c r="AQ20" s="40"/>
      <c r="AR20" s="40"/>
      <c r="AS20" s="40"/>
      <c r="AT20" s="2215"/>
      <c r="AU20" s="2218"/>
      <c r="AV20" s="1794">
        <f t="shared" si="11"/>
        <v>0</v>
      </c>
      <c r="AW20" s="1794">
        <f t="shared" si="12"/>
        <v>0</v>
      </c>
      <c r="AX20" s="1794" t="str">
        <f t="shared" si="13"/>
        <v>8#住宅楼</v>
      </c>
      <c r="AY20" s="42">
        <f t="shared" si="14"/>
        <v>252.68</v>
      </c>
      <c r="AZ20" s="35">
        <f t="shared" si="15"/>
        <v>1406.0500000000002</v>
      </c>
      <c r="BA20" s="35">
        <f t="shared" si="16"/>
        <v>1406.0500000000002</v>
      </c>
      <c r="BB20" s="35">
        <f t="shared" si="17"/>
        <v>1406.0500000000002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2994" t="s">
        <v>3684</v>
      </c>
      <c r="D21" s="2212" t="s">
        <v>3104</v>
      </c>
      <c r="E21" s="35">
        <f t="shared" si="7"/>
        <v>3269.26</v>
      </c>
      <c r="F21" s="36"/>
      <c r="G21" s="37">
        <f t="shared" si="8"/>
        <v>18191.68</v>
      </c>
      <c r="H21" s="38">
        <f t="shared" si="9"/>
        <v>10088.48</v>
      </c>
      <c r="I21" s="2213"/>
      <c r="J21" s="2213"/>
      <c r="K21" s="39"/>
      <c r="L21" s="39"/>
      <c r="M21" s="2213"/>
      <c r="N21" s="39"/>
      <c r="O21" s="2213"/>
      <c r="P21" s="39"/>
      <c r="Q21" s="2213">
        <v>5050.07</v>
      </c>
      <c r="R21" s="39"/>
      <c r="S21" s="2213">
        <v>5038.41</v>
      </c>
      <c r="T21" s="39"/>
      <c r="U21" s="39"/>
      <c r="V21" s="39"/>
      <c r="W21" s="39"/>
      <c r="X21" s="39"/>
      <c r="Y21" s="39"/>
      <c r="Z21" s="39"/>
      <c r="AA21" s="39"/>
      <c r="AB21" s="39"/>
      <c r="AC21" s="35">
        <f t="shared" si="10"/>
        <v>3525.3</v>
      </c>
      <c r="AD21" s="2214">
        <v>2434.92</v>
      </c>
      <c r="AE21" s="40"/>
      <c r="AF21" s="40"/>
      <c r="AG21" s="40"/>
      <c r="AH21" s="2214"/>
      <c r="AI21" s="40"/>
      <c r="AJ21" s="40"/>
      <c r="AK21" s="40"/>
      <c r="AL21" s="2214">
        <v>67.59</v>
      </c>
      <c r="AM21" s="40"/>
      <c r="AN21" s="2214">
        <v>1022.79</v>
      </c>
      <c r="AO21" s="40"/>
      <c r="AP21" s="40"/>
      <c r="AQ21" s="40"/>
      <c r="AR21" s="40"/>
      <c r="AS21" s="40"/>
      <c r="AT21" s="2215">
        <v>4577.8999999999996</v>
      </c>
      <c r="AU21" s="2218"/>
      <c r="AV21" s="1794">
        <f t="shared" si="11"/>
        <v>0</v>
      </c>
      <c r="AW21" s="1794">
        <f t="shared" si="12"/>
        <v>0</v>
      </c>
      <c r="AX21" s="1794" t="str">
        <f t="shared" si="13"/>
        <v>022地块地下室</v>
      </c>
      <c r="AY21" s="42">
        <f t="shared" si="14"/>
        <v>2446.56</v>
      </c>
      <c r="AZ21" s="35">
        <f t="shared" si="15"/>
        <v>13613.779999999999</v>
      </c>
      <c r="BA21" s="35">
        <f t="shared" si="16"/>
        <v>10088.48</v>
      </c>
      <c r="BB21" s="35">
        <f t="shared" si="17"/>
        <v>0</v>
      </c>
      <c r="BC21" s="35">
        <f t="shared" si="18"/>
        <v>0</v>
      </c>
      <c r="BD21" s="35">
        <f t="shared" si="19"/>
        <v>0</v>
      </c>
      <c r="BE21" s="35">
        <f t="shared" si="20"/>
        <v>0</v>
      </c>
      <c r="BF21" s="35">
        <f t="shared" si="21"/>
        <v>5050.07</v>
      </c>
      <c r="BG21" s="35">
        <f t="shared" si="22"/>
        <v>5038.41</v>
      </c>
      <c r="BH21" s="35">
        <f t="shared" si="23"/>
        <v>0</v>
      </c>
      <c r="BI21" s="35">
        <f t="shared" si="24"/>
        <v>0</v>
      </c>
      <c r="BJ21" s="35">
        <f t="shared" si="25"/>
        <v>0</v>
      </c>
      <c r="BK21" s="35">
        <f t="shared" si="26"/>
        <v>0</v>
      </c>
      <c r="BL21" s="35">
        <f t="shared" si="27"/>
        <v>3525.3</v>
      </c>
      <c r="BM21" s="35">
        <f t="shared" si="28"/>
        <v>2434.92</v>
      </c>
      <c r="BN21" s="35">
        <f t="shared" si="29"/>
        <v>0</v>
      </c>
      <c r="BO21" s="35">
        <f t="shared" si="30"/>
        <v>0</v>
      </c>
      <c r="BP21" s="35">
        <f t="shared" si="31"/>
        <v>0</v>
      </c>
      <c r="BQ21" s="35">
        <f t="shared" si="32"/>
        <v>67.59</v>
      </c>
      <c r="BR21" s="35">
        <f t="shared" si="33"/>
        <v>1022.79</v>
      </c>
      <c r="BS21" s="35">
        <f t="shared" si="34"/>
        <v>0</v>
      </c>
      <c r="BT21" s="43">
        <f t="shared" si="35"/>
        <v>0</v>
      </c>
    </row>
    <row r="22" spans="1:72" ht="13.2" customHeight="1">
      <c r="A22" s="9"/>
      <c r="B22" s="34"/>
      <c r="C22" s="2994" t="s">
        <v>3685</v>
      </c>
      <c r="D22" s="2212" t="s">
        <v>3104</v>
      </c>
      <c r="E22" s="35">
        <f t="shared" si="7"/>
        <v>2886.46</v>
      </c>
      <c r="F22" s="36"/>
      <c r="G22" s="37">
        <f t="shared" si="8"/>
        <v>16061.579999999998</v>
      </c>
      <c r="H22" s="38">
        <f t="shared" si="9"/>
        <v>7919.67</v>
      </c>
      <c r="I22" s="2213"/>
      <c r="J22" s="39"/>
      <c r="K22" s="39"/>
      <c r="L22" s="39"/>
      <c r="M22" s="2213"/>
      <c r="N22" s="39"/>
      <c r="O22" s="2213"/>
      <c r="P22" s="39"/>
      <c r="Q22" s="2213">
        <v>3702.58</v>
      </c>
      <c r="R22" s="39"/>
      <c r="S22" s="2213">
        <v>4217.09</v>
      </c>
      <c r="T22" s="39"/>
      <c r="U22" s="39"/>
      <c r="V22" s="39"/>
      <c r="W22" s="39"/>
      <c r="X22" s="39"/>
      <c r="Y22" s="39"/>
      <c r="Z22" s="39"/>
      <c r="AA22" s="39"/>
      <c r="AB22" s="39"/>
      <c r="AC22" s="35">
        <f t="shared" si="10"/>
        <v>2296.04</v>
      </c>
      <c r="AD22" s="2214">
        <v>2272.3000000000002</v>
      </c>
      <c r="AE22" s="40"/>
      <c r="AF22" s="40"/>
      <c r="AG22" s="40"/>
      <c r="AH22" s="2214"/>
      <c r="AI22" s="40"/>
      <c r="AJ22" s="40"/>
      <c r="AK22" s="40"/>
      <c r="AL22" s="2214"/>
      <c r="AM22" s="40"/>
      <c r="AN22" s="2214">
        <v>23.74</v>
      </c>
      <c r="AO22" s="40"/>
      <c r="AP22" s="40"/>
      <c r="AQ22" s="40"/>
      <c r="AR22" s="40"/>
      <c r="AS22" s="40"/>
      <c r="AT22" s="2215">
        <v>5845.87</v>
      </c>
      <c r="AU22" s="2218"/>
      <c r="AV22" s="1794">
        <f t="shared" si="11"/>
        <v>0</v>
      </c>
      <c r="AW22" s="1794">
        <f t="shared" si="12"/>
        <v>0</v>
      </c>
      <c r="AX22" s="1794" t="str">
        <f t="shared" si="13"/>
        <v>039地块地下室</v>
      </c>
      <c r="AY22" s="42">
        <f t="shared" si="14"/>
        <v>1835.89</v>
      </c>
      <c r="AZ22" s="35">
        <f t="shared" si="15"/>
        <v>10215.709999999999</v>
      </c>
      <c r="BA22" s="35">
        <f t="shared" si="16"/>
        <v>7919.67</v>
      </c>
      <c r="BB22" s="35">
        <f t="shared" si="17"/>
        <v>0</v>
      </c>
      <c r="BC22" s="35">
        <f t="shared" si="18"/>
        <v>0</v>
      </c>
      <c r="BD22" s="35">
        <f t="shared" si="19"/>
        <v>0</v>
      </c>
      <c r="BE22" s="35">
        <f t="shared" si="20"/>
        <v>0</v>
      </c>
      <c r="BF22" s="35">
        <f t="shared" si="21"/>
        <v>3702.58</v>
      </c>
      <c r="BG22" s="35">
        <f t="shared" si="22"/>
        <v>4217.09</v>
      </c>
      <c r="BH22" s="35">
        <f t="shared" si="23"/>
        <v>0</v>
      </c>
      <c r="BI22" s="35">
        <f t="shared" si="24"/>
        <v>0</v>
      </c>
      <c r="BJ22" s="35">
        <f t="shared" si="25"/>
        <v>0</v>
      </c>
      <c r="BK22" s="35">
        <f t="shared" si="26"/>
        <v>0</v>
      </c>
      <c r="BL22" s="35">
        <f t="shared" si="27"/>
        <v>2296.04</v>
      </c>
      <c r="BM22" s="35">
        <f t="shared" si="28"/>
        <v>2272.3000000000002</v>
      </c>
      <c r="BN22" s="35">
        <f t="shared" si="29"/>
        <v>0</v>
      </c>
      <c r="BO22" s="35">
        <f t="shared" si="30"/>
        <v>0</v>
      </c>
      <c r="BP22" s="35">
        <f t="shared" si="31"/>
        <v>0</v>
      </c>
      <c r="BQ22" s="35">
        <f t="shared" si="32"/>
        <v>0</v>
      </c>
      <c r="BR22" s="35">
        <f t="shared" si="33"/>
        <v>23.74</v>
      </c>
      <c r="BS22" s="35">
        <f t="shared" si="34"/>
        <v>0</v>
      </c>
      <c r="BT22" s="43">
        <f t="shared" si="35"/>
        <v>0</v>
      </c>
    </row>
    <row r="23" spans="1:72" ht="13.2" customHeight="1">
      <c r="A23" s="9"/>
      <c r="B23" s="34"/>
      <c r="C23" s="2994" t="s">
        <v>3686</v>
      </c>
      <c r="D23" s="2212" t="s">
        <v>3104</v>
      </c>
      <c r="E23" s="35">
        <f t="shared" si="7"/>
        <v>2797.61</v>
      </c>
      <c r="F23" s="36"/>
      <c r="G23" s="37">
        <f t="shared" si="8"/>
        <v>15567.22</v>
      </c>
      <c r="H23" s="38">
        <f t="shared" si="9"/>
        <v>12688.619999999999</v>
      </c>
      <c r="I23" s="2213"/>
      <c r="J23" s="39"/>
      <c r="K23" s="39"/>
      <c r="L23" s="39"/>
      <c r="M23" s="2213"/>
      <c r="N23" s="39"/>
      <c r="O23" s="2213"/>
      <c r="P23" s="39"/>
      <c r="Q23" s="2213">
        <v>4016.47</v>
      </c>
      <c r="R23" s="39"/>
      <c r="S23" s="2213">
        <v>8672.15</v>
      </c>
      <c r="T23" s="39"/>
      <c r="U23" s="39"/>
      <c r="V23" s="39"/>
      <c r="W23" s="39"/>
      <c r="X23" s="39"/>
      <c r="Y23" s="39"/>
      <c r="Z23" s="39"/>
      <c r="AA23" s="39"/>
      <c r="AB23" s="39"/>
      <c r="AC23" s="35">
        <f t="shared" si="10"/>
        <v>2878.6</v>
      </c>
      <c r="AD23" s="2214">
        <v>2797.06</v>
      </c>
      <c r="AE23" s="40"/>
      <c r="AF23" s="40"/>
      <c r="AG23" s="40"/>
      <c r="AH23" s="2214"/>
      <c r="AI23" s="40"/>
      <c r="AJ23" s="40">
        <v>55.46</v>
      </c>
      <c r="AK23" s="40"/>
      <c r="AL23" s="2214"/>
      <c r="AM23" s="40"/>
      <c r="AN23" s="2214">
        <v>26.08</v>
      </c>
      <c r="AO23" s="40"/>
      <c r="AP23" s="40"/>
      <c r="AQ23" s="40"/>
      <c r="AR23" s="40"/>
      <c r="AS23" s="40"/>
      <c r="AT23" s="2215"/>
      <c r="AU23" s="2218"/>
      <c r="AV23" s="1794">
        <f t="shared" si="11"/>
        <v>0</v>
      </c>
      <c r="AW23" s="1794">
        <f t="shared" si="12"/>
        <v>0</v>
      </c>
      <c r="AX23" s="1794" t="str">
        <f t="shared" si="13"/>
        <v>040地块地下室</v>
      </c>
      <c r="AY23" s="42">
        <f t="shared" si="14"/>
        <v>2797.62</v>
      </c>
      <c r="AZ23" s="35">
        <f t="shared" si="15"/>
        <v>15567.22</v>
      </c>
      <c r="BA23" s="35">
        <f t="shared" si="16"/>
        <v>12688.619999999999</v>
      </c>
      <c r="BB23" s="35">
        <f t="shared" si="17"/>
        <v>0</v>
      </c>
      <c r="BC23" s="35">
        <f t="shared" si="18"/>
        <v>0</v>
      </c>
      <c r="BD23" s="35">
        <f t="shared" si="19"/>
        <v>0</v>
      </c>
      <c r="BE23" s="35">
        <f t="shared" si="20"/>
        <v>0</v>
      </c>
      <c r="BF23" s="35">
        <f t="shared" si="21"/>
        <v>4016.47</v>
      </c>
      <c r="BG23" s="35">
        <f t="shared" si="22"/>
        <v>8672.15</v>
      </c>
      <c r="BH23" s="35">
        <f t="shared" si="23"/>
        <v>0</v>
      </c>
      <c r="BI23" s="35">
        <f t="shared" si="24"/>
        <v>0</v>
      </c>
      <c r="BJ23" s="35">
        <f t="shared" si="25"/>
        <v>0</v>
      </c>
      <c r="BK23" s="35">
        <f t="shared" si="26"/>
        <v>0</v>
      </c>
      <c r="BL23" s="35">
        <f t="shared" si="27"/>
        <v>2878.6</v>
      </c>
      <c r="BM23" s="35">
        <f t="shared" si="28"/>
        <v>2797.06</v>
      </c>
      <c r="BN23" s="35">
        <f t="shared" si="29"/>
        <v>0</v>
      </c>
      <c r="BO23" s="35">
        <f t="shared" si="30"/>
        <v>0</v>
      </c>
      <c r="BP23" s="35">
        <f t="shared" si="31"/>
        <v>55.46</v>
      </c>
      <c r="BQ23" s="35">
        <f t="shared" si="32"/>
        <v>0</v>
      </c>
      <c r="BR23" s="35">
        <f t="shared" si="33"/>
        <v>26.08</v>
      </c>
      <c r="BS23" s="35">
        <f t="shared" si="34"/>
        <v>0</v>
      </c>
      <c r="BT23" s="43">
        <f t="shared" si="35"/>
        <v>0</v>
      </c>
    </row>
    <row r="24" spans="1:72">
      <c r="A24" s="9"/>
      <c r="B24" s="34"/>
      <c r="C24" s="299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14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
  <sheetViews>
    <sheetView zoomScale="110" zoomScaleNormal="110" workbookViewId="0">
      <selection activeCell="L22" sqref="L22"/>
    </sheetView>
  </sheetViews>
  <sheetFormatPr defaultRowHeight="14.4"/>
  <cols>
    <col min="2" max="2" width="4.33203125" customWidth="1"/>
    <col min="3" max="3" width="4.6640625" customWidth="1"/>
    <col min="4" max="4" width="6.33203125" customWidth="1"/>
    <col min="5" max="5" width="4.6640625" customWidth="1"/>
    <col min="6" max="6" width="8.77734375" customWidth="1"/>
    <col min="7" max="7" width="8" customWidth="1"/>
    <col min="8" max="8" width="8.5546875" customWidth="1"/>
    <col min="9" max="9" width="6.5546875" customWidth="1"/>
    <col min="10" max="10" width="7.44140625" customWidth="1"/>
    <col min="11" max="11" width="5.88671875" customWidth="1"/>
    <col min="12" max="12" width="7" customWidth="1"/>
    <col min="13" max="13" width="7.21875" customWidth="1"/>
    <col min="14" max="14" width="6.88671875" customWidth="1"/>
    <col min="15" max="15" width="7.21875" customWidth="1"/>
    <col min="16" max="16" width="6.88671875" customWidth="1"/>
    <col min="17" max="17" width="7.21875" customWidth="1"/>
    <col min="18" max="18" width="6.109375" customWidth="1"/>
  </cols>
  <sheetData>
    <row r="1" spans="1:19">
      <c r="A1" s="3079" t="s">
        <v>3130</v>
      </c>
      <c r="B1" s="3079" t="s">
        <v>3646</v>
      </c>
      <c r="C1" s="3079" t="s">
        <v>3647</v>
      </c>
      <c r="D1" s="3079" t="s">
        <v>3648</v>
      </c>
      <c r="E1" s="3079" t="s">
        <v>3649</v>
      </c>
      <c r="F1" s="3078" t="s">
        <v>3650</v>
      </c>
      <c r="G1" s="3078"/>
      <c r="H1" s="3078"/>
      <c r="I1" s="3078"/>
      <c r="J1" s="3078"/>
      <c r="K1" s="3078"/>
      <c r="L1" s="3078"/>
      <c r="M1" s="3078"/>
      <c r="N1" s="3078"/>
      <c r="O1" s="3078"/>
      <c r="P1" s="3078"/>
      <c r="Q1" s="3078"/>
      <c r="R1" s="3080" t="s">
        <v>3651</v>
      </c>
      <c r="S1" s="2986"/>
    </row>
    <row r="2" spans="1:19" ht="15" thickBot="1">
      <c r="A2" s="3079"/>
      <c r="B2" s="3079"/>
      <c r="C2" s="3079"/>
      <c r="D2" s="3079"/>
      <c r="E2" s="3079"/>
      <c r="F2" s="3078" t="s">
        <v>37</v>
      </c>
      <c r="G2" s="3078" t="s">
        <v>38</v>
      </c>
      <c r="H2" s="3078"/>
      <c r="I2" s="3078"/>
      <c r="J2" s="3078"/>
      <c r="K2" s="3078"/>
      <c r="L2" s="3078"/>
      <c r="M2" s="3078"/>
      <c r="N2" s="3078" t="s">
        <v>39</v>
      </c>
      <c r="O2" s="3078"/>
      <c r="P2" s="3078"/>
      <c r="Q2" s="3078"/>
      <c r="R2" s="3080"/>
      <c r="S2" s="2987"/>
    </row>
    <row r="3" spans="1:19" ht="22.8">
      <c r="A3" s="3079"/>
      <c r="B3" s="3079"/>
      <c r="C3" s="3079"/>
      <c r="D3" s="3079"/>
      <c r="E3" s="3079"/>
      <c r="F3" s="3078"/>
      <c r="G3" s="2988" t="s">
        <v>40</v>
      </c>
      <c r="H3" s="2988" t="s">
        <v>3055</v>
      </c>
      <c r="I3" s="2988" t="s">
        <v>3108</v>
      </c>
      <c r="J3" s="2988" t="s">
        <v>27</v>
      </c>
      <c r="K3" s="2989" t="s">
        <v>3652</v>
      </c>
      <c r="L3" s="2989" t="s">
        <v>3653</v>
      </c>
      <c r="M3" s="2989" t="s">
        <v>48</v>
      </c>
      <c r="N3" s="2988" t="s">
        <v>40</v>
      </c>
      <c r="O3" s="2988" t="s">
        <v>3654</v>
      </c>
      <c r="P3" s="2988" t="s">
        <v>3655</v>
      </c>
      <c r="Q3" s="2988" t="s">
        <v>3656</v>
      </c>
      <c r="R3" s="3080"/>
      <c r="S3" s="2985"/>
    </row>
    <row r="4" spans="1:19" ht="46.2" customHeight="1">
      <c r="A4" s="3083" t="s">
        <v>3657</v>
      </c>
      <c r="B4" s="3084" t="s">
        <v>3658</v>
      </c>
      <c r="C4" s="3084" t="s">
        <v>3659</v>
      </c>
      <c r="D4" s="2990" t="s">
        <v>3660</v>
      </c>
      <c r="E4" s="2991">
        <v>8684.77</v>
      </c>
      <c r="F4" s="2992">
        <f>G4</f>
        <v>7370.47</v>
      </c>
      <c r="G4" s="2992">
        <f>SUM(H4:M4)</f>
        <v>7370.47</v>
      </c>
      <c r="H4" s="2992" t="s">
        <v>70</v>
      </c>
      <c r="I4" s="2992" t="s">
        <v>70</v>
      </c>
      <c r="J4" s="2992">
        <v>7021.83</v>
      </c>
      <c r="K4" s="2993">
        <v>348.64</v>
      </c>
      <c r="L4" s="2993" t="s">
        <v>70</v>
      </c>
      <c r="M4" s="2993" t="s">
        <v>70</v>
      </c>
      <c r="N4" s="2992" t="s">
        <v>70</v>
      </c>
      <c r="O4" s="2992" t="s">
        <v>70</v>
      </c>
      <c r="P4" s="2992" t="s">
        <v>70</v>
      </c>
      <c r="Q4" s="2992" t="s">
        <v>70</v>
      </c>
      <c r="R4" s="3081" t="s">
        <v>3661</v>
      </c>
      <c r="S4" s="2985"/>
    </row>
    <row r="5" spans="1:19" ht="22.8">
      <c r="A5" s="3083"/>
      <c r="B5" s="3084"/>
      <c r="C5" s="3084"/>
      <c r="D5" s="2990" t="s">
        <v>3662</v>
      </c>
      <c r="E5" s="3082"/>
      <c r="F5" s="2992">
        <f>G5</f>
        <v>16099.210000000001</v>
      </c>
      <c r="G5" s="2992">
        <f t="shared" ref="G5:G14" si="0">SUM(H5:M5)</f>
        <v>16099.210000000001</v>
      </c>
      <c r="H5" s="2992" t="s">
        <v>70</v>
      </c>
      <c r="I5" s="2992" t="s">
        <v>70</v>
      </c>
      <c r="J5" s="2992">
        <v>15353.03</v>
      </c>
      <c r="K5" s="2993">
        <v>746.18</v>
      </c>
      <c r="L5" s="2993" t="s">
        <v>70</v>
      </c>
      <c r="M5" s="2993" t="s">
        <v>70</v>
      </c>
      <c r="N5" s="2992" t="s">
        <v>70</v>
      </c>
      <c r="O5" s="2992" t="s">
        <v>70</v>
      </c>
      <c r="P5" s="2992" t="s">
        <v>70</v>
      </c>
      <c r="Q5" s="2992" t="s">
        <v>70</v>
      </c>
      <c r="R5" s="3081"/>
      <c r="S5" s="2985"/>
    </row>
    <row r="6" spans="1:19" ht="34.200000000000003">
      <c r="A6" s="3083"/>
      <c r="B6" s="3084"/>
      <c r="C6" s="3084"/>
      <c r="D6" s="2990" t="s">
        <v>3663</v>
      </c>
      <c r="E6" s="3082"/>
      <c r="F6" s="2992">
        <f>G6</f>
        <v>8064.53</v>
      </c>
      <c r="G6" s="2992">
        <f t="shared" si="0"/>
        <v>8064.53</v>
      </c>
      <c r="H6" s="2992" t="s">
        <v>70</v>
      </c>
      <c r="I6" s="2992">
        <v>7755.46</v>
      </c>
      <c r="J6" s="2992" t="s">
        <v>70</v>
      </c>
      <c r="K6" s="2993">
        <v>309.07</v>
      </c>
      <c r="L6" s="2993" t="s">
        <v>70</v>
      </c>
      <c r="M6" s="2993" t="s">
        <v>70</v>
      </c>
      <c r="N6" s="2992" t="s">
        <v>70</v>
      </c>
      <c r="O6" s="2992" t="s">
        <v>70</v>
      </c>
      <c r="P6" s="2992" t="s">
        <v>70</v>
      </c>
      <c r="Q6" s="2992" t="s">
        <v>70</v>
      </c>
      <c r="R6" s="3081"/>
      <c r="S6" s="2985"/>
    </row>
    <row r="7" spans="1:19" ht="22.8">
      <c r="A7" s="3083"/>
      <c r="B7" s="3084"/>
      <c r="C7" s="3084"/>
      <c r="D7" s="2990" t="s">
        <v>3664</v>
      </c>
      <c r="E7" s="3082"/>
      <c r="F7" s="2992">
        <f t="shared" ref="F7:F14" si="1">G7+N7</f>
        <v>2566.29</v>
      </c>
      <c r="G7" s="2992">
        <f t="shared" si="0"/>
        <v>2464.5700000000002</v>
      </c>
      <c r="H7" s="2992">
        <v>2448.34</v>
      </c>
      <c r="I7" s="2992" t="s">
        <v>70</v>
      </c>
      <c r="J7" s="2992" t="s">
        <v>70</v>
      </c>
      <c r="K7" s="2993">
        <v>16.23</v>
      </c>
      <c r="L7" s="2993" t="s">
        <v>70</v>
      </c>
      <c r="M7" s="2993" t="s">
        <v>70</v>
      </c>
      <c r="N7" s="2992">
        <f>SUM(O7:Q7)</f>
        <v>101.72</v>
      </c>
      <c r="O7" s="2992" t="s">
        <v>70</v>
      </c>
      <c r="P7" s="2992">
        <v>101.72</v>
      </c>
      <c r="Q7" s="2992" t="s">
        <v>70</v>
      </c>
      <c r="R7" s="3081"/>
      <c r="S7" s="2985"/>
    </row>
    <row r="8" spans="1:19" ht="22.8">
      <c r="A8" s="3083"/>
      <c r="B8" s="3084"/>
      <c r="C8" s="3084"/>
      <c r="D8" s="2990" t="s">
        <v>3665</v>
      </c>
      <c r="E8" s="3082"/>
      <c r="F8" s="2992">
        <f t="shared" si="1"/>
        <v>13613.779999999999</v>
      </c>
      <c r="G8" s="2992">
        <f t="shared" si="0"/>
        <v>10088.48</v>
      </c>
      <c r="H8" s="2992" t="s">
        <v>70</v>
      </c>
      <c r="I8" s="2992" t="s">
        <v>70</v>
      </c>
      <c r="J8" s="2992" t="s">
        <v>70</v>
      </c>
      <c r="K8" s="2993" t="s">
        <v>70</v>
      </c>
      <c r="L8" s="2993">
        <v>5050.07</v>
      </c>
      <c r="M8" s="2993">
        <v>5038.41</v>
      </c>
      <c r="N8" s="2992">
        <f>SUM(O8:Q8)</f>
        <v>3525.3</v>
      </c>
      <c r="O8" s="2992">
        <v>2434.92</v>
      </c>
      <c r="P8" s="2992" t="s">
        <v>70</v>
      </c>
      <c r="Q8" s="2992">
        <v>1090.3800000000001</v>
      </c>
      <c r="R8" s="3081"/>
      <c r="S8" s="2985"/>
    </row>
    <row r="9" spans="1:19" ht="28.8" customHeight="1">
      <c r="A9" s="3083" t="s">
        <v>3666</v>
      </c>
      <c r="B9" s="3078" t="s">
        <v>3667</v>
      </c>
      <c r="C9" s="3084"/>
      <c r="D9" s="2990" t="s">
        <v>3668</v>
      </c>
      <c r="E9" s="3082">
        <v>7467.97</v>
      </c>
      <c r="F9" s="2992">
        <f t="shared" si="1"/>
        <v>16742.650000000001</v>
      </c>
      <c r="G9" s="2992">
        <f t="shared" si="0"/>
        <v>16533.240000000002</v>
      </c>
      <c r="H9" s="2992" t="s">
        <v>70</v>
      </c>
      <c r="I9" s="2992" t="s">
        <v>70</v>
      </c>
      <c r="J9" s="2992">
        <v>15926.17</v>
      </c>
      <c r="K9" s="2993">
        <v>607.07000000000005</v>
      </c>
      <c r="L9" s="2993" t="s">
        <v>70</v>
      </c>
      <c r="M9" s="2993" t="s">
        <v>70</v>
      </c>
      <c r="N9" s="2992">
        <f>SUM(O9:Q9)</f>
        <v>209.41</v>
      </c>
      <c r="O9" s="2992" t="s">
        <v>70</v>
      </c>
      <c r="P9" s="2992" t="s">
        <v>70</v>
      </c>
      <c r="Q9" s="2992">
        <v>209.41</v>
      </c>
      <c r="R9" s="3081"/>
      <c r="S9" s="2985"/>
    </row>
    <row r="10" spans="1:19" ht="22.8">
      <c r="A10" s="3083"/>
      <c r="B10" s="3078"/>
      <c r="C10" s="3084"/>
      <c r="D10" s="2990" t="s">
        <v>3669</v>
      </c>
      <c r="E10" s="3082"/>
      <c r="F10" s="2992">
        <f>G10</f>
        <v>3589.85</v>
      </c>
      <c r="G10" s="2992">
        <f t="shared" si="0"/>
        <v>3589.85</v>
      </c>
      <c r="H10" s="2992">
        <v>3589.85</v>
      </c>
      <c r="I10" s="2992" t="s">
        <v>70</v>
      </c>
      <c r="J10" s="2992" t="s">
        <v>70</v>
      </c>
      <c r="K10" s="2993" t="s">
        <v>70</v>
      </c>
      <c r="L10" s="2993" t="s">
        <v>70</v>
      </c>
      <c r="M10" s="2993" t="s">
        <v>70</v>
      </c>
      <c r="N10" s="2992" t="s">
        <v>70</v>
      </c>
      <c r="O10" s="2992" t="s">
        <v>70</v>
      </c>
      <c r="P10" s="2992" t="s">
        <v>70</v>
      </c>
      <c r="Q10" s="2992" t="s">
        <v>70</v>
      </c>
      <c r="R10" s="3081"/>
      <c r="S10" s="2985"/>
    </row>
    <row r="11" spans="1:19" ht="22.8">
      <c r="A11" s="3083"/>
      <c r="B11" s="3078"/>
      <c r="C11" s="3084"/>
      <c r="D11" s="2990" t="s">
        <v>3670</v>
      </c>
      <c r="E11" s="3082"/>
      <c r="F11" s="2992">
        <f t="shared" si="1"/>
        <v>10215.709999999999</v>
      </c>
      <c r="G11" s="2992">
        <f t="shared" si="0"/>
        <v>7919.67</v>
      </c>
      <c r="H11" s="2992" t="s">
        <v>70</v>
      </c>
      <c r="I11" s="2992" t="s">
        <v>70</v>
      </c>
      <c r="J11" s="2992" t="s">
        <v>70</v>
      </c>
      <c r="K11" s="2993" t="s">
        <v>70</v>
      </c>
      <c r="L11" s="2993">
        <v>3702.58</v>
      </c>
      <c r="M11" s="2993">
        <v>4217.09</v>
      </c>
      <c r="N11" s="2992">
        <f>SUM(O11:Q11)</f>
        <v>2296.04</v>
      </c>
      <c r="O11" s="2992">
        <v>2272.3000000000002</v>
      </c>
      <c r="P11" s="2992" t="s">
        <v>70</v>
      </c>
      <c r="Q11" s="2992">
        <v>23.74</v>
      </c>
      <c r="R11" s="3081"/>
      <c r="S11" s="2985"/>
    </row>
    <row r="12" spans="1:19" ht="28.8" customHeight="1">
      <c r="A12" s="3083" t="s">
        <v>3671</v>
      </c>
      <c r="B12" s="3078" t="s">
        <v>3672</v>
      </c>
      <c r="C12" s="3084"/>
      <c r="D12" s="2990" t="s">
        <v>3673</v>
      </c>
      <c r="E12" s="3082">
        <v>7578.25</v>
      </c>
      <c r="F12" s="2992">
        <f>G12</f>
        <v>16660.96</v>
      </c>
      <c r="G12" s="2992">
        <f t="shared" si="0"/>
        <v>16660.96</v>
      </c>
      <c r="H12" s="2992" t="s">
        <v>70</v>
      </c>
      <c r="I12" s="2992" t="s">
        <v>70</v>
      </c>
      <c r="J12" s="2992">
        <v>15693.55</v>
      </c>
      <c r="K12" s="2993">
        <v>967.41</v>
      </c>
      <c r="L12" s="2993" t="s">
        <v>70</v>
      </c>
      <c r="M12" s="2993" t="s">
        <v>70</v>
      </c>
      <c r="N12" s="2992" t="s">
        <v>70</v>
      </c>
      <c r="O12" s="2992" t="s">
        <v>70</v>
      </c>
      <c r="P12" s="2992" t="s">
        <v>70</v>
      </c>
      <c r="Q12" s="2992" t="s">
        <v>70</v>
      </c>
      <c r="R12" s="3081"/>
      <c r="S12" s="2985"/>
    </row>
    <row r="13" spans="1:19" ht="22.8">
      <c r="A13" s="3083"/>
      <c r="B13" s="3078"/>
      <c r="C13" s="3084"/>
      <c r="D13" s="2990" t="s">
        <v>3674</v>
      </c>
      <c r="E13" s="3082"/>
      <c r="F13" s="2992">
        <f>G13</f>
        <v>1285.72</v>
      </c>
      <c r="G13" s="2992">
        <f t="shared" si="0"/>
        <v>1285.72</v>
      </c>
      <c r="H13" s="2992">
        <v>1285.72</v>
      </c>
      <c r="I13" s="2992" t="s">
        <v>70</v>
      </c>
      <c r="J13" s="2992" t="s">
        <v>70</v>
      </c>
      <c r="K13" s="2993" t="s">
        <v>70</v>
      </c>
      <c r="L13" s="2993" t="s">
        <v>70</v>
      </c>
      <c r="M13" s="2993" t="s">
        <v>70</v>
      </c>
      <c r="N13" s="2992" t="s">
        <v>70</v>
      </c>
      <c r="O13" s="2992" t="s">
        <v>70</v>
      </c>
      <c r="P13" s="2992" t="s">
        <v>70</v>
      </c>
      <c r="Q13" s="2992" t="s">
        <v>70</v>
      </c>
      <c r="R13" s="3081"/>
      <c r="S13" s="2985"/>
    </row>
    <row r="14" spans="1:19" ht="22.8">
      <c r="A14" s="3083"/>
      <c r="B14" s="3078"/>
      <c r="C14" s="3084"/>
      <c r="D14" s="2990" t="s">
        <v>3675</v>
      </c>
      <c r="E14" s="3082"/>
      <c r="F14" s="2992">
        <f t="shared" si="1"/>
        <v>15567.22</v>
      </c>
      <c r="G14" s="2992">
        <f t="shared" si="0"/>
        <v>12688.619999999999</v>
      </c>
      <c r="H14" s="2992" t="s">
        <v>70</v>
      </c>
      <c r="I14" s="2992" t="s">
        <v>70</v>
      </c>
      <c r="J14" s="2992" t="s">
        <v>70</v>
      </c>
      <c r="K14" s="2993" t="s">
        <v>70</v>
      </c>
      <c r="L14" s="2993">
        <v>4016.47</v>
      </c>
      <c r="M14" s="2993">
        <v>8672.15</v>
      </c>
      <c r="N14" s="2992">
        <f>SUM(O14:Q14)</f>
        <v>2878.6</v>
      </c>
      <c r="O14" s="2992">
        <v>2797.06</v>
      </c>
      <c r="P14" s="2992">
        <v>55.46</v>
      </c>
      <c r="Q14" s="2992">
        <v>26.08</v>
      </c>
      <c r="R14" s="3081"/>
      <c r="S14" s="2985"/>
    </row>
    <row r="15" spans="1:19" ht="15.6">
      <c r="A15" s="3079" t="s">
        <v>37</v>
      </c>
      <c r="B15" s="3079"/>
      <c r="C15" s="3079"/>
      <c r="D15" s="3079"/>
      <c r="E15" s="2991">
        <f>E4+E5+E9+E12</f>
        <v>23730.99</v>
      </c>
      <c r="F15" s="2992">
        <f>G15+N15</f>
        <v>111776.39000000001</v>
      </c>
      <c r="G15" s="2992">
        <f t="shared" ref="G15:P15" si="2">SUM(G4:G14)</f>
        <v>102765.32</v>
      </c>
      <c r="H15" s="2992">
        <f t="shared" si="2"/>
        <v>7323.9100000000008</v>
      </c>
      <c r="I15" s="2992">
        <f t="shared" si="2"/>
        <v>7755.46</v>
      </c>
      <c r="J15" s="2992">
        <f t="shared" si="2"/>
        <v>53994.58</v>
      </c>
      <c r="K15" s="2992">
        <f t="shared" si="2"/>
        <v>2994.6</v>
      </c>
      <c r="L15" s="2992">
        <f t="shared" si="2"/>
        <v>12769.119999999999</v>
      </c>
      <c r="M15" s="2992">
        <f t="shared" si="2"/>
        <v>17927.650000000001</v>
      </c>
      <c r="N15" s="2992">
        <f t="shared" si="2"/>
        <v>9011.07</v>
      </c>
      <c r="O15" s="2992">
        <f t="shared" si="2"/>
        <v>7504.2800000000007</v>
      </c>
      <c r="P15" s="2992">
        <f t="shared" si="2"/>
        <v>157.18</v>
      </c>
      <c r="Q15" s="2992">
        <f>SUM(Q4:Q14)</f>
        <v>1349.6100000000001</v>
      </c>
      <c r="R15" s="3081"/>
      <c r="S15" s="2985"/>
    </row>
  </sheetData>
  <mergeCells count="22">
    <mergeCell ref="R1:R3"/>
    <mergeCell ref="R4:R15"/>
    <mergeCell ref="B9:B11"/>
    <mergeCell ref="E9:E11"/>
    <mergeCell ref="A12:A14"/>
    <mergeCell ref="B12:B14"/>
    <mergeCell ref="E12:E14"/>
    <mergeCell ref="A15:D15"/>
    <mergeCell ref="C4:C14"/>
    <mergeCell ref="B4:B8"/>
    <mergeCell ref="F2:F3"/>
    <mergeCell ref="G2:M2"/>
    <mergeCell ref="N2:Q2"/>
    <mergeCell ref="A4:A8"/>
    <mergeCell ref="E5:E8"/>
    <mergeCell ref="A9:A11"/>
    <mergeCell ref="F1:Q1"/>
    <mergeCell ref="A1:A3"/>
    <mergeCell ref="B1:B3"/>
    <mergeCell ref="C1:C3"/>
    <mergeCell ref="D1:D3"/>
    <mergeCell ref="E1:E3"/>
  </mergeCells>
  <phoneticPr fontId="1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46.8">
      <c r="A3" s="3085"/>
      <c r="B3" s="3085"/>
      <c r="C3" s="3085"/>
      <c r="D3" s="3086"/>
      <c r="E3" s="308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7" sqref="G27"/>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96" t="s">
        <v>1934</v>
      </c>
      <c r="B2" s="3096"/>
      <c r="C2" s="3096"/>
      <c r="D2" s="967" t="s">
        <v>1910</v>
      </c>
      <c r="E2" s="2226" t="s">
        <v>1911</v>
      </c>
      <c r="F2" s="1392"/>
      <c r="G2" s="2227"/>
      <c r="H2" s="2228"/>
      <c r="I2" s="2229" t="s">
        <v>1935</v>
      </c>
      <c r="J2" s="1392"/>
      <c r="K2" s="1392"/>
      <c r="L2" s="1392"/>
      <c r="M2" s="1392"/>
      <c r="N2" s="1427"/>
      <c r="O2" s="1392"/>
      <c r="P2" s="1392"/>
    </row>
    <row r="3" spans="1:16" ht="15" thickBot="1">
      <c r="A3" s="3097" t="s">
        <v>1908</v>
      </c>
      <c r="B3" s="3097"/>
      <c r="C3" s="3097"/>
      <c r="D3" s="46">
        <f>'数据-基础表'!AY6</f>
        <v>20133.75</v>
      </c>
      <c r="E3" s="46">
        <f>'数据-基础表'!AZ5</f>
        <v>112033.45000000001</v>
      </c>
      <c r="F3" s="1392"/>
      <c r="G3" s="1399"/>
      <c r="H3" s="1247" t="s">
        <v>1909</v>
      </c>
      <c r="I3" s="55">
        <f>ROUND('数据-基础表'!B3/'数据-基础表'!A3,2)</f>
        <v>5.56</v>
      </c>
      <c r="J3" s="1392"/>
      <c r="K3" s="1392"/>
      <c r="L3" s="1392"/>
      <c r="M3" s="1392"/>
      <c r="N3" s="1427"/>
      <c r="O3" s="1392"/>
      <c r="P3" s="1392"/>
    </row>
    <row r="4" spans="1:16" ht="14.4">
      <c r="A4" s="3098"/>
      <c r="B4" s="3099"/>
      <c r="C4" s="3100"/>
      <c r="D4" s="2230" t="s">
        <v>1910</v>
      </c>
      <c r="E4" s="2231" t="s">
        <v>1911</v>
      </c>
      <c r="F4" s="1392"/>
      <c r="G4" s="2232" t="s">
        <v>1936</v>
      </c>
      <c r="H4" s="1247" t="s">
        <v>1916</v>
      </c>
      <c r="I4" s="55">
        <f>ROUND(SUMIF('数据-基础表'!I9:AS9,"地上",'数据-基础表'!I5:AS5)/'数据-基础表'!A3,2)</f>
        <v>3.78</v>
      </c>
      <c r="J4" s="1392"/>
      <c r="K4" s="1392"/>
      <c r="L4" s="1392"/>
      <c r="M4" s="1392"/>
      <c r="N4" s="1427"/>
      <c r="O4" s="1392"/>
      <c r="P4" s="1392"/>
    </row>
    <row r="5" spans="1:16" ht="14.4">
      <c r="A5" s="47" t="s">
        <v>1912</v>
      </c>
      <c r="B5" s="3101" t="s">
        <v>1913</v>
      </c>
      <c r="C5" s="3101"/>
      <c r="D5" s="48">
        <f>ROUND($D$3*E5/$E$3,2)</f>
        <v>2756.14</v>
      </c>
      <c r="E5" s="49">
        <f>SUMIF('数据-基础表'!$11:$11,"住宅",'数据-基础表'!$5:$5)</f>
        <v>15336.43</v>
      </c>
      <c r="F5" s="1392"/>
      <c r="G5" s="1399"/>
      <c r="H5" s="1247" t="s">
        <v>1909</v>
      </c>
      <c r="I5" s="55">
        <f>ROUND(E31/D31,2)</f>
        <v>5.56</v>
      </c>
      <c r="J5" s="1392"/>
      <c r="K5" s="1392"/>
      <c r="L5" s="1392"/>
      <c r="M5" s="1392"/>
      <c r="N5" s="1392"/>
      <c r="O5" s="1392"/>
      <c r="P5" s="1392"/>
    </row>
    <row r="6" spans="1:16" ht="15" thickBot="1">
      <c r="A6" s="2233"/>
      <c r="B6" s="3101" t="s">
        <v>1914</v>
      </c>
      <c r="C6" s="3101"/>
      <c r="D6" s="48">
        <f>ROUND($D$3*E6/$E$3,2)</f>
        <v>17377.61</v>
      </c>
      <c r="E6" s="49">
        <f>E3-E5</f>
        <v>96697.020000000019</v>
      </c>
      <c r="F6" s="1392"/>
      <c r="G6" s="2234" t="s">
        <v>1915</v>
      </c>
      <c r="H6" s="1399" t="s">
        <v>1916</v>
      </c>
      <c r="I6" s="939">
        <f>ROUND(F31/D31,2)</f>
        <v>3.98</v>
      </c>
      <c r="J6" s="1392"/>
      <c r="K6" s="1392"/>
      <c r="L6" s="1392"/>
      <c r="M6" s="1392"/>
      <c r="N6" s="1392"/>
      <c r="O6" s="1392"/>
      <c r="P6" s="1392"/>
    </row>
    <row r="7" spans="1:16" ht="14.4">
      <c r="A7" s="3093"/>
      <c r="B7" s="3094"/>
      <c r="C7" s="3095"/>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12997.78</v>
      </c>
      <c r="E8" s="51">
        <f>SUMIF('数据-基础表'!BB10:BK10,"地上",'数据-基础表'!BB5:BK5)</f>
        <v>72325.610000000015</v>
      </c>
      <c r="F8" s="1392"/>
      <c r="G8" s="2236"/>
      <c r="H8" s="2236"/>
      <c r="I8" s="1392"/>
      <c r="J8" s="1392"/>
      <c r="K8" s="1392"/>
      <c r="L8" s="1392"/>
      <c r="M8" s="1392"/>
      <c r="N8" s="1392"/>
      <c r="O8" s="1392"/>
      <c r="P8" s="1392"/>
    </row>
    <row r="9" spans="1:16" ht="14.4">
      <c r="A9" s="2237"/>
      <c r="B9" s="2238"/>
      <c r="C9" s="48" t="s">
        <v>1922</v>
      </c>
      <c r="D9" s="48">
        <f t="shared" si="0"/>
        <v>18.28</v>
      </c>
      <c r="E9" s="52">
        <f>'数据-基础表'!AH5</f>
        <v>101.72</v>
      </c>
      <c r="F9" s="1392"/>
      <c r="G9" s="2236"/>
      <c r="H9" s="2236"/>
      <c r="I9" s="1392"/>
      <c r="J9" s="1392"/>
      <c r="K9" s="1392"/>
      <c r="L9" s="1392"/>
      <c r="M9" s="1392"/>
      <c r="N9" s="1392"/>
      <c r="O9" s="1392"/>
      <c r="P9" s="1392"/>
    </row>
    <row r="10" spans="1:16" ht="14.4">
      <c r="A10" s="2237"/>
      <c r="B10" s="2238"/>
      <c r="C10" s="48" t="s">
        <v>1931</v>
      </c>
      <c r="D10" s="48">
        <f t="shared" si="0"/>
        <v>2294.7600000000002</v>
      </c>
      <c r="E10" s="51">
        <f>SUMPRODUCT(('数据-基础表'!BB10:BK10="地下")*('数据-基础表'!BB11:BK11="商业")*('数据-基础表'!BB5:BK5))</f>
        <v>12769.119999999999</v>
      </c>
      <c r="F10" s="1392"/>
      <c r="G10" s="2236"/>
      <c r="H10" s="2236"/>
      <c r="I10" s="1392"/>
      <c r="J10" s="1392"/>
      <c r="K10" s="1392"/>
      <c r="L10" s="1392"/>
      <c r="M10" s="1392"/>
      <c r="N10" s="1392"/>
      <c r="O10" s="1392"/>
      <c r="P10" s="1392"/>
    </row>
    <row r="11" spans="1:16" ht="14.4">
      <c r="A11" s="2237"/>
      <c r="B11" s="2238"/>
      <c r="C11" s="48" t="s">
        <v>1923</v>
      </c>
      <c r="D11" s="48">
        <f t="shared" si="0"/>
        <v>9.9700000000000006</v>
      </c>
      <c r="E11" s="51">
        <f>SUMPRODUCT(('数据-基础表'!BB10:BK10="地下")*('数据-基础表'!BB11:BK11="办公")*('数据-基础表'!BB5:BK5))+'数据-基础表'!BP5</f>
        <v>55.46</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3221.81</v>
      </c>
      <c r="E13" s="51">
        <f>SUMPRODUCT(('数据-基础表'!BB10:BK10="地下")*('数据-基础表'!BB11:BK11="车库")*('数据-基础表'!BB5:BK5))</f>
        <v>17927.650000000001</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18542.600000000002</v>
      </c>
      <c r="E16" s="53">
        <f>SUM(E8:E15)</f>
        <v>103179.56000000003</v>
      </c>
      <c r="F16" s="1392"/>
      <c r="G16" s="2236"/>
      <c r="H16" s="2239" t="s">
        <v>1938</v>
      </c>
      <c r="I16" s="2240"/>
      <c r="J16" s="1392"/>
      <c r="K16" s="3090" t="s">
        <v>1938</v>
      </c>
      <c r="L16" s="3091"/>
      <c r="M16" s="3091"/>
      <c r="N16" s="3091"/>
      <c r="O16" s="3091"/>
      <c r="P16" s="3092"/>
    </row>
    <row r="17" spans="1:19" ht="14.4">
      <c r="A17" s="2241" t="s">
        <v>1939</v>
      </c>
      <c r="B17" s="2242" t="s">
        <v>1940</v>
      </c>
      <c r="C17" s="2243" t="s">
        <v>1941</v>
      </c>
      <c r="D17" s="2244" t="s">
        <v>1929</v>
      </c>
      <c r="E17" s="2245" t="s">
        <v>1930</v>
      </c>
      <c r="F17" s="2246"/>
      <c r="G17" s="2247"/>
      <c r="H17" s="2248" t="s">
        <v>1942</v>
      </c>
      <c r="I17" s="2249" t="s">
        <v>1927</v>
      </c>
      <c r="J17" s="1392"/>
      <c r="K17" s="3087" t="s">
        <v>1943</v>
      </c>
      <c r="L17" s="3088"/>
      <c r="M17" s="3089"/>
      <c r="N17" s="3087" t="s">
        <v>1944</v>
      </c>
      <c r="O17" s="3088"/>
      <c r="P17" s="3089"/>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52" t="s">
        <v>3114</v>
      </c>
      <c r="D19" s="48">
        <f>ROUND($D$3*E19/$E$3,2)</f>
        <v>1362.39</v>
      </c>
      <c r="E19" s="56">
        <f t="shared" ref="E19:E26" si="1">SUM(F19:G19)</f>
        <v>7580.9700000000012</v>
      </c>
      <c r="F19" s="57">
        <f>'数据-基础表'!I5-'数据-基础表'!J5</f>
        <v>7580.9700000000012</v>
      </c>
      <c r="G19" s="58"/>
      <c r="H19" s="723">
        <f>ROUND($D$3*I19/$E$3,2)</f>
        <v>17.850000000000001</v>
      </c>
      <c r="I19" s="51">
        <f t="shared" ref="I19:I26" si="2">IF($I$17="自定义",P19,M19)</f>
        <v>99.31</v>
      </c>
      <c r="J19" s="1392"/>
      <c r="K19" s="1391">
        <f t="shared" ref="K19:K26" si="3">ROUND(E$28*E19/E$27,2)</f>
        <v>99.31</v>
      </c>
      <c r="L19" s="1247">
        <f t="shared" ref="L19:L26" si="4">ROUND(IF(COUNTIF(C19,"*住宅*")&gt;0,E$29*E19/E$32,0),2)</f>
        <v>0</v>
      </c>
      <c r="M19" s="1403">
        <f>K19+L19</f>
        <v>99.31</v>
      </c>
      <c r="N19" s="2259"/>
      <c r="O19" s="2260"/>
      <c r="P19" s="1403">
        <f>N19+O19</f>
        <v>0</v>
      </c>
      <c r="R19" s="1247">
        <f t="shared" ref="R19:S26" si="5">D19+H19</f>
        <v>1380.24</v>
      </c>
      <c r="S19" s="1248">
        <f t="shared" si="5"/>
        <v>7680.2800000000016</v>
      </c>
    </row>
    <row r="20" spans="1:19" ht="14.4">
      <c r="A20" s="2261"/>
      <c r="B20" s="50" t="s">
        <v>1956</v>
      </c>
      <c r="C20" s="2952" t="s">
        <v>3115</v>
      </c>
      <c r="D20" s="48">
        <f t="shared" ref="D20:D26" si="6">ROUND($D$3*E20/$E$3,2)</f>
        <v>1393.75</v>
      </c>
      <c r="E20" s="56">
        <f t="shared" si="1"/>
        <v>7755.46</v>
      </c>
      <c r="F20" s="57">
        <f>'数据-基础表'!K5</f>
        <v>7755.46</v>
      </c>
      <c r="G20" s="58"/>
      <c r="H20" s="723">
        <f t="shared" ref="H20:H26" si="7">ROUND($D$3*I20/$E$3,2)</f>
        <v>18.260000000000002</v>
      </c>
      <c r="I20" s="51">
        <f t="shared" si="2"/>
        <v>101.6</v>
      </c>
      <c r="J20" s="1392"/>
      <c r="K20" s="1391">
        <f t="shared" si="3"/>
        <v>101.6</v>
      </c>
      <c r="L20" s="1247">
        <f t="shared" si="4"/>
        <v>0</v>
      </c>
      <c r="M20" s="1403">
        <f t="shared" ref="M20:M26" si="8">K20+L20</f>
        <v>101.6</v>
      </c>
      <c r="N20" s="2259"/>
      <c r="O20" s="2260"/>
      <c r="P20" s="1403">
        <f t="shared" ref="P20:P26" si="9">N20+O20</f>
        <v>0</v>
      </c>
      <c r="R20" s="1247">
        <f t="shared" si="5"/>
        <v>1412.01</v>
      </c>
      <c r="S20" s="1248">
        <f t="shared" si="5"/>
        <v>7857.06</v>
      </c>
    </row>
    <row r="21" spans="1:19" ht="14.4">
      <c r="A21" s="2261"/>
      <c r="B21" s="50" t="s">
        <v>1956</v>
      </c>
      <c r="C21" s="2952" t="s">
        <v>3540</v>
      </c>
      <c r="D21" s="48">
        <f t="shared" si="6"/>
        <v>5682.44</v>
      </c>
      <c r="E21" s="56">
        <f t="shared" si="1"/>
        <v>31619.72</v>
      </c>
      <c r="F21" s="57">
        <f>'数据-基础表'!M17+'数据-基础表'!M19</f>
        <v>31619.72</v>
      </c>
      <c r="G21" s="58"/>
      <c r="H21" s="723">
        <f t="shared" si="7"/>
        <v>74.44</v>
      </c>
      <c r="I21" s="51">
        <f t="shared" si="2"/>
        <v>414.22</v>
      </c>
      <c r="J21" s="1392"/>
      <c r="K21" s="1391">
        <f t="shared" si="3"/>
        <v>414.22</v>
      </c>
      <c r="L21" s="1247">
        <f t="shared" si="4"/>
        <v>0</v>
      </c>
      <c r="M21" s="1403">
        <f t="shared" si="8"/>
        <v>414.22</v>
      </c>
      <c r="N21" s="2259"/>
      <c r="O21" s="2260"/>
      <c r="P21" s="1403">
        <f t="shared" si="9"/>
        <v>0</v>
      </c>
      <c r="R21" s="1247">
        <f t="shared" si="5"/>
        <v>5756.8799999999992</v>
      </c>
      <c r="S21" s="1248">
        <f t="shared" si="5"/>
        <v>32033.940000000002</v>
      </c>
    </row>
    <row r="22" spans="1:19" ht="14.4">
      <c r="A22" s="2261"/>
      <c r="B22" s="50" t="s">
        <v>1956</v>
      </c>
      <c r="C22" s="2953" t="s">
        <v>3116</v>
      </c>
      <c r="D22" s="48">
        <f t="shared" si="6"/>
        <v>2832.93</v>
      </c>
      <c r="E22" s="56">
        <f t="shared" si="1"/>
        <v>15763.72</v>
      </c>
      <c r="F22" s="61">
        <f>'数据-基础表'!O5</f>
        <v>2994.6</v>
      </c>
      <c r="G22" s="62">
        <f>'数据-基础表'!Q5</f>
        <v>12769.119999999999</v>
      </c>
      <c r="H22" s="723">
        <f t="shared" si="7"/>
        <v>37.11</v>
      </c>
      <c r="I22" s="51">
        <f t="shared" si="2"/>
        <v>206.51</v>
      </c>
      <c r="J22" s="1392"/>
      <c r="K22" s="1391">
        <f t="shared" si="3"/>
        <v>206.51</v>
      </c>
      <c r="L22" s="1247">
        <f t="shared" si="4"/>
        <v>0</v>
      </c>
      <c r="M22" s="1403">
        <f t="shared" si="8"/>
        <v>206.51</v>
      </c>
      <c r="N22" s="2259"/>
      <c r="O22" s="2260"/>
      <c r="P22" s="1403">
        <f t="shared" si="9"/>
        <v>0</v>
      </c>
      <c r="R22" s="1247">
        <f t="shared" si="5"/>
        <v>2870.04</v>
      </c>
      <c r="S22" s="1248">
        <f t="shared" si="5"/>
        <v>15970.23</v>
      </c>
    </row>
    <row r="23" spans="1:19" ht="14.4">
      <c r="A23" s="2261"/>
      <c r="B23" s="50" t="s">
        <v>1956</v>
      </c>
      <c r="C23" s="2953" t="s">
        <v>3117</v>
      </c>
      <c r="D23" s="48">
        <f>ROUND($D$3*E23/$E$3,2)</f>
        <v>3221.81</v>
      </c>
      <c r="E23" s="56">
        <f>SUM(F23:G23)</f>
        <v>17927.650000000001</v>
      </c>
      <c r="F23" s="61"/>
      <c r="G23" s="62">
        <f>'数据-基础表'!S5</f>
        <v>17927.650000000001</v>
      </c>
      <c r="H23" s="723">
        <f>ROUND($D$3*I23/$E$3,2)</f>
        <v>42.21</v>
      </c>
      <c r="I23" s="51">
        <f t="shared" si="2"/>
        <v>234.86</v>
      </c>
      <c r="J23" s="1392"/>
      <c r="K23" s="1391">
        <f t="shared" si="3"/>
        <v>234.86</v>
      </c>
      <c r="L23" s="1247">
        <f t="shared" si="4"/>
        <v>0</v>
      </c>
      <c r="M23" s="1403">
        <f t="shared" si="8"/>
        <v>234.86</v>
      </c>
      <c r="N23" s="2259"/>
      <c r="O23" s="2260"/>
      <c r="P23" s="1403">
        <f t="shared" si="9"/>
        <v>0</v>
      </c>
      <c r="R23" s="1247">
        <f t="shared" si="5"/>
        <v>3264.02</v>
      </c>
      <c r="S23" s="1248">
        <f t="shared" si="5"/>
        <v>18162.510000000002</v>
      </c>
    </row>
    <row r="24" spans="1:19" ht="14.4">
      <c r="A24" s="2261"/>
      <c r="B24" s="50" t="s">
        <v>1956</v>
      </c>
      <c r="C24" s="2953" t="s">
        <v>3541</v>
      </c>
      <c r="D24" s="48">
        <f>ROUND($D$3*E24/$E$3,2)</f>
        <v>4021.03</v>
      </c>
      <c r="E24" s="56">
        <f>SUM(F24:G24)</f>
        <v>22374.86</v>
      </c>
      <c r="F24" s="61">
        <f>'数据-基础表'!M13+'数据-基础表'!M14</f>
        <v>22374.86</v>
      </c>
      <c r="G24" s="62"/>
      <c r="H24" s="723">
        <f>ROUND($D$3*I24/$E$3,2)</f>
        <v>52.68</v>
      </c>
      <c r="I24" s="51">
        <f t="shared" si="2"/>
        <v>293.11</v>
      </c>
      <c r="J24" s="1392"/>
      <c r="K24" s="1391">
        <f t="shared" si="3"/>
        <v>293.11</v>
      </c>
      <c r="L24" s="1247">
        <f t="shared" si="4"/>
        <v>0</v>
      </c>
      <c r="M24" s="1403">
        <f t="shared" si="8"/>
        <v>293.11</v>
      </c>
      <c r="N24" s="2259"/>
      <c r="O24" s="2260"/>
      <c r="P24" s="1403">
        <f t="shared" si="9"/>
        <v>0</v>
      </c>
      <c r="R24" s="1247">
        <f t="shared" si="5"/>
        <v>4073.71</v>
      </c>
      <c r="S24" s="1248">
        <f t="shared" si="5"/>
        <v>22667.97</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2" thickBot="1">
      <c r="A27" s="2261"/>
      <c r="B27" s="48"/>
      <c r="C27" s="2264" t="s">
        <v>1957</v>
      </c>
      <c r="D27" s="1393">
        <f>SUM(D19:D26)</f>
        <v>18514.349999999999</v>
      </c>
      <c r="E27" s="1394">
        <f>IF(SUM(E19:E26)='数据-基础表'!BA5,SUM(E19:E26),IF(F27="地上面积有误","面积有误","地下面积有误"))</f>
        <v>103022.38</v>
      </c>
      <c r="F27" s="1393">
        <f>IF(SUM(F19:F26)=E8,SUM(F19:F26),"地上面积有误")</f>
        <v>72325.61</v>
      </c>
      <c r="G27" s="1395">
        <f>SUM(G19:G26)</f>
        <v>30696.77</v>
      </c>
      <c r="H27" s="1396">
        <f>SUM(H19:H26)</f>
        <v>242.55</v>
      </c>
      <c r="I27" s="1397">
        <f>SUM(I19:I26)</f>
        <v>1349.6100000000001</v>
      </c>
      <c r="J27" s="1392"/>
      <c r="K27" s="1400">
        <f>SUM(K19:K26)</f>
        <v>1349.6100000000001</v>
      </c>
      <c r="L27" s="1401">
        <f>SUM(L19:L26)</f>
        <v>0</v>
      </c>
      <c r="M27" s="1404">
        <f>SUM(M19:M26)</f>
        <v>1349.6100000000001</v>
      </c>
      <c r="N27" s="1400">
        <f t="shared" ref="N27:O27" si="10">SUM(N19:N26)</f>
        <v>0</v>
      </c>
      <c r="O27" s="1401">
        <f t="shared" si="10"/>
        <v>0</v>
      </c>
      <c r="P27" s="1402">
        <f>SUM(P19:P26)</f>
        <v>0</v>
      </c>
      <c r="R27" s="1249" t="str">
        <f>IF(SUM(R19:R26)=$D$3,SUM(R19:R26),SUM(R19:R26)&amp;"误差"&amp;ROUND(SUM(R19:R26)-$D$3,2))</f>
        <v>18756.9误差-1376.85</v>
      </c>
      <c r="S27" s="1247" t="str">
        <f>IF(SUM(S19:S26)=$E$3,SUM(S19:S26),SUM(S19:S26)&amp;"误差"&amp;ROUND(SUM(S19:S26)-E3,2))</f>
        <v>104371.99误差-7661.46</v>
      </c>
    </row>
    <row r="28" spans="1:19" ht="14.4">
      <c r="A28" s="2261"/>
      <c r="B28" s="50" t="s">
        <v>1958</v>
      </c>
      <c r="C28" s="1259" t="s">
        <v>1959</v>
      </c>
      <c r="D28" s="48">
        <f>ROUND($D$3*E28/$E$3,2)</f>
        <v>242.54</v>
      </c>
      <c r="E28" s="56">
        <f>SUM(F28:G28)</f>
        <v>1349.61</v>
      </c>
      <c r="F28" s="64">
        <f>'数据-基础表'!BQ5+'数据-基础表'!BS5</f>
        <v>277</v>
      </c>
      <c r="G28" s="65">
        <f>'数据-基础表'!BR5+'数据-基础表'!BT5</f>
        <v>1072.6099999999999</v>
      </c>
      <c r="H28" s="1392"/>
      <c r="I28" s="1392"/>
      <c r="J28" s="1392"/>
      <c r="K28" s="1392"/>
      <c r="L28" s="1392"/>
      <c r="M28" s="1392"/>
      <c r="N28" s="1392"/>
      <c r="O28" s="1392"/>
      <c r="P28" s="1392"/>
    </row>
    <row r="29" spans="1:19" ht="14.4">
      <c r="A29" s="2261"/>
      <c r="B29" s="50" t="s">
        <v>1958</v>
      </c>
      <c r="C29" s="2265" t="s">
        <v>1960</v>
      </c>
      <c r="D29" s="48">
        <f>ROUND($D$3*E29/$E$3,2)</f>
        <v>1376.86</v>
      </c>
      <c r="E29" s="56">
        <f>SUM(F29:G29)</f>
        <v>7661.4600000000009</v>
      </c>
      <c r="F29" s="66">
        <f>'数据-基础表'!BM5+'数据-基础表'!BO5</f>
        <v>7606.0000000000009</v>
      </c>
      <c r="G29" s="67">
        <f>'数据-基础表'!BN5+'数据-基础表'!BP5</f>
        <v>55.46</v>
      </c>
      <c r="H29" s="1392"/>
      <c r="I29" s="1392"/>
      <c r="J29" s="1392"/>
      <c r="K29" s="1392"/>
      <c r="L29" s="1392"/>
      <c r="M29" s="1392"/>
      <c r="N29" s="1392"/>
      <c r="O29" s="1392"/>
      <c r="P29" s="1392"/>
    </row>
    <row r="30" spans="1:19" ht="14.4">
      <c r="A30" s="2261"/>
      <c r="B30" s="50"/>
      <c r="C30" s="2266" t="s">
        <v>1957</v>
      </c>
      <c r="D30" s="1393">
        <f>SUM(D28:D29)</f>
        <v>1619.3999999999999</v>
      </c>
      <c r="E30" s="1393">
        <f>SUM(E28:E29)</f>
        <v>9011.0700000000015</v>
      </c>
      <c r="F30" s="1393">
        <f>SUM(F28:F29)</f>
        <v>7883.0000000000009</v>
      </c>
      <c r="G30" s="1395">
        <f>SUM(G28:G29)</f>
        <v>1128.07</v>
      </c>
      <c r="H30" s="1392"/>
      <c r="I30" s="1392"/>
      <c r="J30" s="1392"/>
      <c r="K30" s="1392"/>
      <c r="L30" s="1392"/>
      <c r="M30" s="1392"/>
      <c r="N30" s="1392"/>
      <c r="O30" s="1392"/>
      <c r="P30" s="1392"/>
    </row>
    <row r="31" spans="1:19" ht="15" thickBot="1">
      <c r="A31" s="2267"/>
      <c r="B31" s="2268"/>
      <c r="C31" s="1007" t="s">
        <v>1961</v>
      </c>
      <c r="D31" s="729">
        <f>D27+D30</f>
        <v>20133.75</v>
      </c>
      <c r="E31" s="729">
        <f>E27+E30</f>
        <v>112033.45000000001</v>
      </c>
      <c r="F31" s="730">
        <f>F27+F30</f>
        <v>80208.61</v>
      </c>
      <c r="G31" s="731">
        <f>G27+G30</f>
        <v>31824.84</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V9" sqref="V9:V10"/>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5546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1964</v>
      </c>
      <c r="B2" s="1266">
        <f>项目基本情况!D3</f>
        <v>43616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4" t="str">
        <f>'数据-汇总表'!C19</f>
        <v>小高层</v>
      </c>
      <c r="B6" s="2305" t="str">
        <f>IF(A6=0,"","经营性")</f>
        <v>经营性</v>
      </c>
      <c r="C6" s="2306" t="s">
        <v>3055</v>
      </c>
      <c r="D6" s="1051">
        <f>SUMIF(项目基本情况!D$12:I$12,C6,项目基本情况!D$14:I$14)</f>
        <v>70</v>
      </c>
      <c r="E6" s="1048">
        <f>IF(B6="","",SUMIF(项目基本情况!D$12:I$12,C6,项目基本情况!D$13:I$13))</f>
        <v>67643</v>
      </c>
      <c r="F6" s="72">
        <f>SUMIF(项目基本情况!D$12:I$12,C6,项目基本情况!D$15:I$15)</f>
        <v>65.819999999999993</v>
      </c>
      <c r="G6" s="73">
        <f>IF(ISERROR(ROUND(POWER(1+H6,D6-F6)*(POWER(1+H6,F6)-1)/(POWER(1+H6,D6)-1),3)),0,ROUND(POWER(1+H6,D6-F6)*(POWER(1+H6,F6)-1)/(POWER(1+H6,D6)-1),3))</f>
        <v>0.98799999999999999</v>
      </c>
      <c r="H6" s="802">
        <v>0.04</v>
      </c>
      <c r="I6" s="802">
        <v>4.4999999999999998E-2</v>
      </c>
      <c r="J6" s="802">
        <v>8.5000000000000006E-2</v>
      </c>
      <c r="K6" s="1251">
        <f>SUMIF('数据-汇总表'!C$19:C$33,A6,'数据-汇总表'!E$19:E$33)</f>
        <v>7580.9700000000012</v>
      </c>
      <c r="L6" s="803">
        <v>3000</v>
      </c>
      <c r="M6" s="75">
        <f t="shared" ref="M6:M14" si="0">ROUND(K6*L6/10000,0)</f>
        <v>2274</v>
      </c>
      <c r="N6" s="801">
        <v>0.95</v>
      </c>
      <c r="O6" s="75">
        <f>IF($N$5="成新度","——",ROUND(M6*N6,0))</f>
        <v>2160</v>
      </c>
      <c r="P6" s="76">
        <f>IF($N$5="成新度","——",M6-O6)</f>
        <v>114</v>
      </c>
      <c r="Q6" s="804">
        <v>0.2</v>
      </c>
      <c r="R6" s="77">
        <f ca="1">SUMIF('数据-汇总表'!C$19:C$33,A6,'数据-汇总表'!R$19:R$27)</f>
        <v>1380.24</v>
      </c>
      <c r="S6" s="54">
        <f>IF('数据-汇总表'!$I$17="按面积比例",SUMIF('数据-汇总表'!C$19:C$33,A6,'数据-汇总表'!K$19:K$33),SUMIF('数据-汇总表'!C$19:C$33,A6,'数据-汇总表'!N$19:N$33))</f>
        <v>99.31</v>
      </c>
      <c r="T6" s="1443">
        <f>ROUND($L$14*S6/10000,0)</f>
        <v>30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22742910.000000004</v>
      </c>
      <c r="AQ6" s="55">
        <f>ROUND($L$14*$N$14*S6/10000,0)</f>
        <v>28</v>
      </c>
      <c r="AR6" s="55">
        <f>ROUND($L$14*(1-$N$14)*S6/10000,0)</f>
        <v>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公租房</v>
      </c>
      <c r="B7" s="2305" t="str">
        <f t="shared" ref="B7:B13" si="1">IF(A7=0,"","经营性")</f>
        <v>经营性</v>
      </c>
      <c r="C7" s="2306" t="s">
        <v>3055</v>
      </c>
      <c r="D7" s="1051">
        <f>SUMIF(项目基本情况!D$12:I$12,C7,项目基本情况!D$14:I$14)</f>
        <v>70</v>
      </c>
      <c r="E7" s="1048">
        <f>IF(B7="","",SUMIF(项目基本情况!D$12:I$12,C7,项目基本情况!D$13:I$13))</f>
        <v>67643</v>
      </c>
      <c r="F7" s="72">
        <f>SUMIF(项目基本情况!D$12:I$12,C7,项目基本情况!D$15:I$15)</f>
        <v>65.819999999999993</v>
      </c>
      <c r="G7" s="73">
        <f t="shared" ref="G7:G11" si="2">IF(ISERROR(ROUND(POWER(1+H7,D7-F7)*(POWER(1+H7,F7)-1)/(POWER(1+H7,D7)-1),3)),0,ROUND(POWER(1+H7,D7-F7)*(POWER(1+H7,F7)-1)/(POWER(1+H7,D7)-1),3))</f>
        <v>0.98799999999999999</v>
      </c>
      <c r="H7" s="802">
        <v>0.04</v>
      </c>
      <c r="I7" s="802">
        <v>4.4999999999999998E-2</v>
      </c>
      <c r="J7" s="802">
        <v>8.5000000000000006E-2</v>
      </c>
      <c r="K7" s="1251">
        <f>SUMIF('数据-汇总表'!C$19:C$33,A7,'数据-汇总表'!E$19:E$33)</f>
        <v>7755.46</v>
      </c>
      <c r="L7" s="803">
        <v>3500</v>
      </c>
      <c r="M7" s="75">
        <f t="shared" si="0"/>
        <v>2714</v>
      </c>
      <c r="N7" s="801">
        <f>N6</f>
        <v>0.95</v>
      </c>
      <c r="O7" s="75">
        <f t="shared" ref="O7:O14" si="3">IF($N$5="成新度","——",ROUND(M7*N7,0))</f>
        <v>2578</v>
      </c>
      <c r="P7" s="76">
        <f t="shared" ref="P7:P14" si="4">IF($N$5="成新度","——",M7-O7)</f>
        <v>136</v>
      </c>
      <c r="Q7" s="804">
        <v>0.03</v>
      </c>
      <c r="R7" s="77">
        <f ca="1">SUMIF('数据-汇总表'!C$19:C$33,A7,'数据-汇总表'!R$19:R$27)</f>
        <v>1412.01</v>
      </c>
      <c r="S7" s="54">
        <f>IF('数据-汇总表'!$I$17="按面积比例",SUMIF('数据-汇总表'!C$19:C$33,A7,'数据-汇总表'!K$19:K$33),SUMIF('数据-汇总表'!C$19:C$33,A7,'数据-汇总表'!N$19:N$33))</f>
        <v>101.6</v>
      </c>
      <c r="T7" s="1443">
        <f t="shared" ref="T7:T13" si="5">ROUND($L$14*S7/10000,0)</f>
        <v>30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27144110</v>
      </c>
      <c r="AQ7" s="55">
        <f t="shared" ref="AQ7:AQ13" si="10">ROUND($L$14*$N$14*S7/10000,0)</f>
        <v>29</v>
      </c>
      <c r="AR7" s="55">
        <f t="shared" ref="AR7:AR13" si="11">ROUND($L$14*(1-$N$14)*S7/10000,0)</f>
        <v>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办公自持</v>
      </c>
      <c r="B8" s="2305" t="str">
        <f t="shared" si="1"/>
        <v>经营性</v>
      </c>
      <c r="C8" s="2306" t="s">
        <v>27</v>
      </c>
      <c r="D8" s="1051">
        <f>SUMIF(项目基本情况!D$12:I$12,C8,项目基本情况!D$14:I$14)</f>
        <v>50</v>
      </c>
      <c r="E8" s="1048">
        <f>IF(B8="","",SUMIF(项目基本情况!D$12:I$12,C8,项目基本情况!D$13:I$13))</f>
        <v>60338</v>
      </c>
      <c r="F8" s="72">
        <f>SUMIF(项目基本情况!D$12:I$12,C8,项目基本情况!D$15:I$15)</f>
        <v>45.81</v>
      </c>
      <c r="G8" s="73">
        <f t="shared" si="2"/>
        <v>0.97799999999999998</v>
      </c>
      <c r="H8" s="802">
        <v>0.05</v>
      </c>
      <c r="I8" s="3001">
        <v>0.05</v>
      </c>
      <c r="J8" s="802">
        <v>8.5000000000000006E-2</v>
      </c>
      <c r="K8" s="1251">
        <f>SUMIF('数据-汇总表'!C$19:C$33,A8,'数据-汇总表'!E$19:E$33)</f>
        <v>31619.72</v>
      </c>
      <c r="L8" s="803">
        <f>L6</f>
        <v>3000</v>
      </c>
      <c r="M8" s="75">
        <f>ROUND(K8*L8/10000,0)</f>
        <v>9486</v>
      </c>
      <c r="N8" s="801">
        <f>N6</f>
        <v>0.95</v>
      </c>
      <c r="O8" s="75">
        <f t="shared" si="3"/>
        <v>9012</v>
      </c>
      <c r="P8" s="76">
        <f t="shared" si="4"/>
        <v>474</v>
      </c>
      <c r="Q8" s="804">
        <v>0.1</v>
      </c>
      <c r="R8" s="77">
        <f ca="1">SUMIF('数据-汇总表'!C$19:C$33,A8,'数据-汇总表'!R$19:R$27)</f>
        <v>5756.8799999999992</v>
      </c>
      <c r="S8" s="54">
        <f>IF('数据-汇总表'!$I$17="按面积比例",SUMIF('数据-汇总表'!C$19:C$33,A8,'数据-汇总表'!K$19:K$33),SUMIF('数据-汇总表'!C$19:C$33,A8,'数据-汇总表'!N$19:N$33))</f>
        <v>414.22</v>
      </c>
      <c r="T8" s="1443">
        <f t="shared" si="5"/>
        <v>124</v>
      </c>
      <c r="U8" s="3002">
        <v>4</v>
      </c>
      <c r="V8" s="3003">
        <v>3.5000000000000003E-2</v>
      </c>
      <c r="W8" s="3003">
        <v>0.08</v>
      </c>
      <c r="X8" s="1261"/>
      <c r="Y8" s="807">
        <v>1</v>
      </c>
      <c r="Z8" s="81"/>
      <c r="AA8" s="74"/>
      <c r="AB8" s="74"/>
      <c r="AC8" s="1261"/>
      <c r="AD8" s="82"/>
      <c r="AE8" s="1262">
        <f t="shared" ca="1" si="6"/>
        <v>45.660000000000004</v>
      </c>
      <c r="AF8" s="1803"/>
      <c r="AG8" s="147">
        <f t="shared" si="7"/>
        <v>0</v>
      </c>
      <c r="AH8" s="808"/>
      <c r="AI8" s="85">
        <v>365</v>
      </c>
      <c r="AJ8" s="86"/>
      <c r="AK8" s="809">
        <v>1.4999999999999999E-2</v>
      </c>
      <c r="AL8" s="810">
        <v>1.5E-3</v>
      </c>
      <c r="AM8" s="811">
        <v>1.4999999999999999E-2</v>
      </c>
      <c r="AN8" s="2307" t="s">
        <v>3550</v>
      </c>
      <c r="AO8" s="55">
        <f t="shared" ca="1" si="8"/>
        <v>103574</v>
      </c>
      <c r="AP8" s="2308">
        <f t="shared" si="9"/>
        <v>0</v>
      </c>
      <c r="AQ8" s="55">
        <f t="shared" si="10"/>
        <v>118</v>
      </c>
      <c r="AR8" s="55">
        <f t="shared" si="11"/>
        <v>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商业</v>
      </c>
      <c r="B9" s="2305" t="str">
        <f t="shared" si="1"/>
        <v>经营性</v>
      </c>
      <c r="C9" s="2306" t="s">
        <v>1373</v>
      </c>
      <c r="D9" s="1051">
        <f>SUMIF(项目基本情况!D$12:I$12,C9,项目基本情况!D$14:I$14)</f>
        <v>40</v>
      </c>
      <c r="E9" s="1048">
        <f>IF(B9="","",SUMIF(项目基本情况!D$12:I$12,C9,项目基本情况!D$13:I$13))</f>
        <v>56685</v>
      </c>
      <c r="F9" s="72">
        <f>SUMIF(项目基本情况!D$12:I$12,C9,项目基本情况!D$15:I$15)</f>
        <v>35.799999999999997</v>
      </c>
      <c r="G9" s="73">
        <f t="shared" si="2"/>
        <v>0.96199999999999997</v>
      </c>
      <c r="H9" s="802">
        <v>0.05</v>
      </c>
      <c r="I9" s="802">
        <v>5.5E-2</v>
      </c>
      <c r="J9" s="802">
        <v>8.5000000000000006E-2</v>
      </c>
      <c r="K9" s="1251">
        <f>SUMIF('数据-汇总表'!C$19:C$33,A9,'数据-汇总表'!E$19:E$33)</f>
        <v>15763.72</v>
      </c>
      <c r="L9" s="803">
        <f>L6</f>
        <v>3000</v>
      </c>
      <c r="M9" s="75">
        <f t="shared" si="0"/>
        <v>4729</v>
      </c>
      <c r="N9" s="801">
        <f t="shared" ref="N9:N11" si="12">N7</f>
        <v>0.95</v>
      </c>
      <c r="O9" s="75">
        <f t="shared" si="3"/>
        <v>4493</v>
      </c>
      <c r="P9" s="76">
        <f t="shared" si="4"/>
        <v>236</v>
      </c>
      <c r="Q9" s="90">
        <v>0.1</v>
      </c>
      <c r="R9" s="77">
        <f ca="1">SUMIF('数据-汇总表'!C$19:C$33,A9,'数据-汇总表'!R$19:R$27)</f>
        <v>2870.04</v>
      </c>
      <c r="S9" s="54">
        <f>IF('数据-汇总表'!$I$17="按面积比例",SUMIF('数据-汇总表'!C$19:C$33,A9,'数据-汇总表'!K$19:K$33),SUMIF('数据-汇总表'!C$19:C$33,A9,'数据-汇总表'!N$19:N$33))</f>
        <v>206.51</v>
      </c>
      <c r="T9" s="1443">
        <f t="shared" si="5"/>
        <v>62</v>
      </c>
      <c r="U9" s="3002">
        <v>4.7</v>
      </c>
      <c r="V9" s="3350">
        <v>3.5000000000000003E-2</v>
      </c>
      <c r="W9" s="806">
        <v>0.1</v>
      </c>
      <c r="X9" s="1261"/>
      <c r="Y9" s="807">
        <v>1</v>
      </c>
      <c r="Z9" s="81"/>
      <c r="AA9" s="74"/>
      <c r="AB9" s="74"/>
      <c r="AC9" s="1261"/>
      <c r="AD9" s="82"/>
      <c r="AE9" s="1262">
        <f t="shared" ca="1" si="6"/>
        <v>35.65</v>
      </c>
      <c r="AF9" s="1803"/>
      <c r="AG9" s="147">
        <f t="shared" si="7"/>
        <v>0</v>
      </c>
      <c r="AH9" s="83"/>
      <c r="AI9" s="85">
        <v>365</v>
      </c>
      <c r="AJ9" s="86"/>
      <c r="AK9" s="809">
        <v>1.4999999999999999E-2</v>
      </c>
      <c r="AL9" s="810">
        <v>1.5E-3</v>
      </c>
      <c r="AM9" s="811">
        <v>1.4999999999999999E-2</v>
      </c>
      <c r="AN9" s="2307" t="s">
        <v>3548</v>
      </c>
      <c r="AO9" s="55">
        <f t="shared" ca="1" si="8"/>
        <v>46142</v>
      </c>
      <c r="AP9" s="2308">
        <f t="shared" si="9"/>
        <v>0</v>
      </c>
      <c r="AQ9" s="55">
        <f t="shared" si="10"/>
        <v>59</v>
      </c>
      <c r="AR9" s="55">
        <f t="shared" si="11"/>
        <v>3</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t="str">
        <f>'数据-汇总表'!C23</f>
        <v>地下车库</v>
      </c>
      <c r="B10" s="2305" t="str">
        <f t="shared" si="1"/>
        <v>经营性</v>
      </c>
      <c r="C10" s="2306" t="s">
        <v>3113</v>
      </c>
      <c r="D10" s="1051">
        <f>SUMIF(项目基本情况!D$12:I$12,C10,项目基本情况!D$14:I$14)</f>
        <v>50</v>
      </c>
      <c r="E10" s="1048">
        <f>IF(B10="","",SUMIF(项目基本情况!D$12:I$12,C10,项目基本情况!D$13:I$13))</f>
        <v>60338</v>
      </c>
      <c r="F10" s="72">
        <f>SUMIF(项目基本情况!D$12:I$12,C10,项目基本情况!D$15:I$15)</f>
        <v>45.81</v>
      </c>
      <c r="G10" s="73">
        <f t="shared" si="2"/>
        <v>0.97499999999999998</v>
      </c>
      <c r="H10" s="802">
        <v>4.4999999999999998E-2</v>
      </c>
      <c r="I10" s="802">
        <v>0.05</v>
      </c>
      <c r="J10" s="802">
        <v>8.5000000000000006E-2</v>
      </c>
      <c r="K10" s="1251">
        <f>SUMIF('数据-汇总表'!C$19:C$33,A10,'数据-汇总表'!E$19:E$33)</f>
        <v>17927.650000000001</v>
      </c>
      <c r="L10" s="803">
        <f>L6</f>
        <v>3000</v>
      </c>
      <c r="M10" s="75">
        <f t="shared" si="0"/>
        <v>5378</v>
      </c>
      <c r="N10" s="801">
        <f t="shared" si="12"/>
        <v>0.95</v>
      </c>
      <c r="O10" s="75">
        <f t="shared" si="3"/>
        <v>5109</v>
      </c>
      <c r="P10" s="76">
        <f t="shared" si="4"/>
        <v>269</v>
      </c>
      <c r="Q10" s="90">
        <v>0.05</v>
      </c>
      <c r="R10" s="77">
        <f ca="1">SUMIF('数据-汇总表'!C$19:C$33,A10,'数据-汇总表'!R$19:R$27)</f>
        <v>3264.02</v>
      </c>
      <c r="S10" s="54">
        <f>IF('数据-汇总表'!$I$17="按面积比例",SUMIF('数据-汇总表'!C$19:C$33,A10,'数据-汇总表'!K$19:K$33),SUMIF('数据-汇总表'!C$19:C$33,A10,'数据-汇总表'!N$19:N$33))</f>
        <v>234.86</v>
      </c>
      <c r="T10" s="1443">
        <f t="shared" si="5"/>
        <v>70</v>
      </c>
      <c r="U10" s="805">
        <v>800</v>
      </c>
      <c r="V10" s="3350">
        <v>0.03</v>
      </c>
      <c r="W10" s="806">
        <v>0.1</v>
      </c>
      <c r="X10" s="1261"/>
      <c r="Y10" s="807">
        <v>1</v>
      </c>
      <c r="Z10" s="81"/>
      <c r="AA10" s="74"/>
      <c r="AB10" s="74"/>
      <c r="AC10" s="1261"/>
      <c r="AD10" s="82"/>
      <c r="AE10" s="1262">
        <f t="shared" ca="1" si="6"/>
        <v>45.660000000000004</v>
      </c>
      <c r="AF10" s="1803"/>
      <c r="AG10" s="147">
        <f t="shared" si="7"/>
        <v>0</v>
      </c>
      <c r="AH10" s="83">
        <f>ROUNDDOWN(K10/35,0)</f>
        <v>512</v>
      </c>
      <c r="AI10" s="85">
        <v>12</v>
      </c>
      <c r="AJ10" s="86"/>
      <c r="AK10" s="809">
        <v>1.4999999999999999E-2</v>
      </c>
      <c r="AL10" s="810">
        <v>1.5E-3</v>
      </c>
      <c r="AM10" s="811">
        <v>1.4999999999999999E-2</v>
      </c>
      <c r="AN10" s="2307" t="s">
        <v>3552</v>
      </c>
      <c r="AO10" s="55">
        <f t="shared" ca="1" si="8"/>
        <v>6867</v>
      </c>
      <c r="AP10" s="2308">
        <f t="shared" si="9"/>
        <v>0</v>
      </c>
      <c r="AQ10" s="55">
        <f t="shared" si="10"/>
        <v>67</v>
      </c>
      <c r="AR10" s="55">
        <f t="shared" si="11"/>
        <v>4</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t="str">
        <f>'数据-汇总表'!C24</f>
        <v>办公出售</v>
      </c>
      <c r="B11" s="2305" t="str">
        <f t="shared" si="1"/>
        <v>经营性</v>
      </c>
      <c r="C11" s="2306" t="s">
        <v>27</v>
      </c>
      <c r="D11" s="1051">
        <f>SUMIF(项目基本情况!D$12:I$12,C11,项目基本情况!D$14:I$14)</f>
        <v>50</v>
      </c>
      <c r="E11" s="1048">
        <f>IF(B11="","",SUMIF(项目基本情况!D$12:I$12,C11,项目基本情况!D$13:I$13))</f>
        <v>60338</v>
      </c>
      <c r="F11" s="72">
        <f>SUMIF(项目基本情况!D$12:I$12,C11,项目基本情况!D$15:I$15)</f>
        <v>45.81</v>
      </c>
      <c r="G11" s="73">
        <f t="shared" si="2"/>
        <v>0.97799999999999998</v>
      </c>
      <c r="H11" s="802">
        <v>0.05</v>
      </c>
      <c r="I11" s="802">
        <v>5.5E-2</v>
      </c>
      <c r="J11" s="802">
        <v>8.5000000000000006E-2</v>
      </c>
      <c r="K11" s="1251">
        <f>SUMIF('数据-汇总表'!C$19:C$33,A11,'数据-汇总表'!E$19:E$33)</f>
        <v>22374.86</v>
      </c>
      <c r="L11" s="803">
        <f>L6</f>
        <v>3000</v>
      </c>
      <c r="M11" s="75">
        <f t="shared" si="0"/>
        <v>6712</v>
      </c>
      <c r="N11" s="801">
        <f t="shared" si="12"/>
        <v>0.95</v>
      </c>
      <c r="O11" s="75">
        <f t="shared" si="3"/>
        <v>6376</v>
      </c>
      <c r="P11" s="76">
        <f t="shared" si="4"/>
        <v>336</v>
      </c>
      <c r="Q11" s="90">
        <v>0.15</v>
      </c>
      <c r="R11" s="77">
        <f ca="1">SUMIF('数据-汇总表'!C$19:C$33,A11,'数据-汇总表'!R$19:R$27)</f>
        <v>4073.71</v>
      </c>
      <c r="S11" s="54">
        <f>IF('数据-汇总表'!$I$17="按面积比例",SUMIF('数据-汇总表'!C$19:C$33,A11,'数据-汇总表'!K$19:K$33),SUMIF('数据-汇总表'!C$19:C$33,A11,'数据-汇总表'!N$19:N$33))</f>
        <v>293.11</v>
      </c>
      <c r="T11" s="1443">
        <f t="shared" si="5"/>
        <v>88</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84</v>
      </c>
      <c r="AR11" s="55">
        <f t="shared" si="11"/>
        <v>4</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1349.61</v>
      </c>
      <c r="L14" s="91">
        <f>L6</f>
        <v>3000</v>
      </c>
      <c r="M14" s="75">
        <f t="shared" si="0"/>
        <v>405</v>
      </c>
      <c r="N14" s="92">
        <f>N6</f>
        <v>0.95</v>
      </c>
      <c r="O14" s="75">
        <f t="shared" si="3"/>
        <v>385</v>
      </c>
      <c r="P14" s="76">
        <f t="shared" si="4"/>
        <v>20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7661.4600000000009</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0.97699999999999998</v>
      </c>
      <c r="H16" s="99">
        <f>ROUND(SUMPRODUCT(H6:H13,K6:K13)/SUMPRODUCT((H6:H13&gt;0)*(K6:K13)),3)</f>
        <v>4.8000000000000001E-2</v>
      </c>
      <c r="I16" s="100"/>
      <c r="J16" s="100"/>
      <c r="K16" s="101">
        <f>SUM(K6:K15)</f>
        <v>112033.45000000001</v>
      </c>
      <c r="L16" s="102">
        <f>ROUND(M16*10000/SUM(K6:K14),0)</f>
        <v>3037</v>
      </c>
      <c r="M16" s="102">
        <f>SUM(M6:M14)</f>
        <v>31698</v>
      </c>
      <c r="N16" s="103">
        <f>ROUND(SUMPRODUCT(M6:M14,N6:N14)/M16,3)</f>
        <v>0.95</v>
      </c>
      <c r="O16" s="102">
        <f>SUM(O6:O14)</f>
        <v>30113</v>
      </c>
      <c r="P16" s="102">
        <f>SUM(P6:P14)</f>
        <v>1585</v>
      </c>
      <c r="Q16" s="104">
        <f>ROUND(SUMPRODUCT(Q6:Q13,K6:K13)/SUMPRODUCT((Q6:Q13&gt;0)*(K6:K13)),2)</f>
        <v>0.1</v>
      </c>
      <c r="R16" s="1255">
        <f ca="1">SUM(R6:R13)</f>
        <v>18756.899999999998</v>
      </c>
      <c r="S16" s="105">
        <f>SUM(S6:S13)</f>
        <v>1349.6100000000001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2971" t="s">
        <v>3545</v>
      </c>
      <c r="U18" s="2971" t="s">
        <v>3542</v>
      </c>
      <c r="V18" s="2971" t="s">
        <v>3543</v>
      </c>
      <c r="W18" s="2971" t="s">
        <v>3544</v>
      </c>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2971" t="s">
        <v>3546</v>
      </c>
      <c r="T19" s="1580">
        <f>'数据-基础表'!O5</f>
        <v>2994.6</v>
      </c>
      <c r="U19" s="1580">
        <v>6</v>
      </c>
      <c r="V19" s="1580">
        <v>1</v>
      </c>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3</v>
      </c>
      <c r="C20" s="2275" t="s">
        <v>2018</v>
      </c>
      <c r="D20" s="2276"/>
      <c r="E20" s="2275"/>
      <c r="F20" s="2275"/>
      <c r="G20" s="2275"/>
      <c r="H20" s="2275"/>
      <c r="I20" s="2275"/>
      <c r="J20" s="2275"/>
      <c r="K20" s="168"/>
      <c r="L20" s="168"/>
      <c r="M20" s="1580"/>
      <c r="N20" s="1580"/>
      <c r="O20" s="1580"/>
      <c r="P20" s="1580"/>
      <c r="Q20" s="1580"/>
      <c r="R20" s="1580"/>
      <c r="S20" s="2971" t="s">
        <v>3547</v>
      </c>
      <c r="T20" s="1580">
        <f>'数据-基础表'!Q5</f>
        <v>12769.119999999999</v>
      </c>
      <c r="U20" s="1580">
        <f>U19*V20</f>
        <v>3.5999999999999996</v>
      </c>
      <c r="V20" s="1580">
        <v>0.6</v>
      </c>
      <c r="W20" s="1580">
        <f>ROUND((U19*T19+U20*T20)/T21,2)</f>
        <v>4.0599999999999996</v>
      </c>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B20*N14</f>
        <v>2.8499999999999996</v>
      </c>
      <c r="C21" s="2275"/>
      <c r="D21" s="2276"/>
      <c r="E21" s="2275"/>
      <c r="F21" s="2275"/>
      <c r="G21" s="2275"/>
      <c r="H21" s="2275"/>
      <c r="I21" s="2275"/>
      <c r="J21" s="2275"/>
      <c r="K21" s="168"/>
      <c r="L21" s="168"/>
      <c r="M21" s="1580"/>
      <c r="N21" s="1580"/>
      <c r="O21" s="1580"/>
      <c r="P21" s="1580"/>
      <c r="Q21" s="1580"/>
      <c r="R21" s="1580"/>
      <c r="S21" s="1580"/>
      <c r="T21" s="1580">
        <f>T20+T19</f>
        <v>15763.72</v>
      </c>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2.8499999999999996</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0.15000000000000036</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2271">
        <f>K8+K11+T19+T20+K10</f>
        <v>87685.950000000012</v>
      </c>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v>160</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 ca="1">成本法!C9+成本法!C10</f>
        <v>2179</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5" sqref="C15"/>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02" t="s">
        <v>2080</v>
      </c>
      <c r="B1" s="3103"/>
      <c r="C1" s="3103"/>
      <c r="D1" s="3103"/>
      <c r="E1" s="3103"/>
      <c r="F1" s="3103"/>
      <c r="G1" s="310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
  <sheetViews>
    <sheetView workbookViewId="0">
      <pane xSplit="1" ySplit="2" topLeftCell="B9" activePane="bottomRight" state="frozen"/>
      <selection pane="topRight" activeCell="B1" sqref="B1"/>
      <selection pane="bottomLeft" activeCell="A3" sqref="A3"/>
      <selection pane="bottomRight" activeCell="J28" sqref="J28"/>
    </sheetView>
  </sheetViews>
  <sheetFormatPr defaultRowHeight="14.4"/>
  <cols>
    <col min="1" max="1" width="22.6640625" bestFit="1" customWidth="1"/>
    <col min="2" max="2" width="13.21875" customWidth="1"/>
    <col min="6" max="6" width="10.5546875" bestFit="1" customWidth="1"/>
    <col min="7" max="7" width="12" customWidth="1"/>
    <col min="8" max="9" width="7.88671875" customWidth="1"/>
    <col min="12" max="12" width="11" customWidth="1"/>
    <col min="15" max="15" width="13.88671875" bestFit="1" customWidth="1"/>
  </cols>
  <sheetData>
    <row r="1" spans="1:15">
      <c r="B1" s="2948" t="s">
        <v>3052</v>
      </c>
    </row>
    <row r="2" spans="1:15">
      <c r="B2" s="2948" t="s">
        <v>3054</v>
      </c>
      <c r="L2" s="2948" t="s">
        <v>3062</v>
      </c>
      <c r="M2" s="2948" t="s">
        <v>3061</v>
      </c>
      <c r="O2" s="2948" t="s">
        <v>3083</v>
      </c>
    </row>
    <row r="3" spans="1:15">
      <c r="B3" s="2948" t="s">
        <v>3056</v>
      </c>
      <c r="C3" s="2948" t="s">
        <v>3058</v>
      </c>
      <c r="D3" s="2948" t="s">
        <v>3069</v>
      </c>
      <c r="E3" s="2948" t="s">
        <v>3070</v>
      </c>
      <c r="F3" s="2948" t="s">
        <v>3059</v>
      </c>
      <c r="G3" s="2948" t="s">
        <v>3078</v>
      </c>
      <c r="H3" s="2948" t="s">
        <v>3071</v>
      </c>
      <c r="I3" s="2948" t="s">
        <v>3072</v>
      </c>
      <c r="J3" s="2948" t="s">
        <v>3068</v>
      </c>
      <c r="K3" s="2948" t="s">
        <v>3060</v>
      </c>
      <c r="L3" s="2948"/>
    </row>
    <row r="4" spans="1:15">
      <c r="A4" s="2948" t="s">
        <v>3053</v>
      </c>
      <c r="C4">
        <v>7021.83</v>
      </c>
      <c r="D4">
        <v>348.64</v>
      </c>
      <c r="L4">
        <f t="shared" ref="L4:L15" si="0">SUM(B4:K4)</f>
        <v>7370.47</v>
      </c>
      <c r="M4">
        <v>10</v>
      </c>
    </row>
    <row r="5" spans="1:15">
      <c r="A5" s="2948" t="s">
        <v>3063</v>
      </c>
      <c r="C5">
        <v>15353.03</v>
      </c>
      <c r="D5">
        <v>746.18</v>
      </c>
      <c r="L5">
        <f t="shared" si="0"/>
        <v>16099.210000000001</v>
      </c>
      <c r="M5">
        <v>10</v>
      </c>
    </row>
    <row r="6" spans="1:15">
      <c r="A6" s="2948" t="s">
        <v>3064</v>
      </c>
      <c r="B6">
        <v>7755.46</v>
      </c>
      <c r="D6">
        <v>309.07</v>
      </c>
      <c r="L6">
        <f t="shared" si="0"/>
        <v>8064.53</v>
      </c>
      <c r="M6">
        <v>16</v>
      </c>
    </row>
    <row r="7" spans="1:15">
      <c r="A7" s="2948" t="s">
        <v>3079</v>
      </c>
      <c r="B7">
        <v>2693.22</v>
      </c>
      <c r="D7">
        <v>16.23</v>
      </c>
      <c r="G7">
        <v>101.72</v>
      </c>
      <c r="L7">
        <f t="shared" si="0"/>
        <v>2811.1699999999996</v>
      </c>
      <c r="M7">
        <v>11</v>
      </c>
      <c r="O7">
        <v>244.88</v>
      </c>
    </row>
    <row r="8" spans="1:15">
      <c r="A8" s="2948" t="s">
        <v>3065</v>
      </c>
      <c r="C8">
        <v>15926.17</v>
      </c>
      <c r="D8">
        <v>607.07000000000005</v>
      </c>
      <c r="H8">
        <v>209.41</v>
      </c>
      <c r="L8">
        <f t="shared" si="0"/>
        <v>16742.650000000001</v>
      </c>
      <c r="M8">
        <v>10</v>
      </c>
    </row>
    <row r="9" spans="1:15">
      <c r="A9" s="2948" t="s">
        <v>3080</v>
      </c>
      <c r="B9">
        <v>7178.55</v>
      </c>
      <c r="K9">
        <v>28.73</v>
      </c>
      <c r="L9">
        <f t="shared" si="0"/>
        <v>7207.28</v>
      </c>
      <c r="M9">
        <v>11</v>
      </c>
      <c r="O9">
        <v>3588.7</v>
      </c>
    </row>
    <row r="10" spans="1:15">
      <c r="A10" s="2948" t="s">
        <v>3066</v>
      </c>
      <c r="C10">
        <v>15693.55</v>
      </c>
      <c r="D10">
        <v>967.41</v>
      </c>
      <c r="L10">
        <f t="shared" si="0"/>
        <v>16660.96</v>
      </c>
      <c r="M10">
        <v>10</v>
      </c>
    </row>
    <row r="11" spans="1:15">
      <c r="A11" s="2948" t="s">
        <v>3081</v>
      </c>
      <c r="B11">
        <v>7273.43</v>
      </c>
      <c r="L11">
        <f t="shared" si="0"/>
        <v>7273.43</v>
      </c>
      <c r="M11">
        <v>11</v>
      </c>
      <c r="O11">
        <v>5987.71</v>
      </c>
    </row>
    <row r="12" spans="1:15">
      <c r="A12" s="2948" t="s">
        <v>3067</v>
      </c>
      <c r="E12">
        <v>5050.07</v>
      </c>
      <c r="F12">
        <v>5038.41</v>
      </c>
      <c r="H12">
        <v>67.59</v>
      </c>
      <c r="I12">
        <f>872.14+150.65</f>
        <v>1022.79</v>
      </c>
      <c r="J12">
        <v>2434.92</v>
      </c>
      <c r="K12">
        <v>4577.8999999999996</v>
      </c>
      <c r="L12">
        <f t="shared" si="0"/>
        <v>18191.68</v>
      </c>
      <c r="M12" s="2949" t="s">
        <v>3073</v>
      </c>
    </row>
    <row r="13" spans="1:15">
      <c r="A13" s="2948" t="s">
        <v>3074</v>
      </c>
      <c r="E13">
        <v>3702.58</v>
      </c>
      <c r="F13">
        <v>4217.09</v>
      </c>
      <c r="I13">
        <v>23.74</v>
      </c>
      <c r="J13">
        <v>2272.3000000000002</v>
      </c>
      <c r="K13">
        <v>5845.87</v>
      </c>
      <c r="L13">
        <f t="shared" si="0"/>
        <v>16061.579999999998</v>
      </c>
      <c r="M13" s="2949" t="s">
        <v>3075</v>
      </c>
    </row>
    <row r="14" spans="1:15">
      <c r="A14" s="2948" t="s">
        <v>3077</v>
      </c>
      <c r="E14">
        <v>4016.47</v>
      </c>
      <c r="F14">
        <v>8672.15</v>
      </c>
      <c r="G14">
        <v>55.46</v>
      </c>
      <c r="I14">
        <v>26.08</v>
      </c>
      <c r="J14">
        <v>2797.06</v>
      </c>
      <c r="L14">
        <f t="shared" si="0"/>
        <v>15567.219999999998</v>
      </c>
      <c r="M14" s="2949" t="s">
        <v>3076</v>
      </c>
    </row>
    <row r="15" spans="1:15">
      <c r="A15" s="2948" t="s">
        <v>3082</v>
      </c>
      <c r="B15">
        <f>SUM(B4:B14)</f>
        <v>24900.66</v>
      </c>
      <c r="C15">
        <f t="shared" ref="C15:K15" si="1">SUM(C4:C14)</f>
        <v>53994.58</v>
      </c>
      <c r="D15">
        <f t="shared" si="1"/>
        <v>2994.6</v>
      </c>
      <c r="E15">
        <f t="shared" si="1"/>
        <v>12769.119999999999</v>
      </c>
      <c r="F15">
        <f>SUM(F4:F14)</f>
        <v>17927.650000000001</v>
      </c>
      <c r="G15">
        <f t="shared" si="1"/>
        <v>157.18</v>
      </c>
      <c r="H15">
        <f t="shared" si="1"/>
        <v>277</v>
      </c>
      <c r="I15">
        <f t="shared" si="1"/>
        <v>1072.6099999999999</v>
      </c>
      <c r="J15">
        <f t="shared" si="1"/>
        <v>7504.2800000000007</v>
      </c>
      <c r="K15">
        <f t="shared" si="1"/>
        <v>10452.5</v>
      </c>
      <c r="L15">
        <f t="shared" si="0"/>
        <v>132050.18</v>
      </c>
      <c r="M15" s="2950"/>
    </row>
    <row r="16" spans="1:15">
      <c r="A16" s="2948" t="s">
        <v>3127</v>
      </c>
      <c r="B16">
        <v>24778.35</v>
      </c>
      <c r="C16">
        <v>54720.54</v>
      </c>
      <c r="D16">
        <v>2708.32</v>
      </c>
      <c r="E16">
        <v>11412</v>
      </c>
      <c r="F16">
        <v>18649</v>
      </c>
      <c r="M16" s="2950"/>
    </row>
    <row r="17" spans="1:12">
      <c r="A17" s="2948" t="s">
        <v>3128</v>
      </c>
      <c r="B17">
        <f>B15-B16</f>
        <v>122.31000000000131</v>
      </c>
      <c r="D17">
        <f t="shared" ref="D17:E17" si="2">D15-D16</f>
        <v>286.27999999999975</v>
      </c>
      <c r="E17">
        <f t="shared" si="2"/>
        <v>1357.119999999999</v>
      </c>
    </row>
    <row r="18" spans="1:12">
      <c r="A18" s="2948" t="s">
        <v>3129</v>
      </c>
      <c r="B18">
        <f>11462*B17*1.0305</f>
        <v>1444675.6952100156</v>
      </c>
      <c r="D18">
        <f>11462*D17*1.0305</f>
        <v>3381422.2714799969</v>
      </c>
      <c r="E18">
        <f>11462*0.25*0.7*E17*1.0305</f>
        <v>2805205.6161359977</v>
      </c>
      <c r="L18">
        <f>ROUND(SUM(B18:K18)/10000,0)</f>
        <v>763</v>
      </c>
    </row>
    <row r="19" spans="1:12">
      <c r="A19" s="2948"/>
    </row>
    <row r="20" spans="1:12">
      <c r="A20" s="2948"/>
    </row>
    <row r="21" spans="1:12">
      <c r="B21" s="2948" t="s">
        <v>3087</v>
      </c>
    </row>
    <row r="22" spans="1:12">
      <c r="A22" s="2948" t="s">
        <v>3086</v>
      </c>
      <c r="B22">
        <v>8684.77</v>
      </c>
    </row>
    <row r="23" spans="1:12">
      <c r="A23" s="2948" t="s">
        <v>3085</v>
      </c>
      <c r="B23">
        <v>7467.97</v>
      </c>
    </row>
    <row r="24" spans="1:12">
      <c r="A24" s="2948" t="s">
        <v>3084</v>
      </c>
      <c r="B24">
        <v>7578.25</v>
      </c>
    </row>
    <row r="25" spans="1:12">
      <c r="A25" s="2948" t="s">
        <v>3082</v>
      </c>
      <c r="B25">
        <f>SUM(B22:B24)</f>
        <v>23730.99</v>
      </c>
    </row>
    <row r="28" spans="1:12">
      <c r="A28" s="2948" t="s">
        <v>3118</v>
      </c>
      <c r="B28" s="2954" t="s">
        <v>3087</v>
      </c>
      <c r="C28" s="2948" t="s">
        <v>3122</v>
      </c>
      <c r="D28" s="2954" t="s">
        <v>3054</v>
      </c>
      <c r="E28" s="2954" t="s">
        <v>3120</v>
      </c>
      <c r="F28" s="2954" t="s">
        <v>3123</v>
      </c>
      <c r="G28" s="2954" t="s">
        <v>3124</v>
      </c>
    </row>
    <row r="29" spans="1:12">
      <c r="B29" s="2955">
        <v>23730.991000000002</v>
      </c>
      <c r="C29">
        <v>82887</v>
      </c>
      <c r="D29" s="2954" t="s">
        <v>3119</v>
      </c>
      <c r="E29" s="2954" t="s">
        <v>3121</v>
      </c>
      <c r="F29" s="2956">
        <v>42076</v>
      </c>
      <c r="G29" s="2954">
        <v>12905.101000000001</v>
      </c>
      <c r="H29" s="2954"/>
      <c r="I29" s="2954"/>
    </row>
    <row r="30" spans="1:12">
      <c r="B30" t="s">
        <v>3055</v>
      </c>
      <c r="C30" s="2948">
        <v>24866.1</v>
      </c>
    </row>
    <row r="31" spans="1:12">
      <c r="B31" s="2948" t="s">
        <v>3057</v>
      </c>
      <c r="C31">
        <v>58020.9</v>
      </c>
    </row>
    <row r="34" spans="1:1">
      <c r="A34" s="2948" t="s">
        <v>3125</v>
      </c>
    </row>
    <row r="35" spans="1:1">
      <c r="A35" s="2948" t="s">
        <v>3126</v>
      </c>
    </row>
  </sheetData>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112033.45000000001</v>
      </c>
      <c r="C1" s="1741"/>
      <c r="D1" s="1741"/>
      <c r="E1" s="1741"/>
      <c r="F1" s="1741"/>
      <c r="G1" s="1739"/>
    </row>
    <row r="2" spans="1:10" ht="16.2">
      <c r="A2" s="1742" t="s">
        <v>1349</v>
      </c>
      <c r="B2" s="1742">
        <f>SUM(C14:C23)</f>
        <v>20133.75</v>
      </c>
      <c r="C2" s="1741"/>
      <c r="D2" s="1741"/>
      <c r="E2" s="1741"/>
      <c r="F2" s="1741"/>
      <c r="G2" s="1739"/>
    </row>
    <row r="3" spans="1:10" ht="15.6">
      <c r="A3" s="1742" t="s">
        <v>1358</v>
      </c>
      <c r="B3" s="1743">
        <f>项目基本情况!D3</f>
        <v>43616</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242829</v>
      </c>
      <c r="C5" s="1742">
        <f ca="1">ROUND(B5*10000/$B$1,0)</f>
        <v>21675</v>
      </c>
      <c r="D5" s="1742">
        <f ca="1">ROUND(B5*10000/$B$2,0)</f>
        <v>120608</v>
      </c>
      <c r="E5" s="1741"/>
      <c r="F5" s="1739"/>
      <c r="G5" s="1739"/>
    </row>
    <row r="6" spans="1:10" ht="15.6">
      <c r="A6" s="1742" t="s">
        <v>1352</v>
      </c>
      <c r="B6" s="1742">
        <f ca="1">SUM(G14:G23)</f>
        <v>242829</v>
      </c>
      <c r="C6" s="1742">
        <f ca="1">ROUND(B6*10000/$B$1,0)</f>
        <v>21675</v>
      </c>
      <c r="D6" s="1742">
        <f ca="1">ROUND(B6*10000/$B$2,0)</f>
        <v>120608</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 ca="1">SUM(I14:I23)</f>
        <v>224710</v>
      </c>
      <c r="C8" s="1742">
        <f ca="1">ROUND(B8*10000/$B$1,0)</f>
        <v>20057</v>
      </c>
      <c r="D8" s="1742">
        <f ca="1">ROUND(B8*10000/$B$2,0)</f>
        <v>111609</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112033.45000000001</v>
      </c>
      <c r="C14" s="1740">
        <f>结果表!C118</f>
        <v>20133.75</v>
      </c>
      <c r="D14" s="1740">
        <f ca="1">结果表!H118</f>
        <v>242829</v>
      </c>
      <c r="E14" s="1740">
        <f ca="1">ROUND(D14*10000/B14,0)</f>
        <v>21675</v>
      </c>
      <c r="F14" s="1740">
        <f ca="1">ROUND(D14*10000/C14,0)</f>
        <v>120608</v>
      </c>
      <c r="G14" s="1740">
        <f ca="1">结果表!D122</f>
        <v>242829</v>
      </c>
      <c r="H14" s="1740" t="str">
        <f>结果表!D124</f>
        <v>——</v>
      </c>
      <c r="I14" s="1740">
        <f ca="1">结果表!D126</f>
        <v>224710</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4" t="str">
        <f>项目基本情况!B1</f>
        <v>北京市昌平区北七家镇（未来科技城南区）CP07-0600-0022、0039、0040地块F2公建混合住宅用地（配建人才公共租赁住房）项目出让国有建设用地使用权及在建建筑物房地产抵押价值预评估</v>
      </c>
      <c r="C37" s="3004"/>
      <c r="D37" s="3004"/>
      <c r="E37" s="3004"/>
      <c r="F37" s="3004"/>
      <c r="G37" s="3004"/>
      <c r="H37" s="3004"/>
      <c r="I37" s="3004"/>
    </row>
    <row r="38" spans="1:9">
      <c r="A38" s="1016"/>
      <c r="B38" s="1016"/>
    </row>
    <row r="39" spans="1:9">
      <c r="A39" s="1014" t="s">
        <v>818</v>
      </c>
      <c r="B39" s="1014" t="s">
        <v>820</v>
      </c>
    </row>
    <row r="40" spans="1:9">
      <c r="A40" s="1014"/>
      <c r="B40" s="1941" t="str">
        <f>项目基本情况!B5</f>
        <v>北京东方蓝海置业有限责任公司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I37" zoomScale="85" zoomScaleNormal="100" zoomScaleSheetLayoutView="85" zoomScalePageLayoutView="80" workbookViewId="0">
      <selection activeCell="N59" sqref="N59:N60"/>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76" t="str">
        <f>项目基本情况!S2</f>
        <v>北京市昌平区北七家镇（未来科技城南区）CP07-0600-0022、0039、0040地块F2公建混合住宅用地（配建人才公共租赁住房）项目出让国有建设用地使用权及在建建筑物房地产</v>
      </c>
      <c r="B2" s="3177"/>
      <c r="C2" s="3177"/>
      <c r="D2" s="3177"/>
      <c r="E2" s="3177"/>
      <c r="F2" s="3177"/>
      <c r="G2" s="3177"/>
      <c r="H2" s="3177"/>
      <c r="I2" s="3178"/>
    </row>
    <row r="3" spans="1:12" ht="13.2">
      <c r="A3" s="3179" t="s">
        <v>2120</v>
      </c>
      <c r="B3" s="3180"/>
      <c r="C3" s="3180"/>
      <c r="D3" s="3180"/>
      <c r="E3" s="3180"/>
      <c r="F3" s="3180"/>
      <c r="G3" s="3180"/>
      <c r="H3" s="3180"/>
      <c r="I3" s="3180"/>
    </row>
    <row r="4" spans="1:12" ht="14.4">
      <c r="A4" s="2424" t="s">
        <v>2121</v>
      </c>
      <c r="B4" s="2425" t="s">
        <v>2122</v>
      </c>
      <c r="C4" s="2426" t="s">
        <v>3640</v>
      </c>
      <c r="D4" s="2426" t="s">
        <v>3644</v>
      </c>
      <c r="E4" s="3160" t="s">
        <v>2123</v>
      </c>
      <c r="F4" s="3173"/>
      <c r="G4" s="3173"/>
      <c r="H4" s="3173"/>
      <c r="I4" s="316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51" t="s">
        <v>2124</v>
      </c>
      <c r="B5" s="3070">
        <v>25</v>
      </c>
      <c r="C5" s="3181"/>
      <c r="D5" s="3169"/>
      <c r="E5" s="140" t="s">
        <v>2125</v>
      </c>
      <c r="F5" s="2428"/>
      <c r="G5" s="2428"/>
      <c r="H5" s="2428"/>
      <c r="I5" s="1830"/>
    </row>
    <row r="6" spans="1:12" ht="13.2">
      <c r="A6" s="3151"/>
      <c r="B6" s="3070"/>
      <c r="C6" s="3183"/>
      <c r="D6" s="3169"/>
      <c r="E6" s="140" t="s">
        <v>2126</v>
      </c>
      <c r="F6" s="2428"/>
      <c r="G6" s="2428"/>
      <c r="H6" s="2428"/>
      <c r="I6" s="1830"/>
    </row>
    <row r="7" spans="1:12" ht="13.2">
      <c r="A7" s="3151"/>
      <c r="B7" s="3070"/>
      <c r="C7" s="3182"/>
      <c r="D7" s="3169"/>
      <c r="E7" s="140" t="s">
        <v>2127</v>
      </c>
      <c r="F7" s="2428"/>
      <c r="G7" s="2428"/>
      <c r="H7" s="2428"/>
      <c r="I7" s="1830"/>
    </row>
    <row r="8" spans="1:12" ht="13.2">
      <c r="A8" s="3151" t="s">
        <v>2128</v>
      </c>
      <c r="B8" s="3070">
        <v>15</v>
      </c>
      <c r="C8" s="3181"/>
      <c r="D8" s="3169"/>
      <c r="E8" s="140" t="s">
        <v>2129</v>
      </c>
      <c r="F8" s="2428"/>
      <c r="G8" s="2428"/>
      <c r="H8" s="2428"/>
      <c r="I8" s="1830"/>
    </row>
    <row r="9" spans="1:12" ht="13.2">
      <c r="A9" s="3151"/>
      <c r="B9" s="3070"/>
      <c r="C9" s="3182"/>
      <c r="D9" s="3169"/>
      <c r="E9" s="140" t="s">
        <v>2130</v>
      </c>
      <c r="F9" s="2428"/>
      <c r="G9" s="2428"/>
      <c r="H9" s="2428"/>
      <c r="I9" s="1830"/>
    </row>
    <row r="10" spans="1:12" ht="13.2">
      <c r="A10" s="3151" t="s">
        <v>2131</v>
      </c>
      <c r="B10" s="3070">
        <v>15</v>
      </c>
      <c r="C10" s="3181"/>
      <c r="D10" s="3169"/>
      <c r="E10" s="140" t="s">
        <v>2132</v>
      </c>
      <c r="F10" s="2428"/>
      <c r="G10" s="2428"/>
      <c r="H10" s="2428"/>
      <c r="I10" s="1830"/>
    </row>
    <row r="11" spans="1:12" ht="13.2">
      <c r="A11" s="3151"/>
      <c r="B11" s="3070"/>
      <c r="C11" s="3182"/>
      <c r="D11" s="3169"/>
      <c r="E11" s="140" t="s">
        <v>2133</v>
      </c>
      <c r="F11" s="2428"/>
      <c r="G11" s="2428"/>
      <c r="H11" s="2428"/>
      <c r="I11" s="1830"/>
    </row>
    <row r="12" spans="1:12" ht="13.2">
      <c r="A12" s="3151" t="s">
        <v>2134</v>
      </c>
      <c r="B12" s="3070">
        <v>15</v>
      </c>
      <c r="C12" s="3181"/>
      <c r="D12" s="3169"/>
      <c r="E12" s="140" t="s">
        <v>2135</v>
      </c>
      <c r="F12" s="2428"/>
      <c r="G12" s="2428"/>
      <c r="H12" s="2428"/>
      <c r="I12" s="1830"/>
    </row>
    <row r="13" spans="1:12" ht="13.2">
      <c r="A13" s="3151"/>
      <c r="B13" s="3070"/>
      <c r="C13" s="3182"/>
      <c r="D13" s="3169"/>
      <c r="E13" s="140" t="s">
        <v>2136</v>
      </c>
      <c r="F13" s="2428"/>
      <c r="G13" s="2428"/>
      <c r="H13" s="2428"/>
      <c r="I13" s="1830"/>
    </row>
    <row r="14" spans="1:12" ht="13.2">
      <c r="A14" s="3151" t="s">
        <v>2137</v>
      </c>
      <c r="B14" s="3070">
        <v>30</v>
      </c>
      <c r="C14" s="3181">
        <v>5</v>
      </c>
      <c r="D14" s="3169">
        <v>5</v>
      </c>
      <c r="E14" s="140" t="s">
        <v>2138</v>
      </c>
      <c r="F14" s="2428"/>
      <c r="G14" s="2428"/>
      <c r="H14" s="2428"/>
      <c r="I14" s="1830"/>
    </row>
    <row r="15" spans="1:12" ht="13.2">
      <c r="A15" s="3151"/>
      <c r="B15" s="3070"/>
      <c r="C15" s="3183"/>
      <c r="D15" s="3169"/>
      <c r="E15" s="140" t="s">
        <v>2139</v>
      </c>
      <c r="F15" s="2428"/>
      <c r="G15" s="2428"/>
      <c r="H15" s="2428"/>
      <c r="I15" s="1830"/>
    </row>
    <row r="16" spans="1:12" ht="13.2">
      <c r="A16" s="3151"/>
      <c r="B16" s="3070"/>
      <c r="C16" s="3182"/>
      <c r="D16" s="3169"/>
      <c r="E16" s="140" t="s">
        <v>2140</v>
      </c>
      <c r="F16" s="2428"/>
      <c r="G16" s="2428"/>
      <c r="H16" s="2428"/>
      <c r="I16" s="1830"/>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112033.45000000001</v>
      </c>
      <c r="M18" s="2427">
        <f>IF(C1="",'数据-汇总表'!E3,SUMIF(项目类型,C1,'数据-汇总表'!E17:E26))</f>
        <v>112033.45000000001</v>
      </c>
    </row>
    <row r="19" spans="1:35" ht="14.4">
      <c r="A19" s="2433" t="s">
        <v>2146</v>
      </c>
      <c r="B19" s="2434" t="s">
        <v>2147</v>
      </c>
      <c r="C19" s="143">
        <f ca="1">SUMIF(INDIRECT("'"&amp;C4&amp;"'"&amp;"!A:A"),结果表!B19,INDIRECT("'"&amp;C4&amp;"'"&amp;"!B:B"))</f>
        <v>229711</v>
      </c>
      <c r="D19" s="144">
        <f ca="1">SUMIF(INDIRECT("'"&amp;D4&amp;"'"&amp;"!A:A"),结果表!B19,INDIRECT("'"&amp;D4&amp;"'"&amp;"!B:B"))</f>
        <v>255947</v>
      </c>
      <c r="E19" s="2433" t="s">
        <v>2148</v>
      </c>
      <c r="F19" s="2434" t="s">
        <v>2147</v>
      </c>
      <c r="G19" s="145">
        <f ca="1">ROUND(C19*$C$18+D19*$D$18,0)</f>
        <v>242829</v>
      </c>
      <c r="H19" s="2435" t="s">
        <v>2149</v>
      </c>
      <c r="I19" s="138"/>
      <c r="J19" s="2984" t="s">
        <v>3645</v>
      </c>
      <c r="K19" s="2427" t="s">
        <v>2150</v>
      </c>
      <c r="L19" s="2427">
        <f>IF(C1="",'数据-汇总表'!D3,SUMIF(项目类型,C1,'数据-汇总表'!D17:D26)+SUMIF(项目类型,C1,'数据-汇总表'!H17:H27))</f>
        <v>20133.75</v>
      </c>
      <c r="M19" s="2427">
        <f>IF(C1="",'数据-汇总表'!D3,SUMIF(项目类型,C1,'数据-汇总表'!D17:D26))</f>
        <v>20133.75</v>
      </c>
    </row>
    <row r="20" spans="1:35" ht="14.4">
      <c r="A20" s="2436"/>
      <c r="B20" s="1247" t="s">
        <v>2151</v>
      </c>
      <c r="C20" s="146">
        <f ca="1">SUMIF(INDIRECT("'"&amp;C4&amp;"'"&amp;"!A:A"),结果表!B20,INDIRECT("'"&amp;C4&amp;"'"&amp;"!B:B"))</f>
        <v>20504</v>
      </c>
      <c r="D20" s="147">
        <f ca="1">SUMIF(INDIRECT("'"&amp;D4&amp;"'"&amp;"!A:A"),结果表!B20,INDIRECT("'"&amp;D4&amp;"'"&amp;"!B:B"))</f>
        <v>22846</v>
      </c>
      <c r="E20" s="2436"/>
      <c r="F20" s="1247" t="s">
        <v>2151</v>
      </c>
      <c r="G20" s="148">
        <f ca="1">ROUND(C20*$C$18+D20*$D$18,0)</f>
        <v>21675</v>
      </c>
      <c r="H20" s="980" t="s">
        <v>2152</v>
      </c>
      <c r="I20" s="138"/>
      <c r="J20" s="795">
        <f ca="1">G19/'数据-汇总表'!F31</f>
        <v>3.0274679987597342</v>
      </c>
    </row>
    <row r="21" spans="1:35" ht="15" customHeight="1" thickBot="1">
      <c r="A21" s="1000"/>
      <c r="B21" s="2437" t="s">
        <v>2153</v>
      </c>
      <c r="C21" s="789">
        <f ca="1">ROUND(C19*10000/L19,0)</f>
        <v>114093</v>
      </c>
      <c r="D21" s="790">
        <f ca="1">ROUND(D19*10000/L19,0)</f>
        <v>127123</v>
      </c>
      <c r="E21" s="1000"/>
      <c r="F21" s="2437" t="s">
        <v>2153</v>
      </c>
      <c r="G21" s="149">
        <f ca="1">ROUND(G19*10000/L19,0)</f>
        <v>120608</v>
      </c>
      <c r="H21" s="2438" t="s">
        <v>2152</v>
      </c>
      <c r="I21" s="138"/>
    </row>
    <row r="22" spans="1:35" ht="15" thickBot="1">
      <c r="A22" s="2279" t="s">
        <v>2154</v>
      </c>
      <c r="B22" s="2439"/>
      <c r="C22" s="2440"/>
      <c r="D22" s="791">
        <f ca="1">IF(C19&lt;D19,D19/C19-1,C19/D19-1)</f>
        <v>0.11421307643081957</v>
      </c>
      <c r="E22" s="138"/>
      <c r="F22" s="138"/>
      <c r="G22" s="138"/>
      <c r="H22" s="138"/>
      <c r="I22" s="138"/>
    </row>
    <row r="23" spans="1:35" ht="13.8" thickBot="1">
      <c r="A23" s="2417"/>
      <c r="B23" s="2417"/>
      <c r="C23" s="2417"/>
      <c r="D23" s="2417"/>
      <c r="E23" s="138"/>
      <c r="F23" s="138"/>
      <c r="G23" s="138"/>
      <c r="H23" s="138"/>
      <c r="I23" s="138"/>
    </row>
    <row r="24" spans="1:35" ht="14.4">
      <c r="A24" s="3190" t="s">
        <v>2155</v>
      </c>
      <c r="B24" s="2434" t="s">
        <v>2147</v>
      </c>
      <c r="C24" s="145">
        <f>IF(B30=0,0,D30)</f>
        <v>0</v>
      </c>
      <c r="D24" s="2441"/>
      <c r="E24" s="138"/>
      <c r="F24" s="138"/>
      <c r="G24" s="138"/>
      <c r="H24" s="138"/>
      <c r="I24" s="138"/>
    </row>
    <row r="25" spans="1:35" ht="14.4">
      <c r="A25" s="3191"/>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3" t="s">
        <v>3033</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242829</v>
      </c>
      <c r="D32" s="2448" t="s">
        <v>2162</v>
      </c>
      <c r="E32" s="138"/>
      <c r="F32" s="138"/>
      <c r="G32" s="138"/>
      <c r="H32" s="138"/>
      <c r="I32" s="138"/>
    </row>
    <row r="33" spans="1:15" ht="14.4">
      <c r="A33" s="957" t="s">
        <v>2163</v>
      </c>
      <c r="B33" s="2449"/>
      <c r="C33" s="2450" t="s">
        <v>3639</v>
      </c>
      <c r="D33" s="2451" t="s">
        <v>3640</v>
      </c>
      <c r="E33" s="2452" t="s">
        <v>2164</v>
      </c>
      <c r="F33" s="2453" t="str">
        <f>IF(D32="楼面单价","取值（单价）","取值（总价）")</f>
        <v>取值（总价）</v>
      </c>
      <c r="G33" s="138"/>
      <c r="H33" s="138"/>
      <c r="I33" s="138"/>
    </row>
    <row r="34" spans="1:15" ht="14.4">
      <c r="A34" s="2454"/>
      <c r="B34" s="2455" t="s">
        <v>2165</v>
      </c>
      <c r="C34" s="157">
        <f ca="1">IF(C33="自定义",F34,C32-C35)</f>
        <v>196934</v>
      </c>
      <c r="D34" s="1055">
        <f ca="1">IF(C33="自定义",ROUND(C34/C32,3),IF(C33="收益比率",SUMIF(INDIRECT("'"&amp;D33&amp;"'"&amp;"!b:b"),"土地收益比率",INDIRECT("'"&amp;D33&amp;"'"&amp;"!c:c")),SUMIF(INDIRECT("'"&amp;D33&amp;"'"&amp;"!b:b"),"土地成本比率",INDIRECT("'"&amp;D33&amp;"'"&amp;"!c:c"))))</f>
        <v>0.81099999999999994</v>
      </c>
      <c r="E34" s="2456" t="s">
        <v>2166</v>
      </c>
      <c r="F34" s="1735"/>
      <c r="G34" s="138"/>
      <c r="H34" s="138"/>
      <c r="I34" s="138"/>
    </row>
    <row r="35" spans="1:15" ht="15" thickBot="1">
      <c r="A35" s="2457"/>
      <c r="B35" s="2458" t="s">
        <v>2167</v>
      </c>
      <c r="C35" s="1441">
        <f ca="1">IF(C33="自定义",F35,ROUND(C32*D35,0))</f>
        <v>45895</v>
      </c>
      <c r="D35" s="1442">
        <f ca="1">IF(C33="自定义",ROUND(C35/C32,3),IF(C33="收益比率",SUMIF(INDIRECT("'"&amp;D33&amp;"'"&amp;"!b:b"),"建筑物收益比率",INDIRECT("'"&amp;D33&amp;"'"&amp;"!c:c")),SUMIF(INDIRECT("'"&amp;D33&amp;"'"&amp;"!b:b"),"建筑物成本比率",INDIRECT("'"&amp;D33&amp;"'"&amp;"!c:c"))))</f>
        <v>0.189</v>
      </c>
      <c r="E35" s="2459" t="s">
        <v>2168</v>
      </c>
      <c r="F35" s="163"/>
      <c r="G35" s="138"/>
      <c r="H35" s="138"/>
      <c r="I35" s="138"/>
    </row>
    <row r="36" spans="1:15" ht="15" thickBot="1">
      <c r="A36" s="3170" t="s">
        <v>2169</v>
      </c>
      <c r="B36" s="2460" t="s">
        <v>2170</v>
      </c>
      <c r="C36" s="154"/>
      <c r="D36" s="2461"/>
      <c r="E36" s="2462"/>
      <c r="F36" s="2463"/>
      <c r="G36" s="138"/>
      <c r="H36" s="138"/>
      <c r="I36" s="138"/>
    </row>
    <row r="37" spans="1:15" ht="15" thickBot="1">
      <c r="A37" s="3171"/>
      <c r="B37" s="2265" t="s">
        <v>2171</v>
      </c>
      <c r="C37" s="156"/>
      <c r="D37" s="1392"/>
      <c r="E37" s="1392"/>
      <c r="F37" s="2463"/>
      <c r="G37" s="138"/>
      <c r="H37" s="138"/>
      <c r="I37" s="138"/>
    </row>
    <row r="38" spans="1:15" ht="15" thickBot="1">
      <c r="A38" s="3172"/>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7" t="s">
        <v>2183</v>
      </c>
      <c r="B45" s="3188"/>
      <c r="C45" s="3189"/>
      <c r="D45" s="164">
        <f ca="1">ROUND(H101*(假设开发法!C4-假设开发法!E8)/假设开发法!C4*F45,0)</f>
        <v>98671</v>
      </c>
      <c r="E45" s="165" t="s">
        <v>2184</v>
      </c>
      <c r="F45" s="166">
        <v>0.64</v>
      </c>
      <c r="G45" s="167" t="s">
        <v>2185</v>
      </c>
      <c r="H45" s="138"/>
      <c r="I45" s="138"/>
      <c r="J45" s="3106" t="s">
        <v>2186</v>
      </c>
      <c r="K45" s="3106"/>
      <c r="L45" s="3106"/>
      <c r="M45" s="3106"/>
      <c r="N45" s="3106"/>
      <c r="O45" s="3106"/>
    </row>
    <row r="46" spans="1:15" ht="14.25" customHeight="1">
      <c r="A46" s="3184" t="s">
        <v>2187</v>
      </c>
      <c r="B46" s="3185"/>
      <c r="C46" s="3185"/>
      <c r="D46" s="3185"/>
      <c r="E46" s="3185"/>
      <c r="F46" s="3185"/>
      <c r="G46" s="3186"/>
      <c r="H46" s="2479"/>
      <c r="I46" s="168"/>
      <c r="J46" s="1808">
        <v>1</v>
      </c>
      <c r="K46" s="3106" t="s">
        <v>2188</v>
      </c>
      <c r="L46" s="3106"/>
      <c r="M46" s="3107"/>
      <c r="N46" s="3107"/>
      <c r="O46" s="3107"/>
    </row>
    <row r="47" spans="1:15" ht="12" customHeight="1">
      <c r="A47" s="169" t="s">
        <v>2189</v>
      </c>
      <c r="B47" s="170"/>
      <c r="C47" s="171"/>
      <c r="D47" s="172" t="s">
        <v>2190</v>
      </c>
      <c r="E47" s="24" t="s">
        <v>2191</v>
      </c>
      <c r="F47" s="173" t="s">
        <v>2192</v>
      </c>
      <c r="G47" s="174" t="s">
        <v>2193</v>
      </c>
      <c r="H47" s="2479"/>
      <c r="I47" s="168"/>
      <c r="J47" s="1808">
        <v>2</v>
      </c>
      <c r="K47" s="3106" t="s">
        <v>2194</v>
      </c>
      <c r="L47" s="3106"/>
      <c r="M47" s="3108">
        <f>'数据-取费表'!B2</f>
        <v>43616</v>
      </c>
      <c r="N47" s="3108"/>
      <c r="O47" s="3108"/>
    </row>
    <row r="48" spans="1:15" ht="26.4">
      <c r="A48" s="3174" t="s">
        <v>2195</v>
      </c>
      <c r="B48" s="3175"/>
      <c r="C48" s="3175"/>
      <c r="D48" s="140">
        <f ca="1">IF(H48="情况1",0,IF(H48="情况2",D52,IF(H48="情况3",D53,IF(H48="情况4",D54))))</f>
        <v>5168</v>
      </c>
      <c r="E48" s="1797" t="str">
        <f>IF(H48="情况4","(销售额-原购置价)×税（费）率","销售额×税（费）率")</f>
        <v>销售额×税（费）率</v>
      </c>
      <c r="F48" s="175">
        <f>IF(H48="情况1","免征",'数据-取费表'!B41)</f>
        <v>5.5000000000000007E-2</v>
      </c>
      <c r="G48" s="2480" t="s">
        <v>2196</v>
      </c>
      <c r="H48" s="2481" t="s">
        <v>3714</v>
      </c>
      <c r="I48" s="2479"/>
      <c r="J48" s="1808">
        <v>3</v>
      </c>
      <c r="K48" s="3106" t="s">
        <v>2197</v>
      </c>
      <c r="L48" s="3106"/>
      <c r="M48" s="3109">
        <f ca="1">H101</f>
        <v>242829</v>
      </c>
      <c r="N48" s="3109"/>
      <c r="O48" s="3109"/>
    </row>
    <row r="49" spans="1:35" ht="25.5" customHeight="1">
      <c r="A49" s="176" t="s">
        <v>2198</v>
      </c>
      <c r="B49" s="3154" t="s">
        <v>2199</v>
      </c>
      <c r="C49" s="3154"/>
      <c r="D49" s="177">
        <v>0</v>
      </c>
      <c r="E49" s="23" t="s">
        <v>2200</v>
      </c>
      <c r="F49" s="28" t="s">
        <v>34</v>
      </c>
      <c r="G49" s="3135"/>
      <c r="H49" s="138"/>
      <c r="I49" s="2482"/>
      <c r="J49" s="1808">
        <v>4</v>
      </c>
      <c r="K49" s="3106" t="str">
        <f>IF(项目基本情况!E8="房地产抵押价值","房地产抵押价值","抵押担保权已注销时的房地产抵押价值")</f>
        <v>房地产抵押价值</v>
      </c>
      <c r="L49" s="3106"/>
      <c r="M49" s="3109">
        <f ca="1">IF(项目基本情况!E8="房地产抵押价值",H107,H109)</f>
        <v>242829</v>
      </c>
      <c r="N49" s="3109"/>
      <c r="O49" s="3109"/>
    </row>
    <row r="50" spans="1:35" ht="25.5" customHeight="1">
      <c r="A50" s="178"/>
      <c r="B50" s="3154" t="s">
        <v>2201</v>
      </c>
      <c r="C50" s="3154"/>
      <c r="D50" s="179"/>
      <c r="E50" s="31"/>
      <c r="F50" s="180"/>
      <c r="G50" s="3136"/>
      <c r="H50" s="138"/>
      <c r="I50" s="2482"/>
      <c r="J50" s="3106" t="s">
        <v>2202</v>
      </c>
      <c r="K50" s="3106"/>
      <c r="L50" s="3106"/>
      <c r="M50" s="3106"/>
      <c r="N50" s="3106"/>
      <c r="O50" s="3106"/>
    </row>
    <row r="51" spans="1:35" ht="12" customHeight="1">
      <c r="A51" s="181"/>
      <c r="B51" s="3154" t="s">
        <v>2203</v>
      </c>
      <c r="C51" s="3154"/>
      <c r="D51" s="182"/>
      <c r="E51" s="30"/>
      <c r="F51" s="180"/>
      <c r="G51" s="3137"/>
      <c r="H51" s="138"/>
      <c r="I51" s="2482"/>
      <c r="J51" s="2483" t="s">
        <v>2204</v>
      </c>
      <c r="K51" s="3106" t="s">
        <v>2205</v>
      </c>
      <c r="L51" s="3106"/>
      <c r="M51" s="2483" t="s">
        <v>2206</v>
      </c>
      <c r="N51" s="2483" t="s">
        <v>2207</v>
      </c>
      <c r="O51" s="2483" t="s">
        <v>2208</v>
      </c>
    </row>
    <row r="52" spans="1:35" ht="24" customHeight="1">
      <c r="A52" s="183" t="s">
        <v>2209</v>
      </c>
      <c r="B52" s="3154" t="s">
        <v>2210</v>
      </c>
      <c r="C52" s="3154"/>
      <c r="D52" s="182">
        <f ca="1">ROUND(D45*'数据-取费表'!B41/(1+'数据-取费表'!C42),0)</f>
        <v>5168</v>
      </c>
      <c r="E52" s="11" t="s">
        <v>2211</v>
      </c>
      <c r="F52" s="184">
        <f>'数据-取费表'!B41</f>
        <v>5.5000000000000007E-2</v>
      </c>
      <c r="G52" s="2484"/>
      <c r="H52" s="138"/>
      <c r="I52" s="2482"/>
      <c r="J52" s="1808">
        <v>1</v>
      </c>
      <c r="K52" s="3129" t="s">
        <v>2212</v>
      </c>
      <c r="L52" s="3129"/>
      <c r="M52" s="1750">
        <f ca="1">D48</f>
        <v>5168</v>
      </c>
      <c r="N52" s="1808" t="str">
        <f>E48</f>
        <v>销售额×税（费）率</v>
      </c>
      <c r="O52" s="1751">
        <f>F48</f>
        <v>5.5000000000000007E-2</v>
      </c>
    </row>
    <row r="53" spans="1:35" ht="12" customHeight="1">
      <c r="A53" s="183" t="s">
        <v>2213</v>
      </c>
      <c r="B53" s="3155" t="s">
        <v>2214</v>
      </c>
      <c r="C53" s="3156"/>
      <c r="D53" s="182">
        <f ca="1">ROUND(D45*'数据-取费表'!B41/(1+'数据-取费表'!C42),0)</f>
        <v>5168</v>
      </c>
      <c r="E53" s="11" t="s">
        <v>2211</v>
      </c>
      <c r="F53" s="184">
        <f>'数据-取费表'!B41</f>
        <v>5.5000000000000007E-2</v>
      </c>
      <c r="G53" s="2484"/>
      <c r="H53" s="138"/>
      <c r="I53" s="2482"/>
      <c r="J53" s="1808">
        <v>2</v>
      </c>
      <c r="K53" s="3129" t="s">
        <v>2215</v>
      </c>
      <c r="L53" s="3129"/>
      <c r="M53" s="1750">
        <f t="shared" ref="M53:O54" ca="1" si="0">D55</f>
        <v>49</v>
      </c>
      <c r="N53" s="1808" t="str">
        <f t="shared" si="0"/>
        <v>销售额×税（费）率</v>
      </c>
      <c r="O53" s="1751">
        <f t="shared" si="0"/>
        <v>5.0000000000000001E-4</v>
      </c>
    </row>
    <row r="54" spans="1:35" ht="12" customHeight="1">
      <c r="A54" s="183" t="s">
        <v>2216</v>
      </c>
      <c r="B54" s="3155" t="s">
        <v>2217</v>
      </c>
      <c r="C54" s="3156"/>
      <c r="D54" s="182">
        <f ca="1">C68</f>
        <v>5168</v>
      </c>
      <c r="E54" s="30" t="s">
        <v>2218</v>
      </c>
      <c r="F54" s="184">
        <f>'数据-取费表'!B41</f>
        <v>5.5000000000000007E-2</v>
      </c>
      <c r="G54" s="2484"/>
      <c r="H54" s="2485"/>
      <c r="I54" s="2482"/>
      <c r="J54" s="1808">
        <v>3</v>
      </c>
      <c r="K54" s="3129" t="s">
        <v>2219</v>
      </c>
      <c r="L54" s="3129"/>
      <c r="M54" s="1750">
        <f t="shared" ca="1" si="0"/>
        <v>12902</v>
      </c>
      <c r="N54" s="1808" t="str">
        <f t="shared" si="0"/>
        <v>增值额×税（费）率</v>
      </c>
      <c r="O54" s="1752" t="str">
        <f t="shared" si="0"/>
        <v>——</v>
      </c>
    </row>
    <row r="55" spans="1:35" ht="24" customHeight="1">
      <c r="A55" s="3193" t="s">
        <v>2220</v>
      </c>
      <c r="B55" s="3175"/>
      <c r="C55" s="3175"/>
      <c r="D55" s="185">
        <f ca="1">IF(H55="个人住宅",0,ROUND(D45*I55,0))</f>
        <v>49</v>
      </c>
      <c r="E55" s="11" t="s">
        <v>2221</v>
      </c>
      <c r="F55" s="184">
        <f>IF(H55="正常",I55,"免征")</f>
        <v>5.0000000000000001E-4</v>
      </c>
      <c r="G55" s="2484"/>
      <c r="H55" s="2481" t="s">
        <v>2222</v>
      </c>
      <c r="I55" s="186">
        <f>'数据-取费表'!B49</f>
        <v>5.0000000000000001E-4</v>
      </c>
      <c r="J55" s="1808" t="str">
        <f>IF(H59="非个人房产","",4)</f>
        <v/>
      </c>
      <c r="K55" s="3129" t="str">
        <f>IF(H59="非个人房产","——","个人所得税")</f>
        <v>——</v>
      </c>
      <c r="L55" s="3129"/>
      <c r="M55" s="1753" t="str">
        <f>D59</f>
        <v>——</v>
      </c>
      <c r="N55" s="1806" t="str">
        <f>E59</f>
        <v>——</v>
      </c>
      <c r="O55" s="1754" t="str">
        <f>F59</f>
        <v>——</v>
      </c>
    </row>
    <row r="56" spans="1:35" ht="25.2">
      <c r="A56" s="3193" t="s">
        <v>2223</v>
      </c>
      <c r="B56" s="3175"/>
      <c r="C56" s="3175"/>
      <c r="D56" s="185">
        <f ca="1">IF(H56="个人住宅",D57,D58)</f>
        <v>12902</v>
      </c>
      <c r="E56" s="11" t="s">
        <v>2224</v>
      </c>
      <c r="F56" s="184" t="str">
        <f>IF(H56="正常",F58,"免征")</f>
        <v>——</v>
      </c>
      <c r="G56" s="2486" t="s">
        <v>2225</v>
      </c>
      <c r="H56" s="2487" t="s">
        <v>2222</v>
      </c>
      <c r="I56" s="2488"/>
      <c r="J56" s="1808" t="str">
        <f>IF(项目基本情况!K6="上海银行",IF(J55="",4,J55+1),"")</f>
        <v/>
      </c>
      <c r="K56" s="3112" t="str">
        <f>IF(项目基本情况!K6="上海银行","其他处置费用","")</f>
        <v/>
      </c>
      <c r="L56" s="3113"/>
      <c r="M56" s="1750" t="str">
        <f>IF(项目基本情况!K6="上海银行",M69,"")</f>
        <v/>
      </c>
      <c r="N56" s="3115" t="str">
        <f>IF(项目基本情况!K6="上海银行","包含处置中涉及的律师、诉讼、拍卖、评估等费用","")</f>
        <v/>
      </c>
      <c r="O56" s="3116"/>
    </row>
    <row r="57" spans="1:35" ht="13.2">
      <c r="A57" s="183" t="s">
        <v>2198</v>
      </c>
      <c r="B57" s="3160" t="s">
        <v>2226</v>
      </c>
      <c r="C57" s="3161"/>
      <c r="D57" s="187">
        <v>0</v>
      </c>
      <c r="E57" s="23" t="s">
        <v>2200</v>
      </c>
      <c r="F57" s="155"/>
      <c r="G57" s="2484"/>
      <c r="H57" s="2488"/>
      <c r="I57" s="2488"/>
      <c r="J57" s="3129">
        <f>IF(AND(J55="",J56=""),4,IF(项目基本情况!K6="上海银行",结果表!J56+1,结果表!J55+1))</f>
        <v>4</v>
      </c>
      <c r="K57" s="3129" t="s">
        <v>2227</v>
      </c>
      <c r="L57" s="2489" t="s">
        <v>2228</v>
      </c>
      <c r="M57" s="1755"/>
      <c r="N57" s="1756">
        <f ca="1">SUMIF(M52:M56,"&lt;9e307")</f>
        <v>18119</v>
      </c>
      <c r="O57" s="2490"/>
      <c r="P57" s="1749">
        <f ca="1">N57/M49</f>
        <v>7.4616293770513403E-2</v>
      </c>
    </row>
    <row r="58" spans="1:35" ht="25.2">
      <c r="A58" s="183" t="s">
        <v>2209</v>
      </c>
      <c r="B58" s="3160" t="s">
        <v>2229</v>
      </c>
      <c r="C58" s="3173"/>
      <c r="D58" s="185">
        <f ca="1">IF(H58="转让取得",C81,C97)</f>
        <v>12902</v>
      </c>
      <c r="E58" s="11" t="s">
        <v>2224</v>
      </c>
      <c r="F58" s="24" t="s">
        <v>34</v>
      </c>
      <c r="G58" s="2484"/>
      <c r="H58" s="2487" t="s">
        <v>2230</v>
      </c>
      <c r="I58" s="2488"/>
      <c r="J58" s="3129"/>
      <c r="K58" s="3129"/>
      <c r="L58" s="2489" t="s">
        <v>2231</v>
      </c>
      <c r="M58" s="1757"/>
      <c r="N58" s="2491" t="str">
        <f ca="1">NUMBERSTRING(INT(N57*10000),2)&amp;"元整"</f>
        <v>壹亿捌仟壹佰壹拾玖万元整</v>
      </c>
      <c r="O58" s="2492"/>
    </row>
    <row r="59" spans="1:35" ht="24.6" thickBot="1">
      <c r="A59" s="3133" t="s">
        <v>2232</v>
      </c>
      <c r="B59" s="3134"/>
      <c r="C59" s="3134"/>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131">
        <f>J57+1</f>
        <v>5</v>
      </c>
      <c r="K59" s="3129" t="s">
        <v>2234</v>
      </c>
      <c r="L59" s="1808" t="s">
        <v>2228</v>
      </c>
      <c r="M59" s="1758"/>
      <c r="N59" s="1759">
        <f ca="1">M49-N57</f>
        <v>224710</v>
      </c>
      <c r="O59" s="2494"/>
    </row>
    <row r="60" spans="1:35" ht="12" customHeight="1">
      <c r="A60" s="2495"/>
      <c r="B60" s="2417"/>
      <c r="C60" s="2417"/>
      <c r="D60" s="2417"/>
      <c r="E60" s="2165"/>
      <c r="F60" s="2488"/>
      <c r="G60" s="2488"/>
      <c r="H60" s="2496"/>
      <c r="I60" s="138"/>
      <c r="J60" s="3132"/>
      <c r="K60" s="3129"/>
      <c r="L60" s="2489" t="s">
        <v>2231</v>
      </c>
      <c r="M60" s="1757"/>
      <c r="N60" s="2491" t="str">
        <f ca="1">NUMBERSTRING(INT(N59*10000),2)&amp;"元整"</f>
        <v>贰拾贰亿肆仟柒佰壹拾万元整</v>
      </c>
      <c r="O60" s="2492"/>
    </row>
    <row r="61" spans="1:35" ht="13.8" thickBot="1">
      <c r="A61" s="3192" t="s">
        <v>2235</v>
      </c>
      <c r="B61" s="3192"/>
      <c r="C61" s="3192"/>
      <c r="D61" s="3192"/>
      <c r="E61" s="3192"/>
      <c r="F61" s="2488"/>
      <c r="G61" s="2488"/>
      <c r="H61" s="2496"/>
      <c r="I61" s="138"/>
      <c r="J61" s="1808">
        <f>J59+1</f>
        <v>6</v>
      </c>
      <c r="K61" s="3129" t="s">
        <v>2236</v>
      </c>
      <c r="L61" s="3129"/>
      <c r="M61" s="1760"/>
      <c r="N61" s="1761">
        <f ca="1">ROUND(N59*10000/'数据-汇总表'!E3,0)</f>
        <v>20057</v>
      </c>
      <c r="O61" s="2497"/>
    </row>
    <row r="62" spans="1:35" ht="13.2">
      <c r="A62" s="3149" t="s">
        <v>2237</v>
      </c>
      <c r="B62" s="3150"/>
      <c r="C62" s="1800"/>
      <c r="D62" s="1800" t="s">
        <v>2238</v>
      </c>
      <c r="E62" s="192" t="s">
        <v>2239</v>
      </c>
      <c r="F62" s="2488"/>
      <c r="G62" s="2488"/>
      <c r="H62" s="2496"/>
      <c r="I62" s="138"/>
    </row>
    <row r="63" spans="1:35" ht="13.2">
      <c r="A63" s="203" t="s">
        <v>775</v>
      </c>
      <c r="B63" s="193" t="s">
        <v>2240</v>
      </c>
      <c r="C63" s="194">
        <f ca="1">ROUND((C64+C65)/(1+'数据-取费表'!C42),0)</f>
        <v>93972</v>
      </c>
      <c r="D63" s="195"/>
      <c r="E63" s="196"/>
      <c r="F63" s="2488"/>
      <c r="G63" s="2488"/>
      <c r="H63" s="2496"/>
      <c r="I63" s="138"/>
      <c r="J63" s="3114" t="s">
        <v>2241</v>
      </c>
      <c r="K63" s="2498" t="s">
        <v>2242</v>
      </c>
      <c r="L63" s="1748">
        <f ca="1">IF(M49&gt;10000,M49*0.5%,IF(AND(M49&gt;1000,M49&lt;=10000),M49*1%,IF(AND(M49&gt;100,M49&lt;=1000),M49*3%,IF(AND(M49&gt;10,M49&lt;=100),M49*5%,M49*8%))))</f>
        <v>1214.145</v>
      </c>
      <c r="M63" s="24">
        <f ca="1">ROUND(L63,1)</f>
        <v>1214.0999999999999</v>
      </c>
      <c r="Z63" s="2422"/>
      <c r="AI63" s="2423"/>
    </row>
    <row r="64" spans="1:35" ht="14.25" customHeight="1">
      <c r="A64" s="197" t="s">
        <v>770</v>
      </c>
      <c r="B64" s="198" t="s">
        <v>2243</v>
      </c>
      <c r="C64" s="199">
        <f ca="1">D45</f>
        <v>98671</v>
      </c>
      <c r="D64" s="200" t="s">
        <v>32</v>
      </c>
      <c r="E64" s="201"/>
      <c r="F64" s="2488"/>
      <c r="G64" s="2488"/>
      <c r="H64" s="2496"/>
      <c r="I64" s="138"/>
      <c r="J64" s="3114"/>
      <c r="K64" s="2498" t="s">
        <v>2244</v>
      </c>
      <c r="L64" s="1748">
        <f ca="1">IF(M49&gt;2000,M49*0.5%,IF(AND(M49&gt;1000,M49&lt;=2000),M49*0.6%,IF(AND(M49&gt;500,M49&lt;=1000),M49*0.7%,IF(AND(M49&gt;200,M49&lt;=500),M49*0.8%,IF(AND(M49&gt;100,M49&lt;=200),M49*0.9%,IF(AND(M49&gt;50,M49&lt;=100),M49*1%,IF(AND(M49&gt;20,M49&lt;=50),M49*1.5%,IF(AND(M49&gt;10,M49&lt;=20),M49*2%,IF(AND(M49&gt;1,M49&lt;=10),M49*2.5%)))))))))</f>
        <v>1214.145</v>
      </c>
      <c r="M64" s="24">
        <f t="shared" ref="M64:M65" ca="1" si="1">ROUND(L64,1)</f>
        <v>1214.0999999999999</v>
      </c>
      <c r="N64" s="138" t="s">
        <v>2245</v>
      </c>
      <c r="Z64" s="2422"/>
      <c r="AI64" s="2423"/>
    </row>
    <row r="65" spans="1:35" ht="14.25" customHeight="1">
      <c r="A65" s="197" t="s">
        <v>771</v>
      </c>
      <c r="B65" s="198" t="s">
        <v>2246</v>
      </c>
      <c r="C65" s="202"/>
      <c r="D65" s="200"/>
      <c r="E65" s="201"/>
      <c r="F65" s="2488"/>
      <c r="G65" s="2488"/>
      <c r="H65" s="2496"/>
      <c r="I65" s="138"/>
      <c r="J65" s="3114"/>
      <c r="K65" s="2498" t="s">
        <v>2247</v>
      </c>
      <c r="L65" s="1748">
        <f ca="1">IF(M49&gt;1000,M49*0.1%,IF(AND(M49&gt;500,M49&lt;=1000),M49*0.5%,IF(AND(M49&gt;50,M49&lt;=500),M49*1%,IF(AND(M49&gt;1,M49&lt;=50),M49*1.5%))))</f>
        <v>242.82900000000001</v>
      </c>
      <c r="M65" s="24">
        <f t="shared" ca="1" si="1"/>
        <v>242.8</v>
      </c>
      <c r="N65" s="138" t="s">
        <v>2245</v>
      </c>
      <c r="Z65" s="2422"/>
      <c r="AI65" s="2423"/>
    </row>
    <row r="66" spans="1:35" ht="14.25" customHeight="1">
      <c r="A66" s="203" t="s">
        <v>772</v>
      </c>
      <c r="B66" s="204" t="s">
        <v>2248</v>
      </c>
      <c r="C66" s="205"/>
      <c r="D66" s="206" t="s">
        <v>32</v>
      </c>
      <c r="E66" s="1772" t="s">
        <v>1367</v>
      </c>
      <c r="F66" s="2488"/>
      <c r="G66" s="2488"/>
      <c r="H66" s="2496"/>
      <c r="I66" s="138"/>
      <c r="J66" s="3114"/>
      <c r="K66" s="2498" t="s">
        <v>2249</v>
      </c>
      <c r="L66" s="1748">
        <f ca="1">M49*0.5%</f>
        <v>1214.145</v>
      </c>
      <c r="M66" s="24">
        <f ca="1">IF(L66&gt;0.5,0.5,ROUND(L66,0))</f>
        <v>0.5</v>
      </c>
      <c r="N66" s="138" t="s">
        <v>2250</v>
      </c>
      <c r="Z66" s="2422"/>
      <c r="AI66" s="2423"/>
    </row>
    <row r="67" spans="1:35" ht="14.25" customHeight="1">
      <c r="A67" s="203" t="s">
        <v>773</v>
      </c>
      <c r="B67" s="204" t="s">
        <v>2251</v>
      </c>
      <c r="C67" s="207">
        <f ca="1">C63-C66</f>
        <v>93972</v>
      </c>
      <c r="D67" s="200" t="s">
        <v>32</v>
      </c>
      <c r="E67" s="201"/>
      <c r="F67" s="2488"/>
      <c r="G67" s="2488"/>
      <c r="H67" s="2496"/>
      <c r="I67" s="138"/>
      <c r="J67" s="3114"/>
      <c r="K67" s="2498" t="s">
        <v>2252</v>
      </c>
      <c r="L67" s="1748">
        <f ca="1">IF(M49&gt;=10000,(8.25+(M49-10000)*0.01%),IF(AND(M49&gt;=8000,M49&lt;10000),(7.85+(M49-8000)*0.02%),IF(AND(M49&gt;=5000,M49&lt;8000),(6.65+(M49-5000)*0.04%),IF(AND(M49&gt;=2000,M49&lt;5000),(4.25+(PM49-2000)*0.08%),IF(AND(M49&gt;=1000,M49&lt;2000),(2.75+(M49-1000)*0.15%),IF(AND(M49&gt;=100,M49&lt;1000),(0.5+(M49-100)*0.25%),IF(AND(M49&gt;0,M49&lt;100),M49*0.5%)))))))</f>
        <v>31.532900000000001</v>
      </c>
      <c r="M67" s="24">
        <f ca="1">ROUND(L67*0.9,1)</f>
        <v>28.4</v>
      </c>
      <c r="Z67" s="2422"/>
      <c r="AI67" s="2423"/>
    </row>
    <row r="68" spans="1:35" ht="14.25" customHeight="1" thickBot="1">
      <c r="A68" s="208" t="s">
        <v>774</v>
      </c>
      <c r="B68" s="209" t="s">
        <v>2253</v>
      </c>
      <c r="C68" s="210">
        <f ca="1">IF(C67&lt;=0,0,ROUND(C67*D68,0))</f>
        <v>5168</v>
      </c>
      <c r="D68" s="211">
        <f>'数据-取费表'!B41</f>
        <v>5.5000000000000007E-2</v>
      </c>
      <c r="E68" s="212"/>
      <c r="F68" s="2488"/>
      <c r="G68" s="2488"/>
      <c r="H68" s="2496"/>
      <c r="I68" s="138"/>
      <c r="J68" s="3114"/>
      <c r="K68" s="2498" t="s">
        <v>2254</v>
      </c>
      <c r="L68" s="1748">
        <f ca="1">IF(M49&gt;10000,M49*0.5%,IF(AND(M49&gt;5000,M49&lt;=10000),M49*1%,IF(AND(M49&gt;1000,M49&lt;=5000),M49*2%,IF(AND(M49&gt;200,M49&lt;=1000),M49*3%,M49*5%))))</f>
        <v>1214.145</v>
      </c>
      <c r="M68" s="24">
        <f ca="1">ROUND(L68,1)</f>
        <v>1214.0999999999999</v>
      </c>
      <c r="Z68" s="2422"/>
      <c r="AI68" s="2423"/>
    </row>
    <row r="69" spans="1:35" s="2445" customFormat="1" ht="16.5" customHeight="1">
      <c r="A69" s="2499"/>
      <c r="B69" s="2500"/>
      <c r="C69" s="2501"/>
      <c r="D69" s="2502"/>
      <c r="E69" s="2503"/>
      <c r="F69" s="2165"/>
      <c r="G69" s="2165"/>
      <c r="H69" s="2164"/>
      <c r="I69" s="2417"/>
      <c r="J69" s="3114"/>
      <c r="K69" s="2498" t="s">
        <v>2255</v>
      </c>
      <c r="L69" s="2504"/>
      <c r="M69" s="24">
        <f ca="1">ROUND(SUM(M63:M68),0)</f>
        <v>3914</v>
      </c>
      <c r="N69" s="1749">
        <f ca="1">M69/M49</f>
        <v>1.6118338419216813E-2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58" t="s">
        <v>2256</v>
      </c>
      <c r="B70" s="3159"/>
      <c r="C70" s="3159"/>
      <c r="D70" s="3159"/>
      <c r="E70" s="3159"/>
      <c r="F70" s="3159"/>
      <c r="G70" s="3159"/>
      <c r="H70" s="315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49" t="s">
        <v>2237</v>
      </c>
      <c r="B71" s="3150"/>
      <c r="C71" s="1800"/>
      <c r="D71" s="1800"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2257</v>
      </c>
      <c r="C72" s="207">
        <f ca="1">ROUND(D45/(1+'数据-取费表'!C42),0)</f>
        <v>93972</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2258</v>
      </c>
      <c r="C73" s="207">
        <f ca="1">C74+C78</f>
        <v>470</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55" t="s">
        <v>2265</v>
      </c>
      <c r="F76" s="3154"/>
      <c r="G76" s="3154"/>
      <c r="H76" s="315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2" t="s">
        <v>2268</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470</v>
      </c>
      <c r="D78" s="226">
        <f>'数据-取费表'!B43</f>
        <v>5.000000000000001E-3</v>
      </c>
      <c r="E78" s="3146" t="s">
        <v>2270</v>
      </c>
      <c r="F78" s="3147"/>
      <c r="G78" s="3147"/>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2271</v>
      </c>
      <c r="C79" s="207">
        <f ca="1">C72-C73</f>
        <v>93502</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198.94042553191488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2273</v>
      </c>
      <c r="C81" s="228">
        <f ca="1">ROUND(IF(C79&lt;=0,0,IF(C80&gt;=200%,C79*60%-C73*35%,IF(C80&gt;=100%,C79*50%-C73*15%,IF(C80&gt;=50%,C79*40%-C73*5%,IF(C80&lt;50%,C79*30%,0))))),0)</f>
        <v>55937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58" t="s">
        <v>2274</v>
      </c>
      <c r="B83" s="3159"/>
      <c r="C83" s="3159"/>
      <c r="D83" s="3159"/>
      <c r="E83" s="3159"/>
      <c r="F83" s="3159"/>
      <c r="G83" s="3159"/>
      <c r="H83" s="315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49" t="s">
        <v>2237</v>
      </c>
      <c r="B84" s="3150"/>
      <c r="C84" s="1800"/>
      <c r="D84" s="1800"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2257</v>
      </c>
      <c r="C85" s="207">
        <f ca="1">ROUND(D45/(1+'数据-取费表'!C42),0)</f>
        <v>93972</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2258</v>
      </c>
      <c r="C86" s="207">
        <f ca="1">IF(H88="仅含出让金",C87+C90+C91+C92+C93+C94,C87+C91+C92+C93+C94)</f>
        <v>54859.729999999996</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2275</v>
      </c>
      <c r="C87" s="225">
        <f>C88+C89</f>
        <v>8098.73</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26.4">
      <c r="A88" s="217" t="s">
        <v>776</v>
      </c>
      <c r="B88" s="198" t="s">
        <v>2276</v>
      </c>
      <c r="C88" s="236">
        <f>ROUND(('数据-汇总表'!E3-'数据-汇总表'!F21)/'数据-基础表'!B3*结果表!J88,2)</f>
        <v>7858.73</v>
      </c>
      <c r="D88" s="226"/>
      <c r="E88" s="237" t="s">
        <v>2277</v>
      </c>
      <c r="F88" s="1796"/>
      <c r="G88" s="238" t="s">
        <v>2278</v>
      </c>
      <c r="H88" s="2516" t="s">
        <v>3716</v>
      </c>
      <c r="I88" s="2511"/>
      <c r="J88" s="2507">
        <v>12905.101000000001</v>
      </c>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2266</v>
      </c>
      <c r="C89" s="225">
        <f>ROUND(C88*D89,0)</f>
        <v>240</v>
      </c>
      <c r="D89" s="226">
        <f>'数据-取费表'!B48+'数据-取费表'!B49</f>
        <v>3.0499999999999999E-2</v>
      </c>
      <c r="E89" s="237"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2280</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 ca="1">IF(H91="——",成本法!C33,I91)</f>
        <v>33739</v>
      </c>
      <c r="D91" s="226"/>
      <c r="E91" s="3146" t="s">
        <v>2283</v>
      </c>
      <c r="F91" s="3147"/>
      <c r="G91" s="3147"/>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 ca="1">ROUND((C87+C90+C91)*D92,0)</f>
        <v>4184</v>
      </c>
      <c r="D92" s="226">
        <v>0.1</v>
      </c>
      <c r="E92" s="3146" t="s">
        <v>2286</v>
      </c>
      <c r="F92" s="3147"/>
      <c r="G92" s="3147"/>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2269</v>
      </c>
      <c r="C93" s="225">
        <f ca="1">ROUND(D45*D93/(1+'数据-取费表'!C42),0)</f>
        <v>470</v>
      </c>
      <c r="D93" s="226">
        <f>'数据-取费表'!B43</f>
        <v>5.000000000000001E-3</v>
      </c>
      <c r="E93" s="3146" t="s">
        <v>2270</v>
      </c>
      <c r="F93" s="3147"/>
      <c r="G93" s="3147"/>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 ca="1">ROUND((C87+C90+C91)*D94,0)</f>
        <v>8368</v>
      </c>
      <c r="D94" s="226">
        <v>0.2</v>
      </c>
      <c r="E94" s="3194" t="s">
        <v>2290</v>
      </c>
      <c r="F94" s="3195"/>
      <c r="G94" s="3195"/>
      <c r="H94" s="319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2271</v>
      </c>
      <c r="C95" s="207">
        <f ca="1">ROUND(C85-C86,0)</f>
        <v>39112</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0.71294554311514113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2273</v>
      </c>
      <c r="C97" s="228">
        <f ca="1">ROUND(IF(C95&lt;=0,0,IF(C96&gt;=200%,C95*60%-C86*35%,IF(C96&gt;=100%,C95*50%-C86*15%,IF(C96&gt;=50%,C95*40%-C86*5%,IF(C96&lt;50%,C95*30%,0))))),0)</f>
        <v>12902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98" t="s">
        <v>2292</v>
      </c>
      <c r="B100" s="3099"/>
      <c r="C100" s="3099"/>
      <c r="D100" s="3130"/>
      <c r="E100" s="3099" t="s">
        <v>2293</v>
      </c>
      <c r="F100" s="3099"/>
      <c r="G100" s="3099"/>
      <c r="H100" s="3130"/>
      <c r="I100" s="138"/>
    </row>
    <row r="101" spans="1:35" ht="18.75" customHeight="1">
      <c r="A101" s="3138" t="s">
        <v>2294</v>
      </c>
      <c r="B101" s="3139"/>
      <c r="C101" s="736" t="str">
        <f>C4</f>
        <v>成本法</v>
      </c>
      <c r="D101" s="737" t="str">
        <f>D4</f>
        <v>假设开发法</v>
      </c>
      <c r="E101" s="3110" t="s">
        <v>2295</v>
      </c>
      <c r="F101" s="3111"/>
      <c r="G101" s="2519" t="s">
        <v>2296</v>
      </c>
      <c r="H101" s="1045">
        <f ca="1">H118</f>
        <v>242829</v>
      </c>
      <c r="I101" s="138"/>
    </row>
    <row r="102" spans="1:35" ht="18.75" customHeight="1">
      <c r="A102" s="3140" t="s">
        <v>2297</v>
      </c>
      <c r="B102" s="2519" t="s">
        <v>2296</v>
      </c>
      <c r="C102" s="736">
        <f ca="1">C19</f>
        <v>229711</v>
      </c>
      <c r="D102" s="737">
        <f ca="1">D19</f>
        <v>255947</v>
      </c>
      <c r="E102" s="3110"/>
      <c r="F102" s="3111"/>
      <c r="G102" s="2519" t="s">
        <v>2298</v>
      </c>
      <c r="H102" s="371">
        <f ca="1">I118</f>
        <v>21675</v>
      </c>
      <c r="I102" s="138"/>
    </row>
    <row r="103" spans="1:35" ht="42.75" customHeight="1">
      <c r="A103" s="3140"/>
      <c r="B103" s="2519" t="s">
        <v>2298</v>
      </c>
      <c r="C103" s="738">
        <f ca="1">C20</f>
        <v>20504</v>
      </c>
      <c r="D103" s="739">
        <f ca="1">D20</f>
        <v>22846</v>
      </c>
      <c r="E103" s="3104" t="s">
        <v>2299</v>
      </c>
      <c r="F103" s="3105"/>
      <c r="G103" s="2520" t="s">
        <v>2300</v>
      </c>
      <c r="H103" s="1045">
        <f>IF(D36="正常操作",H104+H105+H106,H105+H106)</f>
        <v>0</v>
      </c>
      <c r="I103" s="138"/>
    </row>
    <row r="104" spans="1:35" ht="18.75" customHeight="1">
      <c r="A104" s="3140" t="s">
        <v>2301</v>
      </c>
      <c r="B104" s="2521" t="s">
        <v>2296</v>
      </c>
      <c r="C104" s="740">
        <f ca="1">H118</f>
        <v>242829</v>
      </c>
      <c r="D104" s="741"/>
      <c r="E104" s="2265" t="s">
        <v>2302</v>
      </c>
      <c r="F104" s="2257"/>
      <c r="G104" s="2520" t="s">
        <v>2300</v>
      </c>
      <c r="H104" s="1046">
        <f>IF(D36="同一抵押权人同一抵押物续贷",C36&amp;"（未扣减，详见特别提示）",C36)</f>
        <v>0</v>
      </c>
      <c r="I104" s="138"/>
    </row>
    <row r="105" spans="1:35" ht="18.75" customHeight="1" thickBot="1">
      <c r="A105" s="3152"/>
      <c r="B105" s="2522" t="s">
        <v>2298</v>
      </c>
      <c r="C105" s="742">
        <f ca="1">I118</f>
        <v>21675</v>
      </c>
      <c r="D105" s="743"/>
      <c r="E105" s="2265"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141" t="str">
        <f>IF(项目基本情况!E8="已注销","——","3.房地产抵押价值")</f>
        <v>3.房地产抵押价值</v>
      </c>
      <c r="F107" s="3111"/>
      <c r="G107" s="2519" t="s">
        <v>2296</v>
      </c>
      <c r="H107" s="1045">
        <f ca="1">IF(E107="——","——",H101-H103)</f>
        <v>242829</v>
      </c>
      <c r="I107" s="138"/>
    </row>
    <row r="108" spans="1:35" ht="18.75" customHeight="1">
      <c r="A108" s="138"/>
      <c r="B108" s="138"/>
      <c r="C108" s="138"/>
      <c r="D108" s="138"/>
      <c r="E108" s="3141"/>
      <c r="F108" s="3111"/>
      <c r="G108" s="2519" t="s">
        <v>2298</v>
      </c>
      <c r="H108" s="371">
        <f ca="1">ROUND(H107*10000/'数据-汇总表'!E3,0)</f>
        <v>21675</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19" t="s">
        <v>2296</v>
      </c>
      <c r="H109" s="348" t="str">
        <f>IF(E109="——","——",H101-H105-H106)</f>
        <v>——</v>
      </c>
      <c r="I109" s="138"/>
    </row>
    <row r="110" spans="1:35" ht="18.75" customHeight="1">
      <c r="A110" s="138"/>
      <c r="B110" s="138"/>
      <c r="C110" s="138"/>
      <c r="D110" s="138"/>
      <c r="E110" s="3141"/>
      <c r="F110" s="3111"/>
      <c r="G110" s="2519" t="s">
        <v>2298</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4.抵押净值</v>
      </c>
      <c r="F111" s="3143"/>
      <c r="G111" s="2519" t="s">
        <v>2296</v>
      </c>
      <c r="H111" s="1045">
        <f ca="1">IF(E111="——","——",N59)</f>
        <v>224710</v>
      </c>
      <c r="I111" s="138"/>
    </row>
    <row r="112" spans="1:35" ht="18.75" customHeight="1" thickBot="1">
      <c r="A112" s="138"/>
      <c r="B112" s="138"/>
      <c r="C112" s="138"/>
      <c r="D112" s="138"/>
      <c r="E112" s="3144"/>
      <c r="F112" s="3145"/>
      <c r="G112" s="2524" t="s">
        <v>2298</v>
      </c>
      <c r="H112" s="790">
        <f ca="1">IF(E111="——","——",N61)</f>
        <v>20057</v>
      </c>
      <c r="I112" s="138"/>
    </row>
    <row r="113" spans="1:11" ht="18.75" customHeight="1">
      <c r="A113" s="138"/>
      <c r="B113" s="138"/>
      <c r="C113" s="138"/>
      <c r="D113" s="138"/>
      <c r="E113" s="3153" t="s">
        <v>2304</v>
      </c>
      <c r="F113" s="3153"/>
      <c r="G113" s="3153"/>
      <c r="H113" s="3153"/>
      <c r="I113" s="138"/>
    </row>
    <row r="114" spans="1:11" ht="3.75" customHeight="1">
      <c r="A114" s="2417"/>
      <c r="B114" s="2417"/>
      <c r="C114" s="2417"/>
      <c r="D114" s="2417"/>
      <c r="E114" s="2495"/>
      <c r="F114" s="2495"/>
      <c r="G114" s="2495"/>
      <c r="H114" s="2495"/>
      <c r="I114" s="2417"/>
    </row>
    <row r="115" spans="1:11" ht="18.75" customHeight="1">
      <c r="A115" s="3166" t="s">
        <v>2306</v>
      </c>
      <c r="B115" s="3167"/>
      <c r="C115" s="3167"/>
      <c r="D115" s="3167"/>
      <c r="E115" s="3167"/>
      <c r="F115" s="3167"/>
      <c r="G115" s="3167"/>
      <c r="H115" s="3167"/>
      <c r="I115" s="3168"/>
    </row>
    <row r="116" spans="1:11" ht="27" customHeight="1">
      <c r="A116" s="3070" t="s">
        <v>2307</v>
      </c>
      <c r="B116" s="3120" t="s">
        <v>2308</v>
      </c>
      <c r="C116" s="3120" t="s">
        <v>2309</v>
      </c>
      <c r="D116" s="3126" t="s">
        <v>2310</v>
      </c>
      <c r="E116" s="3127"/>
      <c r="F116" s="3162" t="s">
        <v>2311</v>
      </c>
      <c r="G116" s="3162"/>
      <c r="H116" s="3070" t="s">
        <v>2312</v>
      </c>
      <c r="I116" s="3070"/>
    </row>
    <row r="117" spans="1:11" ht="18.75" customHeight="1">
      <c r="A117" s="3070"/>
      <c r="B117" s="3121"/>
      <c r="C117" s="3121"/>
      <c r="D117" s="1794" t="s">
        <v>2313</v>
      </c>
      <c r="E117" s="1794" t="s">
        <v>2314</v>
      </c>
      <c r="F117" s="1794" t="s">
        <v>2313</v>
      </c>
      <c r="G117" s="1794" t="s">
        <v>2315</v>
      </c>
      <c r="H117" s="1794" t="s">
        <v>2313</v>
      </c>
      <c r="I117" s="1794" t="s">
        <v>2315</v>
      </c>
    </row>
    <row r="118" spans="1:11" ht="24.75" customHeight="1">
      <c r="A118" s="2525" t="str">
        <f>项目基本情况!S2</f>
        <v>北京市昌平区北七家镇（未来科技城南区）CP07-0600-0022、0039、0040地块F2公建混合住宅用地（配建人才公共租赁住房）项目出让国有建设用地使用权及在建建筑物房地产</v>
      </c>
      <c r="B118" s="1794">
        <f>M18</f>
        <v>112033.45000000001</v>
      </c>
      <c r="C118" s="1794">
        <f>M19</f>
        <v>20133.75</v>
      </c>
      <c r="D118" s="1794">
        <f ca="1">ROUND(IF(D32="总价",C34,E118*B118/10000),0)</f>
        <v>196934</v>
      </c>
      <c r="E118" s="1794">
        <f ca="1">ROUND(IF(C33="自定义",IF(D32="楼面单价",C34,D118*10000/B118),I118-G118),0)</f>
        <v>17578</v>
      </c>
      <c r="F118" s="1794">
        <f ca="1">ROUND(IF(D32="总价",C35,G118*B118/10000),0)</f>
        <v>45895</v>
      </c>
      <c r="G118" s="1794">
        <f ca="1">ROUND(IF(D32="楼面单价",C35,F118*10000/B118),0)</f>
        <v>4097</v>
      </c>
      <c r="H118" s="1794">
        <f ca="1">ROUND(IF(D32="总价",C32,I118*B118/10000),0)</f>
        <v>242829</v>
      </c>
      <c r="I118" s="1794">
        <f ca="1">ROUND(IF(D32="楼面单价",C32,H118*10000/B118),0)</f>
        <v>21675</v>
      </c>
    </row>
    <row r="119" spans="1:11" ht="18.75" customHeight="1">
      <c r="A119" s="3070" t="s">
        <v>2316</v>
      </c>
      <c r="B119" s="3070"/>
      <c r="C119" s="3070"/>
      <c r="D119" s="3122" t="str">
        <f ca="1">NUMBERSTRING(INT(D118*10000),2)&amp;"元整"</f>
        <v>壹拾玖亿陆仟玖佰叁拾肆万元整</v>
      </c>
      <c r="E119" s="3123"/>
      <c r="F119" s="3122" t="str">
        <f ca="1">NUMBERSTRING(INT(F118*10000),2)&amp;"元整"</f>
        <v>肆亿伍仟捌佰玖拾伍万元整</v>
      </c>
      <c r="G119" s="3123"/>
      <c r="H119" s="3122" t="str">
        <f ca="1">NUMBERSTRING(INT(H118*10000),2)&amp;"元整"</f>
        <v>贰拾肆亿贰仟捌佰贰拾玖万元整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2" t="str">
        <f>IF(D120=0,"故，本次评估不存在"&amp;A120,"故，本次评估"&amp;A120&amp;"为人民币"&amp;D120&amp;"万元整。")</f>
        <v>故，本次评估不存在估价师知悉的法定优先受偿款</v>
      </c>
    </row>
    <row r="121" spans="1:11" ht="18.75" customHeight="1">
      <c r="A121" s="3163" t="s">
        <v>2316</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242829</v>
      </c>
      <c r="E122" s="3118"/>
      <c r="F122" s="3118"/>
      <c r="G122" s="3118"/>
      <c r="H122" s="3118"/>
      <c r="I122" s="3119"/>
    </row>
    <row r="123" spans="1:11" ht="18.75" customHeight="1">
      <c r="A123" s="3070" t="s">
        <v>2316</v>
      </c>
      <c r="B123" s="3070"/>
      <c r="C123" s="3070"/>
      <c r="D123" s="3122" t="str">
        <f ca="1">NUMBERSTRING(INT(D122*10000),2)&amp;"元整"</f>
        <v>贰拾肆亿贰仟捌佰贰拾玖万元整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0" t="s">
        <v>2316</v>
      </c>
      <c r="B125" s="3070"/>
      <c r="C125" s="3070"/>
      <c r="D125" s="3122" t="e">
        <f>NUMBERSTRING(INT(D124*10000),2)&amp;"元整"</f>
        <v>#VALUE!</v>
      </c>
      <c r="E125" s="3124"/>
      <c r="F125" s="3124"/>
      <c r="G125" s="3124"/>
      <c r="H125" s="3124"/>
      <c r="I125" s="3123"/>
    </row>
    <row r="126" spans="1:11" ht="18.75" customHeight="1">
      <c r="A126" s="3128" t="str">
        <f>IF(项目基本情况!B9="房地产市场价值","",MID(E111,3,LEN(E111)-2))</f>
        <v>抵押净值</v>
      </c>
      <c r="B126" s="3128"/>
      <c r="C126" s="3128"/>
      <c r="D126" s="3117">
        <f ca="1">H111</f>
        <v>224710</v>
      </c>
      <c r="E126" s="3118"/>
      <c r="F126" s="3118"/>
      <c r="G126" s="3118"/>
      <c r="H126" s="3118"/>
      <c r="I126" s="3119"/>
    </row>
    <row r="127" spans="1:11" ht="18.75" customHeight="1">
      <c r="A127" s="3070" t="s">
        <v>2316</v>
      </c>
      <c r="B127" s="3070"/>
      <c r="C127" s="3070"/>
      <c r="D127" s="3122" t="str">
        <f ca="1">NUMBERSTRING(INT(D126*10000),2)&amp;"元整"</f>
        <v>贰拾贰亿肆仟柒佰壹拾万元整</v>
      </c>
      <c r="E127" s="3124"/>
      <c r="F127" s="3124"/>
      <c r="G127" s="3124"/>
      <c r="H127" s="3124"/>
      <c r="I127" s="3123"/>
    </row>
    <row r="128" spans="1:11" ht="21.75" customHeight="1">
      <c r="A128" s="3125" t="s">
        <v>2317</v>
      </c>
      <c r="B128" s="3125"/>
      <c r="C128" s="3125"/>
      <c r="D128" s="3125"/>
      <c r="E128" s="3125"/>
      <c r="F128" s="3125"/>
      <c r="G128" s="3125"/>
      <c r="H128" s="3125"/>
      <c r="I128" s="3125"/>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zoomScale="70" zoomScaleNormal="70" workbookViewId="0">
      <selection activeCell="E57" sqref="E5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36"/>
      <c r="C1" s="242"/>
      <c r="D1" s="242"/>
      <c r="E1" s="242"/>
      <c r="F1" s="242"/>
      <c r="G1" s="1379">
        <f>MATCH(B1,'数据-取费表'!A6:A16,0)+5</f>
        <v>12</v>
      </c>
    </row>
    <row r="2" spans="1:9" s="244" customFormat="1" ht="18" customHeight="1">
      <c r="A2" s="245" t="s">
        <v>2326</v>
      </c>
      <c r="B2" s="246">
        <f ca="1">IF(D2="——",C52,C52-E2)</f>
        <v>229711</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20504</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136630</v>
      </c>
      <c r="D5" s="255" t="s">
        <v>2333</v>
      </c>
      <c r="E5" s="256" t="s">
        <v>2334</v>
      </c>
      <c r="F5" s="256" t="s">
        <v>2335</v>
      </c>
      <c r="G5" s="257"/>
    </row>
    <row r="6" spans="1:9" s="258" customFormat="1" ht="13.5" customHeight="1">
      <c r="A6" s="949" t="s">
        <v>2336</v>
      </c>
      <c r="B6" s="259" t="s">
        <v>2337</v>
      </c>
      <c r="C6" s="260">
        <f>'土地比较法-住宅、综合'!B2</f>
        <v>130472</v>
      </c>
      <c r="D6" s="261"/>
      <c r="E6" s="262"/>
      <c r="F6" s="262"/>
      <c r="G6" s="263"/>
    </row>
    <row r="7" spans="1:9" s="258" customFormat="1" ht="13.5" customHeight="1">
      <c r="A7" s="949" t="s">
        <v>2338</v>
      </c>
      <c r="B7" s="259" t="s">
        <v>2339</v>
      </c>
      <c r="C7" s="264">
        <f>ROUND(C6*F7,0)</f>
        <v>3979</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2179</v>
      </c>
      <c r="D8" s="266"/>
      <c r="E8" s="264"/>
      <c r="F8" s="265"/>
      <c r="G8" s="2551" t="s">
        <v>3641</v>
      </c>
    </row>
    <row r="9" spans="1:9" s="258" customFormat="1" ht="13.5" customHeight="1">
      <c r="A9" s="950" t="s">
        <v>800</v>
      </c>
      <c r="B9" s="268" t="s">
        <v>2342</v>
      </c>
      <c r="C9" s="269">
        <f ca="1">ROUND(D9*E9/10000,0)</f>
        <v>245</v>
      </c>
      <c r="D9" s="1032">
        <f ca="1">IF(B1="",'数据-汇总表'!E5,IF(INDIRECT("'数据-取费表'!c"&amp;$G$1)="住宅",INDIRECT("'数据-取费表'!k"&amp;$G$1),0))</f>
        <v>15336.43</v>
      </c>
      <c r="E9" s="269">
        <f>'数据-取费表'!B27</f>
        <v>160</v>
      </c>
      <c r="F9" s="265"/>
      <c r="G9" s="2552" t="s">
        <v>3642</v>
      </c>
      <c r="H9" s="1390"/>
      <c r="I9" s="2553" t="s">
        <v>2343</v>
      </c>
    </row>
    <row r="10" spans="1:9" s="258" customFormat="1" ht="13.5" customHeight="1">
      <c r="A10" s="950" t="s">
        <v>801</v>
      </c>
      <c r="B10" s="268" t="s">
        <v>2344</v>
      </c>
      <c r="C10" s="269">
        <f ca="1">ROUND(D10*E10/10000,0)</f>
        <v>1934</v>
      </c>
      <c r="D10" s="1032">
        <f ca="1">IF(B1="",'数据-汇总表'!E6,IF(INDIRECT("'数据-取费表'!c"&amp;$G$1)="住宅",INDIRECT("'数据-取费表'!s"&amp;$G$1),INDIRECT("'数据-取费表'!k"&amp;$G$1)+INDIRECT("'数据-取费表'!s"&amp;$G$1)))</f>
        <v>96697.020000000019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112033.45000000001</v>
      </c>
      <c r="E19" s="255">
        <f>'数据-取费表'!B31</f>
        <v>200</v>
      </c>
      <c r="F19" s="275"/>
      <c r="G19" s="2551" t="s">
        <v>3643</v>
      </c>
    </row>
    <row r="20" spans="1:7" s="258" customFormat="1" ht="13.5" customHeight="1">
      <c r="A20" s="299" t="s">
        <v>2357</v>
      </c>
      <c r="B20" s="254" t="s">
        <v>2358</v>
      </c>
      <c r="C20" s="276">
        <f ca="1">ROUND((C5+C19)*F20,0)</f>
        <v>2733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19507</v>
      </c>
      <c r="D22" s="279">
        <f ca="1">C26</f>
        <v>1.4E-3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19320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187</v>
      </c>
      <c r="D25" s="282"/>
      <c r="E25" s="285"/>
      <c r="F25" s="283"/>
      <c r="G25" s="286" t="s">
        <v>2374</v>
      </c>
    </row>
    <row r="26" spans="1:7" s="258" customFormat="1">
      <c r="A26" s="951" t="s">
        <v>795</v>
      </c>
      <c r="B26" s="259" t="s">
        <v>2375</v>
      </c>
      <c r="C26" s="282">
        <f ca="1">ROUND(IF('数据-取费表'!B22&lt;=1,F21*F22*'数据-取费表'!B23/2,F21*(POWER((1+F22),'数据-取费表'!B23/2)-1)),4)</f>
        <v>1.4E-3</v>
      </c>
      <c r="D26" s="282"/>
      <c r="E26" s="285"/>
      <c r="F26" s="283"/>
      <c r="G26" s="287"/>
    </row>
    <row r="27" spans="1:7" s="258" customFormat="1" ht="26.4">
      <c r="A27" s="299" t="s">
        <v>2376</v>
      </c>
      <c r="B27" s="288" t="s">
        <v>2377</v>
      </c>
      <c r="C27" s="289">
        <f ca="1">C28</f>
        <v>13239</v>
      </c>
      <c r="D27" s="279">
        <f ca="1">C29</f>
        <v>1.9E-3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13239</v>
      </c>
      <c r="D28" s="279"/>
      <c r="E28" s="280"/>
      <c r="F28" s="290"/>
      <c r="G28" s="291"/>
    </row>
    <row r="29" spans="1:7" s="258" customFormat="1" ht="13.5" customHeight="1">
      <c r="A29" s="951" t="s">
        <v>792</v>
      </c>
      <c r="B29" s="292" t="s">
        <v>2381</v>
      </c>
      <c r="C29" s="282">
        <f ca="1">ROUND(C21*F27*'数据-取费表'!B21/'数据-取费表'!B20,4)</f>
        <v>1.9E-3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186205</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33739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30113</v>
      </c>
      <c r="D34" s="261"/>
      <c r="E34" s="264"/>
      <c r="F34" s="301">
        <f ca="1">IF('数据-取费表'!B24=0,1,IF(B1="",'数据-取费表'!N16,INDIRECT("'数据-取费表'!n"&amp;$G$1)))</f>
        <v>0.95</v>
      </c>
      <c r="G34" s="263" t="s">
        <v>2390</v>
      </c>
    </row>
    <row r="35" spans="1:7" ht="13.5" customHeight="1">
      <c r="A35" s="951" t="s">
        <v>796</v>
      </c>
      <c r="B35" s="259" t="s">
        <v>2391</v>
      </c>
      <c r="C35" s="264">
        <f ca="1">ROUND(C34*F35,0)</f>
        <v>903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142</v>
      </c>
      <c r="D36" s="264"/>
      <c r="E36" s="264"/>
      <c r="F36" s="303">
        <f>'数据-取费表'!B34</f>
        <v>0.03</v>
      </c>
      <c r="G36" s="304" t="s">
        <v>2394</v>
      </c>
    </row>
    <row r="37" spans="1:7" s="302" customFormat="1" ht="13.5" customHeight="1">
      <c r="A37" s="951" t="s">
        <v>798</v>
      </c>
      <c r="B37" s="259" t="s">
        <v>2395</v>
      </c>
      <c r="C37" s="293">
        <f ca="1">ROUND(E37*D37*F34/10000,0)</f>
        <v>2129</v>
      </c>
      <c r="D37" s="261">
        <f ca="1">D19</f>
        <v>112033.45000000001</v>
      </c>
      <c r="E37" s="293">
        <f>'数据-取费表'!B35</f>
        <v>200</v>
      </c>
      <c r="F37" s="303"/>
      <c r="G37" s="305" t="s">
        <v>2396</v>
      </c>
    </row>
    <row r="38" spans="1:7" ht="13.5" customHeight="1">
      <c r="A38" s="951" t="s">
        <v>799</v>
      </c>
      <c r="B38" s="259" t="s">
        <v>2397</v>
      </c>
      <c r="C38" s="264">
        <f ca="1">ROUND(C34*F38,0)</f>
        <v>452</v>
      </c>
      <c r="D38" s="264"/>
      <c r="E38" s="264"/>
      <c r="F38" s="303">
        <f>'数据-取费表'!B36</f>
        <v>1.4999999999999999E-2</v>
      </c>
      <c r="G38" s="263" t="s">
        <v>2392</v>
      </c>
    </row>
    <row r="39" spans="1:7" s="258" customFormat="1" ht="13.5" customHeight="1">
      <c r="A39" s="299" t="s">
        <v>2398</v>
      </c>
      <c r="B39" s="254" t="s">
        <v>2399</v>
      </c>
      <c r="C39" s="276">
        <f ca="1">ROUND(C33*F20,0)</f>
        <v>675</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2353</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2307</v>
      </c>
      <c r="D42" s="282"/>
      <c r="E42" s="282"/>
      <c r="F42" s="283"/>
      <c r="G42" s="3197" t="s">
        <v>2408</v>
      </c>
    </row>
    <row r="43" spans="1:7" ht="13.5" customHeight="1">
      <c r="A43" s="951" t="s">
        <v>792</v>
      </c>
      <c r="B43" s="259" t="s">
        <v>2409</v>
      </c>
      <c r="C43" s="282">
        <f ca="1">ROUND(IF('数据-取费表'!B22&lt;=1,C39*F22*'数据-取费表'!B21/2,C39*(POWER((1+F22),'数据-取费表'!B21/2)-1)),0)</f>
        <v>46</v>
      </c>
      <c r="D43" s="282"/>
      <c r="E43" s="282"/>
      <c r="F43" s="283"/>
      <c r="G43" s="3198"/>
    </row>
    <row r="44" spans="1:7" ht="13.5" customHeight="1">
      <c r="A44" s="951" t="s">
        <v>793</v>
      </c>
      <c r="B44" s="259" t="s">
        <v>2410</v>
      </c>
      <c r="C44" s="282">
        <f ca="1">ROUND(IF('数据-取费表'!B22&lt;=1,C40*F22*'数据-取费表'!B21/2,C40*(POWER((1+F22),'数据-取费表'!B21/2)-1)),4)</f>
        <v>1.4E-3</v>
      </c>
      <c r="D44" s="282"/>
      <c r="E44" s="282"/>
      <c r="F44" s="283"/>
      <c r="G44" s="3199"/>
    </row>
    <row r="45" spans="1:7" s="258" customFormat="1" ht="13.5" customHeight="1">
      <c r="A45" s="299" t="s">
        <v>2411</v>
      </c>
      <c r="B45" s="288" t="s">
        <v>2377</v>
      </c>
      <c r="C45" s="289">
        <f ca="1">C46</f>
        <v>3441</v>
      </c>
      <c r="D45" s="279">
        <f ca="1">C47</f>
        <v>2E-3</v>
      </c>
      <c r="E45" s="280" t="s">
        <v>2403</v>
      </c>
      <c r="F45" s="290"/>
      <c r="G45" s="291" t="s">
        <v>2412</v>
      </c>
    </row>
    <row r="46" spans="1:7" s="258" customFormat="1" ht="13.5" customHeight="1">
      <c r="A46" s="951" t="s">
        <v>791</v>
      </c>
      <c r="B46" s="292" t="s">
        <v>2413</v>
      </c>
      <c r="C46" s="293">
        <f ca="1">ROUND((C33+C39)*F27,0)</f>
        <v>3441</v>
      </c>
      <c r="D46" s="307"/>
      <c r="E46" s="280"/>
      <c r="F46" s="290"/>
      <c r="G46" s="291"/>
    </row>
    <row r="47" spans="1:7" s="258" customFormat="1" ht="13.5" customHeight="1">
      <c r="A47" s="951" t="s">
        <v>792</v>
      </c>
      <c r="B47" s="292" t="s">
        <v>2414</v>
      </c>
      <c r="C47" s="282">
        <f ca="1">ROUND(C40*F27,4)</f>
        <v>2E-3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43506</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43506</v>
      </c>
      <c r="D51" s="276"/>
      <c r="E51" s="276"/>
      <c r="F51" s="308"/>
      <c r="G51" s="278" t="s">
        <v>2424</v>
      </c>
    </row>
    <row r="52" spans="1:7" s="252" customFormat="1" ht="16.8" thickBot="1">
      <c r="A52" s="309" t="s">
        <v>2425</v>
      </c>
      <c r="B52" s="310"/>
      <c r="C52" s="311">
        <f ca="1">C31+C51</f>
        <v>229711</v>
      </c>
      <c r="D52" s="310"/>
      <c r="E52" s="310"/>
      <c r="F52" s="310"/>
      <c r="G52" s="312"/>
    </row>
    <row r="55" spans="1:7" ht="15">
      <c r="B55" s="314" t="s">
        <v>2426</v>
      </c>
      <c r="C55" s="315"/>
    </row>
    <row r="56" spans="1:7">
      <c r="B56" s="317" t="s">
        <v>1509</v>
      </c>
      <c r="C56" s="319">
        <f ca="1">1-C57</f>
        <v>0.81099999999999994</v>
      </c>
    </row>
    <row r="57" spans="1:7">
      <c r="B57" s="317" t="s">
        <v>1510</v>
      </c>
      <c r="C57" s="318">
        <f ca="1">ROUND(C51/C52,3)</f>
        <v>0.189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36"/>
      <c r="C1" s="2554" t="s">
        <v>2427</v>
      </c>
      <c r="D1" s="242"/>
      <c r="E1" s="242"/>
      <c r="F1" s="242"/>
      <c r="G1" s="1379">
        <f>MATCH(B1,'数据-取费表'!A6:A16,0)+5</f>
        <v>12</v>
      </c>
      <c r="H1" s="1282" t="str">
        <f>IF(ISERROR(FIND("住宅",B1)),"非住宅","住宅")</f>
        <v>非住宅</v>
      </c>
    </row>
    <row r="2" spans="1:8" s="244" customFormat="1" ht="18" customHeight="1">
      <c r="A2" s="245" t="s">
        <v>2326</v>
      </c>
      <c r="B2" s="246">
        <f ca="1">ROUND(IF(D2="——",C52/10000,C52/10000-E2),0)</f>
        <v>52030</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4644</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21793233</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21793233</v>
      </c>
      <c r="D8" s="266"/>
      <c r="E8" s="264"/>
      <c r="F8" s="265"/>
      <c r="G8" s="2551"/>
    </row>
    <row r="9" spans="1:8" s="258" customFormat="1" ht="13.5" customHeight="1">
      <c r="A9" s="950" t="s">
        <v>800</v>
      </c>
      <c r="B9" s="268" t="s">
        <v>2342</v>
      </c>
      <c r="C9" s="269">
        <f ca="1">ROUND(D9*E9,0)</f>
        <v>2453829</v>
      </c>
      <c r="D9" s="1032">
        <f ca="1">IF(B1="",'数据-汇总表'!E5,IF(INDIRECT("'数据-取费表'!c"&amp;$G$1)="住宅",INDIRECT("'数据-取费表'!k"&amp;$G$1),0))</f>
        <v>15336.43</v>
      </c>
      <c r="E9" s="269">
        <f>'数据-取费表'!B27</f>
        <v>160</v>
      </c>
      <c r="F9" s="265"/>
      <c r="G9" s="270"/>
    </row>
    <row r="10" spans="1:8" s="258" customFormat="1" ht="13.5" customHeight="1">
      <c r="A10" s="950" t="s">
        <v>801</v>
      </c>
      <c r="B10" s="268" t="s">
        <v>2344</v>
      </c>
      <c r="C10" s="269">
        <f ca="1">ROUND(D10*E10,0)</f>
        <v>19339404</v>
      </c>
      <c r="D10" s="1032">
        <f ca="1">IF(B1="",'数据-汇总表'!E6,IF(INDIRECT("'数据-取费表'!c"&amp;$G$1)="住宅",INDIRECT("'数据-取费表'!s"&amp;$G$1),INDIRECT("'数据-取费表'!k"&amp;$G$1)+INDIRECT("'数据-取费表'!s"&amp;$G$1)))</f>
        <v>96697.020000000019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22406690</v>
      </c>
      <c r="D19" s="1036">
        <f ca="1">D9+D10</f>
        <v>112033.45000000001</v>
      </c>
      <c r="E19" s="255">
        <f>'数据-取费表'!B31</f>
        <v>200</v>
      </c>
      <c r="F19" s="275"/>
      <c r="G19" s="2551"/>
    </row>
    <row r="20" spans="1:7" s="258" customFormat="1" ht="13.5" customHeight="1">
      <c r="A20" s="299" t="s">
        <v>2438</v>
      </c>
      <c r="B20" s="254" t="s">
        <v>2439</v>
      </c>
      <c r="C20" s="276">
        <f ca="1">ROUND((C5+C19)*F20,0)</f>
        <v>883998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6666131</v>
      </c>
      <c r="D22" s="279">
        <f ca="1">C26</f>
        <v>1.4E-3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3255384</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3347020</v>
      </c>
      <c r="D24" s="282"/>
      <c r="E24" s="282"/>
      <c r="F24" s="283"/>
      <c r="G24" s="284" t="s">
        <v>2450</v>
      </c>
    </row>
    <row r="25" spans="1:7" s="258" customFormat="1" ht="24">
      <c r="A25" s="951" t="s">
        <v>2340</v>
      </c>
      <c r="B25" s="259" t="s">
        <v>2451</v>
      </c>
      <c r="C25" s="1381">
        <f ca="1">ROUND(IF('数据-取费表'!B22&lt;=1,C20*F22*'数据-取费表'!B22/2,C20*(POWER((1+F22),'数据-取费表'!B22/2)-1)),0)</f>
        <v>63727</v>
      </c>
      <c r="D25" s="282"/>
      <c r="E25" s="285"/>
      <c r="F25" s="283"/>
      <c r="G25" s="286" t="s">
        <v>2452</v>
      </c>
    </row>
    <row r="26" spans="1:7" s="258" customFormat="1">
      <c r="A26" s="951" t="s">
        <v>795</v>
      </c>
      <c r="B26" s="259" t="s">
        <v>2375</v>
      </c>
      <c r="C26" s="282">
        <f ca="1">ROUND(IF('数据-取费表'!B22&lt;=1,F21*F22*'数据-取费表'!B22/2,F21*(POWER((1+F22),'数据-取费表'!B22/2)-1)),4)</f>
        <v>1.4E-3</v>
      </c>
      <c r="D26" s="282"/>
      <c r="E26" s="285"/>
      <c r="F26" s="283"/>
      <c r="G26" s="287"/>
    </row>
    <row r="27" spans="1:7" s="258" customFormat="1" ht="26.4">
      <c r="A27" s="299" t="s">
        <v>2376</v>
      </c>
      <c r="B27" s="288" t="s">
        <v>2377</v>
      </c>
      <c r="C27" s="289">
        <f ca="1">C28</f>
        <v>4508392</v>
      </c>
      <c r="D27" s="279">
        <f ca="1">C29</f>
        <v>2E-3</v>
      </c>
      <c r="E27" s="280" t="s">
        <v>2378</v>
      </c>
      <c r="F27" s="290">
        <f ca="1">IF(B1="",'数据-取费表'!Q16,INDIRECT("'数据-取费表'!q"&amp;$G$1))</f>
        <v>0.1</v>
      </c>
      <c r="G27" s="291" t="s">
        <v>2379</v>
      </c>
    </row>
    <row r="28" spans="1:7" s="258" customFormat="1" ht="13.5" customHeight="1">
      <c r="A28" s="951" t="s">
        <v>791</v>
      </c>
      <c r="B28" s="292" t="s">
        <v>2380</v>
      </c>
      <c r="C28" s="293">
        <f ca="1">ROUND((C5+C19+C20)*F27,0)</f>
        <v>4508392</v>
      </c>
      <c r="D28" s="279"/>
      <c r="E28" s="280"/>
      <c r="F28" s="290"/>
      <c r="G28" s="291"/>
    </row>
    <row r="29" spans="1:7" s="258" customFormat="1" ht="13.5" customHeight="1">
      <c r="A29" s="951" t="s">
        <v>792</v>
      </c>
      <c r="B29" s="292" t="s">
        <v>2381</v>
      </c>
      <c r="C29" s="282">
        <f ca="1">ROUND(C21*F27,4)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60872586</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355161718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316993700</v>
      </c>
      <c r="D34" s="261"/>
      <c r="E34" s="264"/>
      <c r="F34" s="301"/>
      <c r="G34" s="263"/>
    </row>
    <row r="35" spans="1:7" ht="13.5" customHeight="1">
      <c r="A35" s="951" t="s">
        <v>796</v>
      </c>
      <c r="B35" s="259" t="s">
        <v>2391</v>
      </c>
      <c r="C35" s="264">
        <f ca="1">ROUND(C34*F35,0)</f>
        <v>9509811</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1496611</v>
      </c>
      <c r="D36" s="264"/>
      <c r="E36" s="264"/>
      <c r="F36" s="303">
        <f>'数据-取费表'!B34</f>
        <v>0.03</v>
      </c>
      <c r="G36" s="304" t="s">
        <v>2394</v>
      </c>
    </row>
    <row r="37" spans="1:7" s="302" customFormat="1" ht="13.5" customHeight="1">
      <c r="A37" s="951" t="s">
        <v>798</v>
      </c>
      <c r="B37" s="259" t="s">
        <v>2395</v>
      </c>
      <c r="C37" s="293">
        <f ca="1">ROUND(E37*D37,0)</f>
        <v>22406690</v>
      </c>
      <c r="D37" s="261">
        <f ca="1">D19</f>
        <v>112033.45000000001</v>
      </c>
      <c r="E37" s="293">
        <f>'数据-取费表'!B35</f>
        <v>200</v>
      </c>
      <c r="F37" s="303"/>
      <c r="G37" s="305"/>
    </row>
    <row r="38" spans="1:7" ht="13.5" customHeight="1">
      <c r="A38" s="951" t="s">
        <v>799</v>
      </c>
      <c r="B38" s="259" t="s">
        <v>2397</v>
      </c>
      <c r="C38" s="264">
        <f ca="1">ROUND(C34*F38,0)</f>
        <v>4754906</v>
      </c>
      <c r="D38" s="264"/>
      <c r="E38" s="264"/>
      <c r="F38" s="303">
        <f>'数据-取费表'!B36</f>
        <v>1.4999999999999999E-2</v>
      </c>
      <c r="G38" s="263" t="s">
        <v>2392</v>
      </c>
    </row>
    <row r="39" spans="1:7" s="258" customFormat="1" ht="13.5" customHeight="1">
      <c r="A39" s="299" t="s">
        <v>2398</v>
      </c>
      <c r="B39" s="254" t="s">
        <v>2399</v>
      </c>
      <c r="C39" s="276">
        <f ca="1">ROUND(C33*F20,0)</f>
        <v>7103234</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26115504</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25603435</v>
      </c>
      <c r="D42" s="282"/>
      <c r="E42" s="282"/>
      <c r="F42" s="283"/>
      <c r="G42" s="3197" t="s">
        <v>2455</v>
      </c>
    </row>
    <row r="43" spans="1:7" ht="13.5" customHeight="1">
      <c r="A43" s="951" t="s">
        <v>792</v>
      </c>
      <c r="B43" s="259" t="s">
        <v>2409</v>
      </c>
      <c r="C43" s="282">
        <f ca="1">ROUND(IF('数据-取费表'!B22&lt;=1,C39*F22*'数据-取费表'!B20/2,C39*(POWER((1+F22),'数据-取费表'!B20/2)-1)),0)</f>
        <v>512069</v>
      </c>
      <c r="D43" s="282"/>
      <c r="E43" s="282"/>
      <c r="F43" s="283"/>
      <c r="G43" s="3198"/>
    </row>
    <row r="44" spans="1:7" ht="13.5" customHeight="1">
      <c r="A44" s="951" t="s">
        <v>793</v>
      </c>
      <c r="B44" s="259" t="s">
        <v>2410</v>
      </c>
      <c r="C44" s="282">
        <f ca="1">ROUND(IF('数据-取费表'!B22&lt;=1,C40*F22*'数据-取费表'!B20/2,C40*(POWER((1+F22),'数据-取费表'!B20/2)-1)),4)</f>
        <v>1.4E-3</v>
      </c>
      <c r="D44" s="282"/>
      <c r="E44" s="282"/>
      <c r="F44" s="283"/>
      <c r="G44" s="3199"/>
    </row>
    <row r="45" spans="1:7" s="258" customFormat="1" ht="13.5" customHeight="1">
      <c r="A45" s="299" t="s">
        <v>2411</v>
      </c>
      <c r="B45" s="288" t="s">
        <v>2377</v>
      </c>
      <c r="C45" s="289">
        <f ca="1">C46</f>
        <v>36226495</v>
      </c>
      <c r="D45" s="279">
        <f ca="1">C47</f>
        <v>2E-3</v>
      </c>
      <c r="E45" s="280" t="s">
        <v>2403</v>
      </c>
      <c r="F45" s="290"/>
      <c r="G45" s="291" t="s">
        <v>2412</v>
      </c>
    </row>
    <row r="46" spans="1:7" s="258" customFormat="1" ht="13.5" customHeight="1">
      <c r="A46" s="951" t="s">
        <v>791</v>
      </c>
      <c r="B46" s="292" t="s">
        <v>2413</v>
      </c>
      <c r="C46" s="293">
        <f ca="1">ROUND((C33+C39)*F27,0)</f>
        <v>36226495</v>
      </c>
      <c r="D46" s="307"/>
      <c r="E46" s="280"/>
      <c r="F46" s="290"/>
      <c r="G46" s="291"/>
    </row>
    <row r="47" spans="1:7" s="258" customFormat="1" ht="13.5" customHeight="1">
      <c r="A47" s="951" t="s">
        <v>792</v>
      </c>
      <c r="B47" s="292" t="s">
        <v>2414</v>
      </c>
      <c r="C47" s="282">
        <f ca="1">ROUND(C40*F27,4)</f>
        <v>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459431888</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459431888</v>
      </c>
      <c r="D51" s="276"/>
      <c r="E51" s="276"/>
      <c r="F51" s="308"/>
      <c r="G51" s="278" t="s">
        <v>2424</v>
      </c>
    </row>
    <row r="52" spans="1:7" s="252" customFormat="1" ht="16.8" thickBot="1">
      <c r="A52" s="309" t="s">
        <v>2425</v>
      </c>
      <c r="B52" s="310"/>
      <c r="C52" s="311">
        <f ca="1">C31+C51</f>
        <v>520304474</v>
      </c>
      <c r="D52" s="310"/>
      <c r="E52" s="310"/>
      <c r="F52" s="310"/>
      <c r="G52" s="312"/>
    </row>
    <row r="55" spans="1:7" ht="15">
      <c r="B55" s="314" t="s">
        <v>2426</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3" workbookViewId="0">
      <selection activeCell="N13" sqref="N1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2458</v>
      </c>
      <c r="B1" s="1580"/>
      <c r="C1" s="1581"/>
      <c r="D1" s="1579"/>
      <c r="E1" s="320"/>
      <c r="F1" s="320"/>
      <c r="G1" s="1580"/>
      <c r="H1" s="320"/>
      <c r="I1" s="320"/>
      <c r="J1" s="320"/>
      <c r="K1" s="320">
        <f>MATCH(C1,'数据-取费表'!A6:A16,0)+5</f>
        <v>12</v>
      </c>
    </row>
    <row r="2" spans="1:33" ht="18" customHeight="1">
      <c r="A2" s="245" t="s">
        <v>2326</v>
      </c>
      <c r="B2" s="248">
        <f ca="1">C32</f>
        <v>255947</v>
      </c>
      <c r="C2" s="320" t="s">
        <v>2459</v>
      </c>
      <c r="D2" s="320"/>
      <c r="E2" s="320"/>
      <c r="F2" s="320"/>
      <c r="G2" s="320"/>
      <c r="H2" s="320"/>
      <c r="I2" s="320"/>
      <c r="J2" s="320"/>
      <c r="K2" s="320"/>
    </row>
    <row r="3" spans="1:33" ht="18" customHeight="1" thickBot="1">
      <c r="A3" s="247" t="s">
        <v>2328</v>
      </c>
      <c r="B3" s="248">
        <f ca="1">ROUND(B2*10000/IF(C1="",'数据-汇总表'!E3,INDIRECT("'数据-取费表'!K"&amp;$K$1)),0)</f>
        <v>22846</v>
      </c>
      <c r="C3" s="320" t="s">
        <v>2460</v>
      </c>
      <c r="D3" s="320"/>
      <c r="E3" s="320"/>
      <c r="F3" s="320"/>
      <c r="G3" s="320"/>
      <c r="H3" s="320"/>
      <c r="I3" s="320"/>
      <c r="J3" s="320"/>
      <c r="K3" s="320"/>
    </row>
    <row r="4" spans="1:33" s="956" customFormat="1" ht="16.5" customHeight="1">
      <c r="A4" s="953" t="s">
        <v>2461</v>
      </c>
      <c r="B4" s="954"/>
      <c r="C4" s="996">
        <f ca="1">SUM(C8:K8)</f>
        <v>283692</v>
      </c>
      <c r="D4" s="954"/>
      <c r="E4" s="954"/>
      <c r="F4" s="954"/>
      <c r="G4" s="954"/>
      <c r="H4" s="954"/>
      <c r="I4" s="954"/>
      <c r="J4" s="954"/>
      <c r="K4" s="955"/>
    </row>
    <row r="5" spans="1:33" s="960" customFormat="1" ht="14.4">
      <c r="A5" s="957" t="s">
        <v>2462</v>
      </c>
      <c r="B5" s="958" t="s">
        <v>2463</v>
      </c>
      <c r="C5" s="2555" t="s">
        <v>3106</v>
      </c>
      <c r="D5" s="2555" t="s">
        <v>3108</v>
      </c>
      <c r="E5" s="2555" t="s">
        <v>3559</v>
      </c>
      <c r="F5" s="2555" t="s">
        <v>1373</v>
      </c>
      <c r="G5" s="2555" t="s">
        <v>48</v>
      </c>
      <c r="H5" s="2555" t="s">
        <v>3560</v>
      </c>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'比较法-住宅'!B3</f>
        <v>58949</v>
      </c>
      <c r="D6" s="962">
        <v>5000</v>
      </c>
      <c r="E6" s="962">
        <f ca="1">'收益法-办公自持'!B3</f>
        <v>32756</v>
      </c>
      <c r="F6" s="962">
        <f ca="1">'收益法-商业'!B3</f>
        <v>29271</v>
      </c>
      <c r="G6" s="962">
        <f ca="1">'收益法-地下车库'!B3</f>
        <v>3830</v>
      </c>
      <c r="H6" s="962">
        <f>'比较法-办公'!B3</f>
        <v>35103</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7580.9700000000012</v>
      </c>
      <c r="D7" s="321">
        <f>SUMIF('数据-汇总表'!$C19:$C33,假设开发法!D5,'数据-汇总表'!$E19:$E33)</f>
        <v>7755.46</v>
      </c>
      <c r="E7" s="321">
        <f>SUMIF('数据-汇总表'!$C19:$C33,假设开发法!E5,'数据-汇总表'!$E19:$E33)</f>
        <v>31619.72</v>
      </c>
      <c r="F7" s="321">
        <f>SUMIF('数据-汇总表'!$C19:$C33,假设开发法!F5,'数据-汇总表'!$E19:$E33)</f>
        <v>15763.72</v>
      </c>
      <c r="G7" s="321">
        <f>SUMIF('数据-汇总表'!$C19:$C33,假设开发法!G5,'数据-汇总表'!$E19:$E33)</f>
        <v>17927.650000000001</v>
      </c>
      <c r="H7" s="321">
        <f>SUMIF('数据-汇总表'!$C19:$C33,假设开发法!H5,'数据-汇总表'!$E19:$E33)</f>
        <v>22374.86</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2467</v>
      </c>
      <c r="B8" s="177" t="s">
        <v>2468</v>
      </c>
      <c r="C8" s="997">
        <f>'比较法-住宅'!B2</f>
        <v>44689</v>
      </c>
      <c r="D8" s="997">
        <f>ROUND(D6*D7/10000,0)</f>
        <v>3878</v>
      </c>
      <c r="E8" s="997">
        <f ca="1">'收益法-办公自持'!B2</f>
        <v>103574</v>
      </c>
      <c r="F8" s="998">
        <f ca="1">'收益法-商业'!B2</f>
        <v>46142</v>
      </c>
      <c r="G8" s="998">
        <f ca="1">'收益法-地下车库'!B2</f>
        <v>6867</v>
      </c>
      <c r="H8" s="998">
        <f>'比较法-办公'!B2</f>
        <v>78542</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1585</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2477</v>
      </c>
      <c r="C12" s="24">
        <f ca="1">ROUND(C11*F12,0)</f>
        <v>48</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8</v>
      </c>
      <c r="D13" s="1033"/>
      <c r="E13" s="375"/>
      <c r="F13" s="976">
        <f>'数据-取费表'!B34</f>
        <v>0.03</v>
      </c>
      <c r="G13" s="8" t="s">
        <v>2480</v>
      </c>
      <c r="H13" s="968"/>
      <c r="I13" s="968"/>
      <c r="J13" s="968"/>
      <c r="K13" s="969"/>
    </row>
    <row r="14" spans="1:33" s="977" customFormat="1" ht="13.5" customHeight="1">
      <c r="A14" s="971" t="s">
        <v>1333</v>
      </c>
      <c r="B14" s="972" t="s">
        <v>2481</v>
      </c>
      <c r="C14" s="24">
        <f ca="1">ROUND(D14*E14*F11/10000,0)</f>
        <v>112</v>
      </c>
      <c r="D14" s="1033">
        <f ca="1">IF(C1="",'数据-汇总表'!E3,INDIRECT("'数据-取费表'!K"&amp;$K$1)+INDIRECT("'数据-取费表'!S"&amp;$K$1))</f>
        <v>112033.45000000001</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24</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1777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112033.45000000001</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7"/>
      <c r="H18" s="1576"/>
      <c r="I18" s="2558" t="s">
        <v>2489</v>
      </c>
      <c r="J18" s="979"/>
      <c r="K18" s="980"/>
    </row>
    <row r="19" spans="1:33" s="975" customFormat="1" ht="13.5" customHeight="1">
      <c r="A19" s="971" t="s">
        <v>805</v>
      </c>
      <c r="B19" s="972" t="s">
        <v>2490</v>
      </c>
      <c r="C19" s="24">
        <f ca="1">ROUND(D19*E19/10000,0)</f>
        <v>245</v>
      </c>
      <c r="D19" s="1033">
        <f ca="1">IF(C1="",'数据-汇总表'!E5,IF(INDIRECT("'数据-取费表'!c"&amp;$K$1)="住宅",INDIRECT("'数据-取费表'!k"&amp;$K$1),0))</f>
        <v>15336.43</v>
      </c>
      <c r="E19" s="24">
        <f>'数据-取费表'!B27</f>
        <v>160</v>
      </c>
      <c r="F19" s="976"/>
      <c r="G19" s="15"/>
      <c r="H19" s="1578"/>
      <c r="I19" s="981"/>
      <c r="J19" s="981"/>
      <c r="K19" s="982"/>
    </row>
    <row r="20" spans="1:33" s="975" customFormat="1" ht="13.5" customHeight="1">
      <c r="A20" s="971" t="s">
        <v>806</v>
      </c>
      <c r="B20" s="972" t="s">
        <v>2491</v>
      </c>
      <c r="C20" s="24">
        <f ca="1">ROUND(D20*E20/10000,0)</f>
        <v>1934</v>
      </c>
      <c r="D20" s="1033">
        <f ca="1">IF(C1="",'数据-汇总表'!E6,IF(INDIRECT("'数据-取费表'!c"&amp;$K$1)="住宅",INDIRECT("'数据-取费表'!s"&amp;$K$1),INDIRECT("'数据-取费表'!k"&amp;$K$1)+INDIRECT("'数据-取费表'!s"&amp;$K$1)))</f>
        <v>96697.020000000019</v>
      </c>
      <c r="E20" s="24">
        <f>'数据-取费表'!B28</f>
        <v>200</v>
      </c>
      <c r="F20" s="976"/>
      <c r="G20" s="15"/>
      <c r="H20" s="981"/>
      <c r="I20" s="981"/>
      <c r="J20" s="981"/>
      <c r="K20" s="982"/>
    </row>
    <row r="21" spans="1:33" s="975" customFormat="1" ht="13.5" customHeight="1">
      <c r="A21" s="961" t="s">
        <v>802</v>
      </c>
      <c r="B21" s="985" t="s">
        <v>2492</v>
      </c>
      <c r="C21" s="986">
        <f ca="1">C16+C17+C18</f>
        <v>1777</v>
      </c>
      <c r="D21" s="987"/>
      <c r="E21" s="325"/>
      <c r="F21" s="325"/>
      <c r="G21" s="140" t="s">
        <v>2493</v>
      </c>
      <c r="H21" s="979"/>
      <c r="I21" s="979"/>
      <c r="J21" s="979"/>
      <c r="K21" s="980"/>
    </row>
    <row r="22" spans="1:33" s="975" customFormat="1" ht="13.5" customHeight="1">
      <c r="A22" s="961" t="s">
        <v>2465</v>
      </c>
      <c r="B22" s="985" t="s">
        <v>2494</v>
      </c>
      <c r="C22" s="986">
        <f ca="1">ROUND(C21*F22,0)</f>
        <v>36</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284</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7</v>
      </c>
      <c r="D25" s="324">
        <f ca="1">C26</f>
        <v>7.1999999999999998E-3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7.1999999999999998E-3</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7</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2505</v>
      </c>
      <c r="B28" s="2560" t="s">
        <v>2506</v>
      </c>
      <c r="C28" s="331">
        <f ca="1">C30</f>
        <v>210</v>
      </c>
      <c r="D28" s="324">
        <f ca="1">C29</f>
        <v>5.1000000000000004E-3</v>
      </c>
      <c r="E28" s="326" t="s">
        <v>15</v>
      </c>
      <c r="F28" s="332">
        <f ca="1">IF(C1="",'数据-取费表'!Q16,INDIRECT("'数据-取费表'!q"&amp;$K$1))</f>
        <v>0.1</v>
      </c>
      <c r="G28" s="989"/>
      <c r="H28" s="990"/>
      <c r="I28" s="990"/>
      <c r="J28" s="990"/>
      <c r="K28" s="991"/>
    </row>
    <row r="29" spans="1:33" s="335" customFormat="1" ht="13.5" customHeight="1">
      <c r="A29" s="971" t="s">
        <v>803</v>
      </c>
      <c r="B29" s="994" t="s">
        <v>2507</v>
      </c>
      <c r="C29" s="328">
        <f ca="1">ROUND((1+C24)*F28*'数据-取费表'!B24/'数据-取费表'!B20,4)</f>
        <v>5.1000000000000004E-3</v>
      </c>
      <c r="D29" s="328"/>
      <c r="E29" s="329"/>
      <c r="F29" s="334"/>
      <c r="G29" s="140" t="s">
        <v>2508</v>
      </c>
      <c r="H29" s="979"/>
      <c r="I29" s="979"/>
      <c r="J29" s="979"/>
      <c r="K29" s="980"/>
    </row>
    <row r="30" spans="1:33" s="335" customFormat="1" ht="13.5" customHeight="1">
      <c r="A30" s="971" t="s">
        <v>804</v>
      </c>
      <c r="B30" s="994" t="s">
        <v>2509</v>
      </c>
      <c r="C30" s="336">
        <f ca="1">ROUND((C21+C22+C23)*F28,0)</f>
        <v>210</v>
      </c>
      <c r="D30" s="328"/>
      <c r="E30" s="329"/>
      <c r="F30" s="334"/>
      <c r="G30" s="140"/>
      <c r="H30" s="979"/>
      <c r="I30" s="979"/>
      <c r="J30" s="979"/>
      <c r="K30" s="980"/>
    </row>
    <row r="31" spans="1:33" s="975" customFormat="1" ht="13.5" customHeight="1" thickBot="1">
      <c r="A31" s="2561" t="s">
        <v>2510</v>
      </c>
      <c r="B31" s="1005" t="s">
        <v>2511</v>
      </c>
      <c r="C31" s="1006">
        <f ca="1">ROUND(C4*F31/(1+'数据-取费表'!C42),0)</f>
        <v>14860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255947</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7" sqref="C37: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3559</v>
      </c>
      <c r="D1" s="1819" t="s">
        <v>3554</v>
      </c>
      <c r="E1" s="1820" t="s">
        <v>1383</v>
      </c>
      <c r="F1" s="1283">
        <f ca="1">J53</f>
        <v>45.660000000000004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103574</v>
      </c>
      <c r="C2" s="1844" t="s">
        <v>1512</v>
      </c>
      <c r="D2" s="1844"/>
      <c r="E2" s="1845"/>
      <c r="F2" s="1846"/>
      <c r="G2" s="1847"/>
      <c r="H2" s="1839"/>
      <c r="I2" s="1839"/>
      <c r="J2" s="1839"/>
      <c r="K2" s="1840"/>
      <c r="L2" s="1839"/>
      <c r="M2" s="1839"/>
    </row>
    <row r="3" spans="1:37" ht="18" customHeight="1" thickBot="1">
      <c r="A3" s="1848" t="s">
        <v>1513</v>
      </c>
      <c r="B3" s="1849">
        <f ca="1">IF(ISERROR(B2*10000/F43),0,ROUND(B2*10000/F43,0))</f>
        <v>32756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4252</v>
      </c>
      <c r="D5" s="1821" t="s">
        <v>1398</v>
      </c>
      <c r="E5" s="1293"/>
      <c r="F5" s="1294"/>
      <c r="G5" s="1850"/>
      <c r="H5" s="344">
        <v>1</v>
      </c>
      <c r="I5" s="345" t="s">
        <v>1397</v>
      </c>
      <c r="J5" s="1292">
        <f ca="1">J6+J10+J12</f>
        <v>0</v>
      </c>
      <c r="K5" s="1821" t="s">
        <v>1398</v>
      </c>
      <c r="L5" s="1293"/>
      <c r="M5" s="1294"/>
    </row>
    <row r="6" spans="1:37" ht="18" customHeight="1">
      <c r="A6" s="1291" t="s">
        <v>1032</v>
      </c>
      <c r="B6" s="3200" t="s">
        <v>1399</v>
      </c>
      <c r="C6" s="1296">
        <f ca="1">ROUND(F6*F8*F7*(1-F9)/10000,0)</f>
        <v>4247</v>
      </c>
      <c r="D6" s="164" t="s">
        <v>3029</v>
      </c>
      <c r="E6" s="347" t="s">
        <v>1401</v>
      </c>
      <c r="F6" s="348">
        <f ca="1">INDIRECT("'数据-取费表'!u"&amp;$G$1)</f>
        <v>4</v>
      </c>
      <c r="G6" s="1850"/>
      <c r="H6" s="1291" t="s">
        <v>1032</v>
      </c>
      <c r="I6" s="3200" t="s">
        <v>1399</v>
      </c>
      <c r="J6" s="346">
        <f ca="1">ROUND(M6*M8*M7*(1-M9)/10000,0)</f>
        <v>0</v>
      </c>
      <c r="K6" s="164" t="s">
        <v>3028</v>
      </c>
      <c r="L6" s="347" t="s">
        <v>1401</v>
      </c>
      <c r="M6" s="348">
        <f ca="1">INDIRECT("'数据-取费表'!z"&amp;$G$1)</f>
        <v>0</v>
      </c>
    </row>
    <row r="7" spans="1:37" ht="18" customHeight="1">
      <c r="A7" s="1295"/>
      <c r="B7" s="3201"/>
      <c r="C7" s="1297"/>
      <c r="D7" s="352"/>
      <c r="E7" s="2963" t="s">
        <v>1402</v>
      </c>
      <c r="F7" s="348">
        <f ca="1">IF(INDIRECT("'数据-取费表'!ah"&amp;$G$1)="",INDIRECT("'数据-取费表'!k"&amp;$G$1),INDIRECT("'数据-取费表'!ah"&amp;$G$1))</f>
        <v>31619.72</v>
      </c>
      <c r="G7" s="1850"/>
      <c r="H7" s="349"/>
      <c r="I7" s="3201"/>
      <c r="J7" s="351"/>
      <c r="K7" s="352"/>
      <c r="L7" s="347" t="s">
        <v>1402</v>
      </c>
      <c r="M7" s="348">
        <f ca="1">F7</f>
        <v>31619.72</v>
      </c>
    </row>
    <row r="8" spans="1:37" ht="18" customHeight="1">
      <c r="A8" s="349"/>
      <c r="B8" s="3201"/>
      <c r="C8" s="351"/>
      <c r="D8" s="352"/>
      <c r="E8" s="347" t="s">
        <v>1403</v>
      </c>
      <c r="F8" s="348">
        <f ca="1">INDIRECT("'数据-取费表'!ai"&amp;$G$1)</f>
        <v>365</v>
      </c>
      <c r="G8" s="1850"/>
      <c r="H8" s="349"/>
      <c r="I8" s="3201"/>
      <c r="J8" s="351"/>
      <c r="K8" s="352"/>
      <c r="L8" s="347" t="s">
        <v>1403</v>
      </c>
      <c r="M8" s="348">
        <f ca="1">INDIRECT("'数据-取费表'!ai"&amp;$G$1)</f>
        <v>365</v>
      </c>
    </row>
    <row r="9" spans="1:37" ht="18" customHeight="1">
      <c r="A9" s="349"/>
      <c r="B9" s="3202"/>
      <c r="C9" s="351"/>
      <c r="D9" s="352"/>
      <c r="E9" s="347" t="s">
        <v>1404</v>
      </c>
      <c r="F9" s="357">
        <f ca="1">INDIRECT("'数据-取费表'!w"&amp;$G$1)</f>
        <v>0.08</v>
      </c>
      <c r="G9" s="1850"/>
      <c r="H9" s="349"/>
      <c r="I9" s="3202"/>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3037</v>
      </c>
      <c r="E10" s="358" t="s">
        <v>1406</v>
      </c>
      <c r="F10" s="1366" t="s">
        <v>3561</v>
      </c>
      <c r="G10" s="1850"/>
      <c r="H10" s="1291" t="s">
        <v>1036</v>
      </c>
      <c r="I10" s="1822" t="s">
        <v>1405</v>
      </c>
      <c r="J10" s="346">
        <f ca="1">ROUND(IF(M10="押一",J6/12*M11,IF(M10="押二",J6/12*2*M11,IF(M10="押三",J6/12*3*M11,J11*M11))),0)</f>
        <v>0</v>
      </c>
      <c r="K10" s="1823" t="s">
        <v>3037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13820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9610</v>
      </c>
      <c r="D14" s="2966" t="s">
        <v>1414</v>
      </c>
      <c r="E14" s="2965"/>
      <c r="F14" s="364"/>
      <c r="G14" s="1850"/>
      <c r="H14" s="1201" t="s">
        <v>1032</v>
      </c>
      <c r="I14" s="347" t="s">
        <v>1415</v>
      </c>
      <c r="J14" s="24">
        <f ca="1">C29</f>
        <v>13820</v>
      </c>
      <c r="K14" s="2962"/>
      <c r="L14" s="979"/>
      <c r="M14" s="980"/>
    </row>
    <row r="15" spans="1:37" s="1857" customFormat="1" ht="18" customHeight="1" thickBot="1">
      <c r="A15" s="1201" t="s">
        <v>1033</v>
      </c>
      <c r="B15" s="347" t="s">
        <v>1416</v>
      </c>
      <c r="C15" s="24">
        <f ca="1">ROUND(C14*F15,0)</f>
        <v>288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324</v>
      </c>
      <c r="K16" s="1337" t="s">
        <v>1421</v>
      </c>
      <c r="L16" s="2968"/>
      <c r="M16" s="1294"/>
    </row>
    <row r="17" spans="1:37" s="1857" customFormat="1" ht="18" customHeight="1">
      <c r="A17" s="1201" t="s">
        <v>1386</v>
      </c>
      <c r="B17" s="347" t="s">
        <v>1422</v>
      </c>
      <c r="C17" s="24">
        <f ca="1">ROUND(F17*(F43+INDIRECT("'数据-取费表'!S"&amp;$G$1))/10000,0)</f>
        <v>641</v>
      </c>
      <c r="D17" s="347" t="s">
        <v>1423</v>
      </c>
      <c r="E17" s="347" t="s">
        <v>1424</v>
      </c>
      <c r="F17" s="26">
        <f>'数据-取费表'!B35</f>
        <v>200</v>
      </c>
      <c r="G17" s="1853"/>
      <c r="H17" s="1201" t="s">
        <v>1032</v>
      </c>
      <c r="I17" s="347" t="s">
        <v>1425</v>
      </c>
      <c r="J17" s="24">
        <f ca="1">ROUND(IF(项目基本情况!B11="自然人",J5*M17,J18+J19+J20),1)</f>
        <v>117</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144</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10683</v>
      </c>
      <c r="D19" s="140" t="s">
        <v>1432</v>
      </c>
      <c r="E19" s="2961"/>
      <c r="F19" s="26"/>
      <c r="G19" s="1850"/>
      <c r="H19" s="1201" t="s">
        <v>1033</v>
      </c>
      <c r="I19" s="347" t="s">
        <v>1433</v>
      </c>
      <c r="J19" s="24">
        <f ca="1">IF(K19="按租金收入计税",ROUND(J5*M19,2),ROUND(C29*M19*0.7,2))</f>
        <v>116.09</v>
      </c>
      <c r="K19" s="1827" t="s">
        <v>1434</v>
      </c>
      <c r="L19" s="347" t="s">
        <v>1418</v>
      </c>
      <c r="M19" s="367">
        <f>IF(K19="按租金收入计税",'数据-取费表'!B51,'数据-取费表'!B50)</f>
        <v>1.2E-2</v>
      </c>
    </row>
    <row r="20" spans="1:37" s="1857" customFormat="1" ht="18" customHeight="1">
      <c r="A20" s="1201" t="s">
        <v>1036</v>
      </c>
      <c r="B20" s="347" t="s">
        <v>1435</v>
      </c>
      <c r="C20" s="24">
        <f ca="1">ROUND(C19*F20,0)</f>
        <v>214</v>
      </c>
      <c r="D20" s="369" t="s">
        <v>1436</v>
      </c>
      <c r="E20" s="347" t="s">
        <v>1418</v>
      </c>
      <c r="F20" s="367">
        <f>'数据-取费表'!B37</f>
        <v>0.02</v>
      </c>
      <c r="G20" s="1853"/>
      <c r="H20" s="1201" t="s">
        <v>1385</v>
      </c>
      <c r="I20" s="164" t="s">
        <v>1437</v>
      </c>
      <c r="J20" s="25">
        <f ca="1">ROUND(M20*M21/10000,2)</f>
        <v>0.86</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5756.8799999999992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207.3</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785</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-324</v>
      </c>
      <c r="K25" s="1345" t="s">
        <v>1460</v>
      </c>
      <c r="L25" s="1346"/>
      <c r="M25" s="1347"/>
    </row>
    <row r="26" spans="1:37">
      <c r="A26" s="1201" t="s">
        <v>1031</v>
      </c>
      <c r="B26" s="347" t="s">
        <v>1461</v>
      </c>
      <c r="C26" s="24">
        <f ca="1">ROUND((C19+C20)*F26,0)</f>
        <v>1090</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13820</v>
      </c>
      <c r="D29" s="1342"/>
      <c r="E29" s="1340"/>
      <c r="F29" s="1343"/>
      <c r="G29" s="1853"/>
      <c r="H29" s="380" t="s">
        <v>1030</v>
      </c>
      <c r="I29" s="381" t="s">
        <v>1475</v>
      </c>
      <c r="J29" s="382">
        <f ca="1">ROUND(J26/(1+F40)^F41,0)</f>
        <v>0</v>
      </c>
      <c r="K29" s="383" t="s">
        <v>1476</v>
      </c>
      <c r="L29" s="384"/>
      <c r="M29" s="385">
        <f ca="1">INDIRECT("'数据-取费表'!k"&amp;$G$1)</f>
        <v>31619.72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1026</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733.8</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222.7</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510.2</v>
      </c>
      <c r="D33" s="1827" t="s">
        <v>3556</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0.9</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5756.8799999999992</v>
      </c>
      <c r="G35" s="1850"/>
      <c r="H35" s="745"/>
      <c r="I35" s="1859"/>
      <c r="J35" s="1860"/>
      <c r="K35" s="1861"/>
      <c r="L35" s="1858"/>
      <c r="M35" s="1858"/>
    </row>
    <row r="36" spans="1:18" ht="18" customHeight="1">
      <c r="A36" s="1352" t="s">
        <v>1036</v>
      </c>
      <c r="B36" s="347" t="s">
        <v>1445</v>
      </c>
      <c r="C36" s="24">
        <f ca="1">ROUND(C29*F36,1)</f>
        <v>207.3</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20.7</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63.8</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3226</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103574</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45.660000000000004</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32756</v>
      </c>
      <c r="D43" s="383" t="s">
        <v>1484</v>
      </c>
      <c r="E43" s="384" t="s">
        <v>1485</v>
      </c>
      <c r="F43" s="385">
        <f ca="1">INDIRECT("'数据-取费表'!k"&amp;$G$1)</f>
        <v>31619.72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-128378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3557</v>
      </c>
      <c r="K47" s="1881" t="s">
        <v>1523</v>
      </c>
      <c r="L47" s="1882">
        <f ca="1">INDIRECT("'数据-取费表'!d"&amp;$G$1)</f>
        <v>50</v>
      </c>
      <c r="M47" s="1837" t="str">
        <f>IF(ISNUMBER(FIND("住宅",C1)),"住宅","非住宅")</f>
        <v>非住宅</v>
      </c>
      <c r="O47" s="1883" t="s">
        <v>1037</v>
      </c>
      <c r="P47" s="1884" t="s">
        <v>1524</v>
      </c>
      <c r="Q47" s="1885">
        <f ca="1">C40+J29</f>
        <v>103574</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3558</v>
      </c>
      <c r="K48" s="1888" t="s">
        <v>1527</v>
      </c>
      <c r="L48" s="1889">
        <f ca="1">INDIRECT("'数据-取费表'!f"&amp;$G$1)</f>
        <v>45.81</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3028</v>
      </c>
      <c r="E49" s="1829" t="s">
        <v>1487</v>
      </c>
      <c r="F49" s="1281"/>
      <c r="G49" s="1890"/>
      <c r="H49" s="793"/>
      <c r="I49" s="1886" t="s">
        <v>1530</v>
      </c>
      <c r="J49" s="1891">
        <v>2019</v>
      </c>
      <c r="K49" s="1888" t="s">
        <v>1531</v>
      </c>
      <c r="L49" s="1892"/>
      <c r="O49" s="1893" t="s">
        <v>1039</v>
      </c>
      <c r="P49" s="1884" t="s">
        <v>1532</v>
      </c>
      <c r="Q49" s="1885">
        <f ca="1">C29</f>
        <v>13820</v>
      </c>
      <c r="R49" s="1885" t="s">
        <v>1525</v>
      </c>
    </row>
    <row r="50" spans="1:18" s="1841" customFormat="1" ht="13.8" thickBot="1">
      <c r="A50" s="1195"/>
      <c r="B50" s="1198"/>
      <c r="C50" s="1368"/>
      <c r="D50" s="1172"/>
      <c r="E50" s="1277" t="s">
        <v>1402</v>
      </c>
      <c r="F50" s="1278">
        <f ca="1">F7</f>
        <v>31619.72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36637</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45.660000000000004</v>
      </c>
      <c r="R52" s="1885" t="s">
        <v>1542</v>
      </c>
    </row>
    <row r="53" spans="1:18" s="1841" customFormat="1" ht="36.6" thickBot="1">
      <c r="A53" s="1405" t="s">
        <v>1134</v>
      </c>
      <c r="B53" s="1830" t="s">
        <v>1405</v>
      </c>
      <c r="C53" s="361">
        <f ca="1">ROUND(IF(F53="押一",C49/12*F11,IF(F53="押二",C49/12*2*F11,IF(F53="押三",C49/12*3*F11,C54*F11))),0)</f>
        <v>0</v>
      </c>
      <c r="D53" s="1823" t="s">
        <v>3037</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45.660000000000004</v>
      </c>
      <c r="K53" s="3203" t="s">
        <v>1544</v>
      </c>
      <c r="L53" s="3204"/>
      <c r="O53" s="1883" t="s">
        <v>1043</v>
      </c>
      <c r="P53" s="1884" t="s">
        <v>1545</v>
      </c>
      <c r="Q53" s="1885">
        <f ca="1">Q47+Q48</f>
        <v>103574</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13820</v>
      </c>
      <c r="D56" s="1913"/>
      <c r="E56" s="1914"/>
      <c r="F56" s="1906"/>
      <c r="I56" s="1915" t="s">
        <v>1550</v>
      </c>
      <c r="J56" s="1916" t="s">
        <v>3104</v>
      </c>
      <c r="K56" s="1886" t="s">
        <v>1551</v>
      </c>
      <c r="L56" s="1889" t="str">
        <f ca="1">IF(L48&lt;J51,"——",L48-J53)</f>
        <v>——</v>
      </c>
      <c r="O56" s="1883" t="s">
        <v>1037</v>
      </c>
      <c r="P56" s="1884" t="s">
        <v>1524</v>
      </c>
      <c r="Q56" s="1885">
        <f ca="1">C40+J29</f>
        <v>103574</v>
      </c>
      <c r="R56" s="1885" t="s">
        <v>1525</v>
      </c>
    </row>
    <row r="57" spans="1:18" s="1841" customFormat="1" ht="24.6" thickBot="1">
      <c r="A57" s="1917"/>
      <c r="B57" s="1169" t="s">
        <v>1474</v>
      </c>
      <c r="C57" s="282">
        <f ca="1">C29</f>
        <v>13820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1390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1161.7</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1160.8800000000001</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0.86</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103574</v>
      </c>
      <c r="R62" s="1885" t="s">
        <v>1044</v>
      </c>
    </row>
    <row r="63" spans="1:18" s="1841" customFormat="1" ht="13.8" thickBot="1">
      <c r="A63" s="372"/>
      <c r="B63" s="1175"/>
      <c r="C63" s="29"/>
      <c r="D63" s="1185"/>
      <c r="E63" s="1169" t="s">
        <v>1443</v>
      </c>
      <c r="F63" s="348">
        <f t="shared" ca="1" si="0"/>
        <v>5756.8799999999992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207.3</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20.7</v>
      </c>
      <c r="D65" s="1183" t="s">
        <v>1450</v>
      </c>
      <c r="E65" s="1169" t="s">
        <v>1418</v>
      </c>
      <c r="F65" s="376">
        <f t="shared" ca="1" si="0"/>
        <v>1.5E-3</v>
      </c>
      <c r="I65" s="1928" t="s">
        <v>1575</v>
      </c>
      <c r="J65" s="1929">
        <v>40</v>
      </c>
      <c r="K65" s="1929">
        <v>30</v>
      </c>
      <c r="L65" s="1929">
        <v>50</v>
      </c>
      <c r="M65" s="1931">
        <v>0.02</v>
      </c>
      <c r="O65" s="1883" t="s">
        <v>1037</v>
      </c>
      <c r="P65" s="1884" t="s">
        <v>1524</v>
      </c>
      <c r="Q65" s="1885">
        <f ca="1">C40+J29</f>
        <v>103574</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-1390</v>
      </c>
      <c r="D67" s="1182" t="s">
        <v>1460</v>
      </c>
      <c r="E67" s="1187"/>
      <c r="F67" s="1188"/>
      <c r="O67" s="1893" t="s">
        <v>1039</v>
      </c>
      <c r="P67" s="1884" t="s">
        <v>1558</v>
      </c>
      <c r="Q67" s="1932">
        <f ca="1">L51</f>
        <v>36637</v>
      </c>
      <c r="R67" s="1885" t="s">
        <v>1578</v>
      </c>
    </row>
    <row r="68" spans="1:18" s="1841" customFormat="1" ht="16.2" thickBot="1">
      <c r="A68" s="1166" t="s">
        <v>1029</v>
      </c>
      <c r="B68" s="1167" t="s">
        <v>1481</v>
      </c>
      <c r="C68" s="346">
        <f ca="1">ROUND(C67*(1-((1+F70)/(1+F68))^F69)/(F68-F70),0)</f>
        <v>-24804</v>
      </c>
      <c r="D68" s="1184" t="s">
        <v>1465</v>
      </c>
      <c r="E68" s="1169" t="s">
        <v>1466</v>
      </c>
      <c r="F68" s="357">
        <f ca="1">F40</f>
        <v>0.05</v>
      </c>
      <c r="O68" s="1893" t="s">
        <v>1040</v>
      </c>
      <c r="P68" s="1933" t="s">
        <v>1579</v>
      </c>
      <c r="Q68" s="1885">
        <f ca="1">ROUND(Q69-Q70*Q71,0)</f>
        <v>2051</v>
      </c>
      <c r="R68" s="1885" t="s">
        <v>1048</v>
      </c>
    </row>
    <row r="69" spans="1:18" s="1841" customFormat="1" ht="13.8" thickBot="1">
      <c r="A69" s="1170"/>
      <c r="B69" s="1171"/>
      <c r="C69" s="351"/>
      <c r="D69" s="1189" t="s">
        <v>1469</v>
      </c>
      <c r="E69" s="1169" t="s">
        <v>1470</v>
      </c>
      <c r="F69" s="379">
        <f ca="1">F41</f>
        <v>45.660000000000004</v>
      </c>
      <c r="O69" s="1893" t="s">
        <v>1045</v>
      </c>
      <c r="P69" s="1933" t="s">
        <v>1580</v>
      </c>
      <c r="Q69" s="1885">
        <f ca="1">C39</f>
        <v>3226</v>
      </c>
      <c r="R69" s="1885" t="s">
        <v>1525</v>
      </c>
    </row>
    <row r="70" spans="1:18" s="1841" customFormat="1" ht="13.8" thickBot="1">
      <c r="A70" s="1173"/>
      <c r="B70" s="1174"/>
      <c r="C70" s="355"/>
      <c r="D70" s="1185"/>
      <c r="E70" s="1169" t="s">
        <v>1473</v>
      </c>
      <c r="F70" s="1275"/>
      <c r="O70" s="1893" t="s">
        <v>1046</v>
      </c>
      <c r="P70" s="1933" t="s">
        <v>1581</v>
      </c>
      <c r="Q70" s="1885">
        <f ca="1">C13</f>
        <v>13820</v>
      </c>
      <c r="R70" s="1885" t="s">
        <v>1525</v>
      </c>
    </row>
    <row r="71" spans="1:18" s="1841" customFormat="1" ht="13.8" thickBot="1">
      <c r="A71" s="1190" t="s">
        <v>1030</v>
      </c>
      <c r="B71" s="1191" t="s">
        <v>1483</v>
      </c>
      <c r="C71" s="382">
        <f ca="1">ROUND(C68*10000/F71,0)</f>
        <v>-7844</v>
      </c>
      <c r="D71" s="1192" t="s">
        <v>1484</v>
      </c>
      <c r="E71" s="1193" t="s">
        <v>1485</v>
      </c>
      <c r="F71" s="385">
        <f ca="1">F43</f>
        <v>31619.72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1175</v>
      </c>
      <c r="D75" s="1841"/>
      <c r="E75" s="1841"/>
      <c r="F75" s="1841"/>
      <c r="K75" s="1867"/>
      <c r="L75" s="1841"/>
      <c r="O75" s="1883" t="s">
        <v>1043</v>
      </c>
      <c r="P75" s="1884" t="s">
        <v>1545</v>
      </c>
      <c r="Q75" s="1885">
        <f ca="1">Q65+Q66</f>
        <v>103574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0.63600000000000001</v>
      </c>
    </row>
    <row r="80" spans="1:18">
      <c r="B80" s="386" t="s">
        <v>1507</v>
      </c>
      <c r="C80" s="318">
        <f ca="1">ROUND(C75/C39,3)</f>
        <v>0.36399999999999999</v>
      </c>
    </row>
    <row r="81" spans="2:3">
      <c r="B81" s="314" t="s">
        <v>1508</v>
      </c>
      <c r="C81" s="282"/>
    </row>
    <row r="82" spans="2:3">
      <c r="B82" s="317" t="s">
        <v>1509</v>
      </c>
      <c r="C82" s="319">
        <f ca="1">1-C83</f>
        <v>0.86699999999999999</v>
      </c>
    </row>
    <row r="83" spans="2:3">
      <c r="B83" s="317" t="s">
        <v>1510</v>
      </c>
      <c r="C83" s="318">
        <f ca="1">ROUND(C13/C40,3)</f>
        <v>0.13300000000000001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6" sqref="C36: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48</v>
      </c>
      <c r="D1" s="1819" t="s">
        <v>3554</v>
      </c>
      <c r="E1" s="1820" t="s">
        <v>1383</v>
      </c>
      <c r="F1" s="1283">
        <f ca="1">J53</f>
        <v>45.660000000000004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6867</v>
      </c>
      <c r="C2" s="1844" t="s">
        <v>1512</v>
      </c>
      <c r="D2" s="1844"/>
      <c r="E2" s="1845"/>
      <c r="F2" s="1846"/>
      <c r="G2" s="1847"/>
      <c r="H2" s="1839"/>
      <c r="I2" s="1839"/>
      <c r="J2" s="1839"/>
      <c r="K2" s="1840"/>
      <c r="L2" s="1839"/>
      <c r="M2" s="1839"/>
    </row>
    <row r="3" spans="1:37" ht="18" customHeight="1" thickBot="1">
      <c r="A3" s="1848" t="s">
        <v>1513</v>
      </c>
      <c r="B3" s="1849">
        <f ca="1">IF(ISERROR(B2*10000/F43),0,ROUND(B2*10000/F43,0))</f>
        <v>3830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442</v>
      </c>
      <c r="D5" s="1821" t="s">
        <v>1398</v>
      </c>
      <c r="E5" s="1293"/>
      <c r="F5" s="1294"/>
      <c r="G5" s="1850"/>
      <c r="H5" s="344">
        <v>1</v>
      </c>
      <c r="I5" s="345" t="s">
        <v>1397</v>
      </c>
      <c r="J5" s="1292">
        <f ca="1">J6+J10+J12</f>
        <v>0</v>
      </c>
      <c r="K5" s="1821" t="s">
        <v>1398</v>
      </c>
      <c r="L5" s="1293"/>
      <c r="M5" s="1294"/>
    </row>
    <row r="6" spans="1:37" ht="18" customHeight="1">
      <c r="A6" s="1291" t="s">
        <v>1032</v>
      </c>
      <c r="B6" s="3200" t="s">
        <v>1399</v>
      </c>
      <c r="C6" s="1296">
        <f ca="1">ROUND(F6*F8*F7*(1-F9)/10000,0)</f>
        <v>442</v>
      </c>
      <c r="D6" s="164" t="s">
        <v>3029</v>
      </c>
      <c r="E6" s="347" t="s">
        <v>1401</v>
      </c>
      <c r="F6" s="348">
        <f ca="1">INDIRECT("'数据-取费表'!u"&amp;$G$1)</f>
        <v>800</v>
      </c>
      <c r="G6" s="1850"/>
      <c r="H6" s="1291" t="s">
        <v>1032</v>
      </c>
      <c r="I6" s="3200" t="s">
        <v>1399</v>
      </c>
      <c r="J6" s="346">
        <f ca="1">ROUND(M6*M8*M7*(1-M9)/10000,0)</f>
        <v>0</v>
      </c>
      <c r="K6" s="164" t="s">
        <v>3028</v>
      </c>
      <c r="L6" s="347" t="s">
        <v>1401</v>
      </c>
      <c r="M6" s="348">
        <f ca="1">INDIRECT("'数据-取费表'!z"&amp;$G$1)</f>
        <v>0</v>
      </c>
    </row>
    <row r="7" spans="1:37" ht="18" customHeight="1">
      <c r="A7" s="1295"/>
      <c r="B7" s="3201"/>
      <c r="C7" s="1297"/>
      <c r="D7" s="352"/>
      <c r="E7" s="2963" t="s">
        <v>1402</v>
      </c>
      <c r="F7" s="348">
        <f ca="1">IF(INDIRECT("'数据-取费表'!ah"&amp;$G$1)="",INDIRECT("'数据-取费表'!k"&amp;$G$1),INDIRECT("'数据-取费表'!ah"&amp;$G$1))</f>
        <v>512</v>
      </c>
      <c r="G7" s="1850"/>
      <c r="H7" s="349"/>
      <c r="I7" s="3201"/>
      <c r="J7" s="351"/>
      <c r="K7" s="352"/>
      <c r="L7" s="347" t="s">
        <v>1402</v>
      </c>
      <c r="M7" s="348">
        <f ca="1">F7</f>
        <v>512</v>
      </c>
    </row>
    <row r="8" spans="1:37" ht="18" customHeight="1">
      <c r="A8" s="349"/>
      <c r="B8" s="3201"/>
      <c r="C8" s="351"/>
      <c r="D8" s="352"/>
      <c r="E8" s="347" t="s">
        <v>1403</v>
      </c>
      <c r="F8" s="348">
        <f ca="1">INDIRECT("'数据-取费表'!ai"&amp;$G$1)</f>
        <v>12</v>
      </c>
      <c r="G8" s="1850"/>
      <c r="H8" s="349"/>
      <c r="I8" s="3201"/>
      <c r="J8" s="351"/>
      <c r="K8" s="352"/>
      <c r="L8" s="347" t="s">
        <v>1403</v>
      </c>
      <c r="M8" s="348">
        <f ca="1">INDIRECT("'数据-取费表'!ai"&amp;$G$1)</f>
        <v>12</v>
      </c>
    </row>
    <row r="9" spans="1:37" ht="18" customHeight="1">
      <c r="A9" s="349"/>
      <c r="B9" s="3202"/>
      <c r="C9" s="351"/>
      <c r="D9" s="352"/>
      <c r="E9" s="347" t="s">
        <v>1404</v>
      </c>
      <c r="F9" s="357">
        <f ca="1">INDIRECT("'数据-取费表'!w"&amp;$G$1)</f>
        <v>0.1</v>
      </c>
      <c r="G9" s="1850"/>
      <c r="H9" s="349"/>
      <c r="I9" s="3202"/>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3037</v>
      </c>
      <c r="E10" s="358" t="s">
        <v>1406</v>
      </c>
      <c r="F10" s="1366" t="s">
        <v>3555</v>
      </c>
      <c r="G10" s="1850"/>
      <c r="H10" s="1291" t="s">
        <v>1036</v>
      </c>
      <c r="I10" s="1822" t="s">
        <v>1405</v>
      </c>
      <c r="J10" s="346">
        <f ca="1">ROUND(IF(M10="押一",J6/12*M11,IF(M10="押二",J6/12*2*M11,IF(M10="押三",J6/12*3*M11,J11*M11))),0)</f>
        <v>0</v>
      </c>
      <c r="K10" s="1823" t="s">
        <v>3037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7492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5448</v>
      </c>
      <c r="D14" s="2966" t="s">
        <v>1414</v>
      </c>
      <c r="E14" s="2965"/>
      <c r="F14" s="364"/>
      <c r="G14" s="1850"/>
      <c r="H14" s="1201" t="s">
        <v>1032</v>
      </c>
      <c r="I14" s="347" t="s">
        <v>1415</v>
      </c>
      <c r="J14" s="24">
        <f ca="1">C29</f>
        <v>7492</v>
      </c>
      <c r="K14" s="2962"/>
      <c r="L14" s="979"/>
      <c r="M14" s="980"/>
    </row>
    <row r="15" spans="1:37" s="1857" customFormat="1" ht="18" customHeight="1" thickBot="1">
      <c r="A15" s="1201" t="s">
        <v>1033</v>
      </c>
      <c r="B15" s="347" t="s">
        <v>1416</v>
      </c>
      <c r="C15" s="24">
        <f ca="1">ROUND(C14*F15,0)</f>
        <v>163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176</v>
      </c>
      <c r="K16" s="1337" t="s">
        <v>1421</v>
      </c>
      <c r="L16" s="2968"/>
      <c r="M16" s="1294"/>
    </row>
    <row r="17" spans="1:37" s="1857" customFormat="1" ht="18" customHeight="1">
      <c r="A17" s="1201" t="s">
        <v>1386</v>
      </c>
      <c r="B17" s="347" t="s">
        <v>1422</v>
      </c>
      <c r="C17" s="24">
        <f ca="1">ROUND(F17*(F43+INDIRECT("'数据-取费表'!S"&amp;$G$1))/10000,0)</f>
        <v>363</v>
      </c>
      <c r="D17" s="347" t="s">
        <v>1423</v>
      </c>
      <c r="E17" s="347" t="s">
        <v>1424</v>
      </c>
      <c r="F17" s="26">
        <f>'数据-取费表'!B35</f>
        <v>200</v>
      </c>
      <c r="G17" s="1853"/>
      <c r="H17" s="1201" t="s">
        <v>1032</v>
      </c>
      <c r="I17" s="347" t="s">
        <v>1425</v>
      </c>
      <c r="J17" s="24">
        <f ca="1">ROUND(IF(项目基本情况!B11="自然人",J5*M17,J18+J19+J20),1)</f>
        <v>63.4</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82</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6056</v>
      </c>
      <c r="D19" s="140" t="s">
        <v>1432</v>
      </c>
      <c r="E19" s="2961"/>
      <c r="F19" s="26"/>
      <c r="G19" s="1850"/>
      <c r="H19" s="1201" t="s">
        <v>1033</v>
      </c>
      <c r="I19" s="347" t="s">
        <v>1433</v>
      </c>
      <c r="J19" s="24">
        <f ca="1">IF(K19="按租金收入计税",ROUND(J5*M19,2),ROUND(C29*M19*0.7,2))</f>
        <v>62.93</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121</v>
      </c>
      <c r="D20" s="369" t="s">
        <v>1436</v>
      </c>
      <c r="E20" s="347" t="s">
        <v>1418</v>
      </c>
      <c r="F20" s="367">
        <f>'数据-取费表'!B37</f>
        <v>0.02</v>
      </c>
      <c r="G20" s="1853"/>
      <c r="H20" s="1201"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3264.02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112.4</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446</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-176</v>
      </c>
      <c r="K25" s="1345" t="s">
        <v>1460</v>
      </c>
      <c r="L25" s="1346"/>
      <c r="M25" s="1347"/>
    </row>
    <row r="26" spans="1:37">
      <c r="A26" s="1201" t="s">
        <v>1031</v>
      </c>
      <c r="B26" s="347" t="s">
        <v>1461</v>
      </c>
      <c r="C26" s="24">
        <f ca="1">ROUND((C19+C20)*F26,0)</f>
        <v>309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7492</v>
      </c>
      <c r="D29" s="1342"/>
      <c r="E29" s="1340"/>
      <c r="F29" s="1343"/>
      <c r="G29" s="1853"/>
      <c r="H29" s="380" t="s">
        <v>1030</v>
      </c>
      <c r="I29" s="381" t="s">
        <v>1475</v>
      </c>
      <c r="J29" s="382">
        <f ca="1">ROUND(J26/(1+F40)^F41,0)</f>
        <v>0</v>
      </c>
      <c r="K29" s="383" t="s">
        <v>1476</v>
      </c>
      <c r="L29" s="384"/>
      <c r="M29" s="385">
        <f ca="1">INDIRECT("'数据-取费表'!k"&amp;$G$1)</f>
        <v>17927.650000000001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207</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76.7</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23.2</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53</v>
      </c>
      <c r="D33" s="1827" t="s">
        <v>3556</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0.5</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3264.02</v>
      </c>
      <c r="G35" s="1850"/>
      <c r="H35" s="745"/>
      <c r="I35" s="1859"/>
      <c r="J35" s="1860"/>
      <c r="K35" s="1861"/>
      <c r="L35" s="1858"/>
      <c r="M35" s="1858"/>
    </row>
    <row r="36" spans="1:18" ht="18" customHeight="1">
      <c r="A36" s="1352" t="s">
        <v>1036</v>
      </c>
      <c r="B36" s="347" t="s">
        <v>1445</v>
      </c>
      <c r="C36" s="24">
        <f ca="1">ROUND(C29*F36,1)</f>
        <v>112.4</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11.2</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235</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6867</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45.660000000000004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3830</v>
      </c>
      <c r="D43" s="383" t="s">
        <v>1484</v>
      </c>
      <c r="E43" s="384" t="s">
        <v>1485</v>
      </c>
      <c r="F43" s="385">
        <f ca="1">INDIRECT("'数据-取费表'!k"&amp;$G$1)</f>
        <v>17927.650000000001</v>
      </c>
      <c r="G43" s="1850"/>
      <c r="H43" s="732"/>
      <c r="I43" s="732"/>
      <c r="J43" s="732"/>
      <c r="K43" s="751"/>
      <c r="L43" s="732"/>
      <c r="M43" s="732"/>
    </row>
    <row r="44" spans="1:18" s="1841" customFormat="1" ht="18" customHeight="1">
      <c r="A44" s="1865"/>
      <c r="B44" s="1865"/>
      <c r="C44" s="1866">
        <f ca="1">B2/512</f>
        <v>13.412109375</v>
      </c>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-20304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3557</v>
      </c>
      <c r="K47" s="1881" t="s">
        <v>1523</v>
      </c>
      <c r="L47" s="1882">
        <f ca="1">INDIRECT("'数据-取费表'!d"&amp;$G$1)</f>
        <v>50</v>
      </c>
      <c r="M47" s="1837" t="str">
        <f>IF(ISNUMBER(FIND("住宅",C1)),"住宅","非住宅")</f>
        <v>非住宅</v>
      </c>
      <c r="O47" s="1883" t="s">
        <v>1037</v>
      </c>
      <c r="P47" s="1884" t="s">
        <v>1524</v>
      </c>
      <c r="Q47" s="1885">
        <f ca="1">C40+J29</f>
        <v>6867</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3558</v>
      </c>
      <c r="K48" s="1888" t="s">
        <v>1527</v>
      </c>
      <c r="L48" s="1889">
        <f ca="1">INDIRECT("'数据-取费表'!f"&amp;$G$1)</f>
        <v>45.81</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3028</v>
      </c>
      <c r="E49" s="1829" t="s">
        <v>1487</v>
      </c>
      <c r="F49" s="1281"/>
      <c r="G49" s="1890"/>
      <c r="H49" s="793"/>
      <c r="I49" s="1886" t="s">
        <v>1530</v>
      </c>
      <c r="J49" s="1891">
        <v>2019</v>
      </c>
      <c r="K49" s="1888" t="s">
        <v>1531</v>
      </c>
      <c r="L49" s="1892"/>
      <c r="O49" s="1893" t="s">
        <v>1039</v>
      </c>
      <c r="P49" s="1884" t="s">
        <v>1532</v>
      </c>
      <c r="Q49" s="1885">
        <f ca="1">C29</f>
        <v>7492</v>
      </c>
      <c r="R49" s="1885" t="s">
        <v>1525</v>
      </c>
    </row>
    <row r="50" spans="1:18" s="1841" customFormat="1" ht="13.8" thickBot="1">
      <c r="A50" s="1195"/>
      <c r="B50" s="1198"/>
      <c r="C50" s="1368"/>
      <c r="D50" s="1172"/>
      <c r="E50" s="1277" t="s">
        <v>1402</v>
      </c>
      <c r="F50" s="1278">
        <f ca="1">F7</f>
        <v>512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12</v>
      </c>
      <c r="I51" s="1897" t="s">
        <v>1536</v>
      </c>
      <c r="J51" s="1898">
        <f>IF(J49="",J50,J49+J50-YEAR('数据-取费表'!B2))</f>
        <v>60</v>
      </c>
      <c r="K51" s="1899" t="s">
        <v>1537</v>
      </c>
      <c r="L51" s="1900">
        <f ca="1">ROUND(-PV(INDIRECT("'数据-取费表'!h"&amp;$G$1),L48,(C39-C13*C76),0),0)</f>
        <v>-7741</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45.660000000000004</v>
      </c>
      <c r="R52" s="1885" t="s">
        <v>1542</v>
      </c>
    </row>
    <row r="53" spans="1:18" s="1841" customFormat="1" ht="36.6" thickBot="1">
      <c r="A53" s="1405" t="s">
        <v>1134</v>
      </c>
      <c r="B53" s="1830" t="s">
        <v>1405</v>
      </c>
      <c r="C53" s="361">
        <f ca="1">ROUND(IF(F53="押一",C49/12*F11,IF(F53="押二",C49/12*2*F11,IF(F53="押三",C49/12*3*F11,C54*F11))),0)</f>
        <v>0</v>
      </c>
      <c r="D53" s="1823" t="s">
        <v>3037</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45.660000000000004</v>
      </c>
      <c r="K53" s="3203" t="s">
        <v>1544</v>
      </c>
      <c r="L53" s="3204"/>
      <c r="O53" s="1883" t="s">
        <v>1043</v>
      </c>
      <c r="P53" s="1884" t="s">
        <v>1545</v>
      </c>
      <c r="Q53" s="1885">
        <f ca="1">Q47+Q48</f>
        <v>6867</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7492</v>
      </c>
      <c r="D56" s="1913"/>
      <c r="E56" s="1914"/>
      <c r="F56" s="1906"/>
      <c r="I56" s="1915" t="s">
        <v>1550</v>
      </c>
      <c r="J56" s="1916" t="s">
        <v>3104</v>
      </c>
      <c r="K56" s="1886" t="s">
        <v>1551</v>
      </c>
      <c r="L56" s="1889" t="str">
        <f ca="1">IF(L48&lt;J51,"——",L48-J53)</f>
        <v>——</v>
      </c>
      <c r="O56" s="1883" t="s">
        <v>1037</v>
      </c>
      <c r="P56" s="1884" t="s">
        <v>1524</v>
      </c>
      <c r="Q56" s="1885">
        <f ca="1">C40+J29</f>
        <v>6867</v>
      </c>
      <c r="R56" s="1885" t="s">
        <v>1525</v>
      </c>
    </row>
    <row r="57" spans="1:18" s="1841" customFormat="1" ht="24.6" thickBot="1">
      <c r="A57" s="1917"/>
      <c r="B57" s="1169" t="s">
        <v>1474</v>
      </c>
      <c r="C57" s="282">
        <f ca="1">C29</f>
        <v>7492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753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629.79999999999995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629.33000000000004</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0.49</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6867</v>
      </c>
      <c r="R62" s="1885" t="s">
        <v>1044</v>
      </c>
    </row>
    <row r="63" spans="1:18" s="1841" customFormat="1" ht="13.8" thickBot="1">
      <c r="A63" s="372"/>
      <c r="B63" s="1175"/>
      <c r="C63" s="29"/>
      <c r="D63" s="1185"/>
      <c r="E63" s="1169" t="s">
        <v>1443</v>
      </c>
      <c r="F63" s="348">
        <f t="shared" ca="1" si="0"/>
        <v>3264.02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112.4</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11.2</v>
      </c>
      <c r="D65" s="1183" t="s">
        <v>1450</v>
      </c>
      <c r="E65" s="1169" t="s">
        <v>1418</v>
      </c>
      <c r="F65" s="376">
        <f t="shared" ca="1" si="0"/>
        <v>1.5E-3</v>
      </c>
      <c r="I65" s="1928" t="s">
        <v>1575</v>
      </c>
      <c r="J65" s="1929">
        <v>40</v>
      </c>
      <c r="K65" s="1929">
        <v>30</v>
      </c>
      <c r="L65" s="1929">
        <v>50</v>
      </c>
      <c r="M65" s="1931">
        <v>0.02</v>
      </c>
      <c r="O65" s="1883" t="s">
        <v>1037</v>
      </c>
      <c r="P65" s="1884" t="s">
        <v>1524</v>
      </c>
      <c r="Q65" s="1885">
        <f ca="1">C40+J29</f>
        <v>6867</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-753</v>
      </c>
      <c r="D67" s="1182" t="s">
        <v>1460</v>
      </c>
      <c r="E67" s="1187"/>
      <c r="F67" s="1188"/>
      <c r="O67" s="1893" t="s">
        <v>1039</v>
      </c>
      <c r="P67" s="1884" t="s">
        <v>1558</v>
      </c>
      <c r="Q67" s="1932">
        <f ca="1">L51</f>
        <v>-7741</v>
      </c>
      <c r="R67" s="1885" t="s">
        <v>1578</v>
      </c>
    </row>
    <row r="68" spans="1:18" s="1841" customFormat="1" ht="16.2" thickBot="1">
      <c r="A68" s="1166" t="s">
        <v>1029</v>
      </c>
      <c r="B68" s="1167" t="s">
        <v>1481</v>
      </c>
      <c r="C68" s="346">
        <f ca="1">ROUND(C67*(1-((1+F70)/(1+F68))^F69)/(F68-F70),0)</f>
        <v>-13437</v>
      </c>
      <c r="D68" s="1184" t="s">
        <v>1465</v>
      </c>
      <c r="E68" s="1169" t="s">
        <v>1466</v>
      </c>
      <c r="F68" s="357">
        <f ca="1">F40</f>
        <v>0.05</v>
      </c>
      <c r="O68" s="1893" t="s">
        <v>1040</v>
      </c>
      <c r="P68" s="1933" t="s">
        <v>1579</v>
      </c>
      <c r="Q68" s="1885">
        <f ca="1">ROUND(Q69-Q70*Q71,0)</f>
        <v>-402</v>
      </c>
      <c r="R68" s="1885" t="s">
        <v>1048</v>
      </c>
    </row>
    <row r="69" spans="1:18" s="1841" customFormat="1" ht="13.8" thickBot="1">
      <c r="A69" s="1170"/>
      <c r="B69" s="1171"/>
      <c r="C69" s="351"/>
      <c r="D69" s="1189" t="s">
        <v>1469</v>
      </c>
      <c r="E69" s="1169" t="s">
        <v>1470</v>
      </c>
      <c r="F69" s="379">
        <f ca="1">F41</f>
        <v>45.660000000000004</v>
      </c>
      <c r="O69" s="1893" t="s">
        <v>1045</v>
      </c>
      <c r="P69" s="1933" t="s">
        <v>1580</v>
      </c>
      <c r="Q69" s="1885">
        <f ca="1">C39</f>
        <v>235</v>
      </c>
      <c r="R69" s="1885" t="s">
        <v>1525</v>
      </c>
    </row>
    <row r="70" spans="1:18" s="1841" customFormat="1" ht="13.8" thickBot="1">
      <c r="A70" s="1173"/>
      <c r="B70" s="1174"/>
      <c r="C70" s="355"/>
      <c r="D70" s="1185"/>
      <c r="E70" s="1169" t="s">
        <v>1473</v>
      </c>
      <c r="F70" s="1275"/>
      <c r="O70" s="1893" t="s">
        <v>1046</v>
      </c>
      <c r="P70" s="1933" t="s">
        <v>1581</v>
      </c>
      <c r="Q70" s="1885">
        <f ca="1">C13</f>
        <v>7492</v>
      </c>
      <c r="R70" s="1885" t="s">
        <v>1525</v>
      </c>
    </row>
    <row r="71" spans="1:18" s="1841" customFormat="1" ht="13.8" thickBot="1">
      <c r="A71" s="1190" t="s">
        <v>1030</v>
      </c>
      <c r="B71" s="1191" t="s">
        <v>1483</v>
      </c>
      <c r="C71" s="382">
        <f ca="1">ROUND(C68*10000/F71,0)</f>
        <v>-7495</v>
      </c>
      <c r="D71" s="1192" t="s">
        <v>1484</v>
      </c>
      <c r="E71" s="1193" t="s">
        <v>1485</v>
      </c>
      <c r="F71" s="385">
        <f ca="1">F43</f>
        <v>17927.650000000001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637</v>
      </c>
      <c r="D75" s="1841"/>
      <c r="E75" s="1841"/>
      <c r="F75" s="1841"/>
      <c r="K75" s="1867"/>
      <c r="L75" s="1841"/>
      <c r="O75" s="1883" t="s">
        <v>1043</v>
      </c>
      <c r="P75" s="1884" t="s">
        <v>1545</v>
      </c>
      <c r="Q75" s="1885">
        <f ca="1">Q65+Q66</f>
        <v>6867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-1.7109999999999999</v>
      </c>
    </row>
    <row r="80" spans="1:18">
      <c r="B80" s="386" t="s">
        <v>1507</v>
      </c>
      <c r="C80" s="318">
        <f ca="1">ROUND(C75/C39,3)</f>
        <v>2.7109999999999999</v>
      </c>
    </row>
    <row r="81" spans="2:3">
      <c r="B81" s="314" t="s">
        <v>1508</v>
      </c>
      <c r="C81" s="282"/>
    </row>
    <row r="82" spans="2:3">
      <c r="B82" s="317" t="s">
        <v>1509</v>
      </c>
      <c r="C82" s="319">
        <f ca="1">1-C83</f>
        <v>-9.099999999999997E-2</v>
      </c>
    </row>
    <row r="83" spans="2:3">
      <c r="B83" s="317" t="s">
        <v>1510</v>
      </c>
      <c r="C83" s="318">
        <f ca="1">ROUND(C13/C40,3)</f>
        <v>1.091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70" zoomScaleNormal="70" zoomScaleSheetLayoutView="90" workbookViewId="0">
      <selection activeCell="I41" sqref="I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1373</v>
      </c>
      <c r="D1" s="1819" t="s">
        <v>3554</v>
      </c>
      <c r="E1" s="1820" t="s">
        <v>1383</v>
      </c>
      <c r="F1" s="1283">
        <f ca="1">J53</f>
        <v>35.65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46142</v>
      </c>
      <c r="C2" s="1844" t="s">
        <v>1512</v>
      </c>
      <c r="D2" s="1844"/>
      <c r="E2" s="1845"/>
      <c r="F2" s="1846"/>
      <c r="G2" s="1847"/>
      <c r="H2" s="1839"/>
      <c r="I2" s="1839"/>
      <c r="J2" s="1839"/>
      <c r="K2" s="1840"/>
      <c r="L2" s="1839"/>
      <c r="M2" s="1839"/>
    </row>
    <row r="3" spans="1:37" ht="18" customHeight="1" thickBot="1">
      <c r="A3" s="1848" t="s">
        <v>1513</v>
      </c>
      <c r="B3" s="1849">
        <f ca="1">IF(ISERROR(B2*10000/F43),0,ROUND(B2*10000/F43,0))</f>
        <v>29271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2437</v>
      </c>
      <c r="D5" s="1821" t="s">
        <v>1398</v>
      </c>
      <c r="E5" s="1293"/>
      <c r="F5" s="1294"/>
      <c r="G5" s="1850"/>
      <c r="H5" s="344">
        <v>1</v>
      </c>
      <c r="I5" s="345" t="s">
        <v>1397</v>
      </c>
      <c r="J5" s="1292">
        <f ca="1">J6+J10+J12</f>
        <v>0</v>
      </c>
      <c r="K5" s="1821" t="s">
        <v>1398</v>
      </c>
      <c r="L5" s="1293"/>
      <c r="M5" s="1294"/>
    </row>
    <row r="6" spans="1:37" ht="18" customHeight="1">
      <c r="A6" s="1291" t="s">
        <v>1032</v>
      </c>
      <c r="B6" s="3200" t="s">
        <v>1399</v>
      </c>
      <c r="C6" s="1296">
        <f ca="1">ROUND(F6*F8*F7*(1-F9)/10000,0)</f>
        <v>2434</v>
      </c>
      <c r="D6" s="164" t="s">
        <v>3029</v>
      </c>
      <c r="E6" s="347" t="s">
        <v>1401</v>
      </c>
      <c r="F6" s="348">
        <f ca="1">INDIRECT("'数据-取费表'!u"&amp;$G$1)</f>
        <v>4.7</v>
      </c>
      <c r="G6" s="1850"/>
      <c r="H6" s="1291" t="s">
        <v>1032</v>
      </c>
      <c r="I6" s="3200" t="s">
        <v>1399</v>
      </c>
      <c r="J6" s="346">
        <f ca="1">ROUND(M6*M8*M7*(1-M9)/10000,0)</f>
        <v>0</v>
      </c>
      <c r="K6" s="164" t="s">
        <v>3028</v>
      </c>
      <c r="L6" s="347" t="s">
        <v>1401</v>
      </c>
      <c r="M6" s="348">
        <f ca="1">INDIRECT("'数据-取费表'!z"&amp;$G$1)</f>
        <v>0</v>
      </c>
    </row>
    <row r="7" spans="1:37" ht="18" customHeight="1">
      <c r="A7" s="1295"/>
      <c r="B7" s="3201"/>
      <c r="C7" s="1297"/>
      <c r="D7" s="352"/>
      <c r="E7" s="1298" t="s">
        <v>1402</v>
      </c>
      <c r="F7" s="348">
        <f ca="1">IF(INDIRECT("'数据-取费表'!ah"&amp;$G$1)="",INDIRECT("'数据-取费表'!k"&amp;$G$1),INDIRECT("'数据-取费表'!ah"&amp;$G$1))</f>
        <v>15763.72</v>
      </c>
      <c r="G7" s="1850"/>
      <c r="H7" s="349"/>
      <c r="I7" s="3201"/>
      <c r="J7" s="351"/>
      <c r="K7" s="352"/>
      <c r="L7" s="347" t="s">
        <v>1402</v>
      </c>
      <c r="M7" s="348">
        <f ca="1">F7</f>
        <v>15763.72</v>
      </c>
    </row>
    <row r="8" spans="1:37" ht="18" customHeight="1">
      <c r="A8" s="349"/>
      <c r="B8" s="3201"/>
      <c r="C8" s="351"/>
      <c r="D8" s="352"/>
      <c r="E8" s="347" t="s">
        <v>1403</v>
      </c>
      <c r="F8" s="348">
        <f ca="1">INDIRECT("'数据-取费表'!ai"&amp;$G$1)</f>
        <v>365</v>
      </c>
      <c r="G8" s="1850"/>
      <c r="H8" s="349"/>
      <c r="I8" s="3201"/>
      <c r="J8" s="351"/>
      <c r="K8" s="352"/>
      <c r="L8" s="347" t="s">
        <v>1403</v>
      </c>
      <c r="M8" s="348">
        <f ca="1">INDIRECT("'数据-取费表'!ai"&amp;$G$1)</f>
        <v>365</v>
      </c>
    </row>
    <row r="9" spans="1:37" ht="18" customHeight="1">
      <c r="A9" s="349"/>
      <c r="B9" s="3202"/>
      <c r="C9" s="351"/>
      <c r="D9" s="352"/>
      <c r="E9" s="347" t="s">
        <v>1404</v>
      </c>
      <c r="F9" s="357">
        <f ca="1">INDIRECT("'数据-取费表'!w"&amp;$G$1)</f>
        <v>0.1</v>
      </c>
      <c r="G9" s="1850"/>
      <c r="H9" s="349"/>
      <c r="I9" s="3202"/>
      <c r="J9" s="351"/>
      <c r="K9" s="352"/>
      <c r="L9" s="358" t="s">
        <v>1404</v>
      </c>
      <c r="M9" s="359">
        <f ca="1">INDIRECT("'数据-取费表'!ab"&amp;$G$1)</f>
        <v>0</v>
      </c>
    </row>
    <row r="10" spans="1:37" ht="18" customHeight="1">
      <c r="A10" s="1291" t="s">
        <v>1036</v>
      </c>
      <c r="B10" s="1822" t="s">
        <v>1405</v>
      </c>
      <c r="C10" s="361">
        <f ca="1">ROUND(IF(F10="押一",C6/12*F11,IF(F10="押二",C6/12*2*F11,IF(F10="押三",C6/12*3*F11,C11*F11))),0)</f>
        <v>3</v>
      </c>
      <c r="D10" s="1823" t="s">
        <v>3038</v>
      </c>
      <c r="E10" s="358" t="s">
        <v>1406</v>
      </c>
      <c r="F10" s="1366" t="s">
        <v>3561</v>
      </c>
      <c r="G10" s="1850"/>
      <c r="H10" s="1291" t="s">
        <v>1036</v>
      </c>
      <c r="I10" s="1822" t="s">
        <v>1405</v>
      </c>
      <c r="J10" s="346">
        <f ca="1">ROUND(IF(M10="押一",J6/12*M11,IF(M10="押二",J6/12*2*M11,IF(M10="押三",J6/12*3*M11,J11*M11))),0)</f>
        <v>0</v>
      </c>
      <c r="K10" s="1823" t="s">
        <v>3037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6890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4791</v>
      </c>
      <c r="D14" s="1799" t="s">
        <v>1414</v>
      </c>
      <c r="E14" s="1793"/>
      <c r="F14" s="364"/>
      <c r="G14" s="1850"/>
      <c r="H14" s="1201" t="s">
        <v>1032</v>
      </c>
      <c r="I14" s="347" t="s">
        <v>1415</v>
      </c>
      <c r="J14" s="24">
        <f ca="1">C29</f>
        <v>6890</v>
      </c>
      <c r="K14" s="15"/>
      <c r="L14" s="979"/>
      <c r="M14" s="980"/>
    </row>
    <row r="15" spans="1:37" s="1857" customFormat="1" ht="18" customHeight="1" thickBot="1">
      <c r="A15" s="1201" t="s">
        <v>1033</v>
      </c>
      <c r="B15" s="347" t="s">
        <v>1416</v>
      </c>
      <c r="C15" s="24">
        <f ca="1">ROUND(C14*F15,0)</f>
        <v>144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162</v>
      </c>
      <c r="K16" s="1337" t="s">
        <v>1421</v>
      </c>
      <c r="L16" s="1338"/>
      <c r="M16" s="1294"/>
    </row>
    <row r="17" spans="1:37" s="1857" customFormat="1" ht="18" customHeight="1">
      <c r="A17" s="1201" t="s">
        <v>1386</v>
      </c>
      <c r="B17" s="347" t="s">
        <v>1422</v>
      </c>
      <c r="C17" s="24">
        <f ca="1">ROUND(F17*(F43+INDIRECT("'数据-取费表'!S"&amp;$G$1))/10000,0)</f>
        <v>319</v>
      </c>
      <c r="D17" s="347" t="s">
        <v>1423</v>
      </c>
      <c r="E17" s="347" t="s">
        <v>1424</v>
      </c>
      <c r="F17" s="26">
        <f>'数据-取费表'!B35</f>
        <v>200</v>
      </c>
      <c r="G17" s="1853"/>
      <c r="H17" s="1201" t="s">
        <v>1032</v>
      </c>
      <c r="I17" s="347" t="s">
        <v>1425</v>
      </c>
      <c r="J17" s="24">
        <f ca="1">ROUND(IF(项目基本情况!B11="自然人",J5*M17,J18+J19+J20),1)</f>
        <v>58.3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72</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5326</v>
      </c>
      <c r="D19" s="140" t="s">
        <v>1432</v>
      </c>
      <c r="E19" s="1817"/>
      <c r="F19" s="26"/>
      <c r="G19" s="1850"/>
      <c r="H19" s="1201" t="s">
        <v>1033</v>
      </c>
      <c r="I19" s="347" t="s">
        <v>1433</v>
      </c>
      <c r="J19" s="24">
        <f ca="1">IF(K19="按租金收入计税",ROUND(J5*M19,2),ROUND(C29*M19*0.7,2))</f>
        <v>57.88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107</v>
      </c>
      <c r="D20" s="369" t="s">
        <v>1436</v>
      </c>
      <c r="E20" s="347" t="s">
        <v>1418</v>
      </c>
      <c r="F20" s="367">
        <f>'数据-取费表'!B37</f>
        <v>0.02</v>
      </c>
      <c r="G20" s="1853"/>
      <c r="H20" s="1201" t="s">
        <v>1385</v>
      </c>
      <c r="I20" s="164" t="s">
        <v>1437</v>
      </c>
      <c r="J20" s="25">
        <f ca="1">ROUND(M20*M21/10000,2)</f>
        <v>0.43</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2870.04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103.4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392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-162</v>
      </c>
      <c r="K25" s="1345" t="s">
        <v>1460</v>
      </c>
      <c r="L25" s="1346"/>
      <c r="M25" s="1347"/>
    </row>
    <row r="26" spans="1:37">
      <c r="A26" s="1201" t="s">
        <v>1031</v>
      </c>
      <c r="B26" s="347" t="s">
        <v>1461</v>
      </c>
      <c r="C26" s="24">
        <f ca="1">ROUND((C19+C20)*F26,0)</f>
        <v>543</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6890</v>
      </c>
      <c r="D29" s="1342"/>
      <c r="E29" s="1340"/>
      <c r="F29" s="1343"/>
      <c r="G29" s="1853"/>
      <c r="H29" s="380" t="s">
        <v>1030</v>
      </c>
      <c r="I29" s="381" t="s">
        <v>1475</v>
      </c>
      <c r="J29" s="382">
        <f ca="1">ROUND(J26/(1+F40)^F41,0)</f>
        <v>0</v>
      </c>
      <c r="K29" s="383" t="s">
        <v>1476</v>
      </c>
      <c r="L29" s="384"/>
      <c r="M29" s="385">
        <f ca="1">INDIRECT("'数据-取费表'!k"&amp;$G$1)</f>
        <v>15763.72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571</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420.5</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127.7</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292.39999999999998</v>
      </c>
      <c r="D33" s="1827" t="s">
        <v>3556</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0.4</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2870.04</v>
      </c>
      <c r="G35" s="1850"/>
      <c r="H35" s="745"/>
      <c r="I35" s="1859"/>
      <c r="J35" s="1860"/>
      <c r="K35" s="1861"/>
      <c r="L35" s="1858"/>
      <c r="M35" s="1858"/>
    </row>
    <row r="36" spans="1:18" ht="18" customHeight="1">
      <c r="A36" s="1352" t="s">
        <v>1036</v>
      </c>
      <c r="B36" s="347" t="s">
        <v>1445</v>
      </c>
      <c r="C36" s="24">
        <f ca="1">ROUND(C29*F36,1)</f>
        <v>103.4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36.6</v>
      </c>
      <c r="D38" s="1342" t="s">
        <v>1455</v>
      </c>
      <c r="E38" s="1340" t="s">
        <v>1451</v>
      </c>
      <c r="F38" s="1336">
        <f ca="1">INDIRECT("'数据-取费表'!Am"&amp;$G$1)</f>
        <v>1.4999999999999999E-2</v>
      </c>
      <c r="G38" s="1850"/>
      <c r="H38" s="1858"/>
      <c r="I38" s="1859"/>
      <c r="J38" s="1860"/>
      <c r="K38" s="1864"/>
      <c r="L38" s="1858"/>
      <c r="M38" s="1858"/>
    </row>
    <row r="39" spans="1:18" ht="24.6" customHeight="1" thickTop="1">
      <c r="A39" s="1329" t="s">
        <v>1028</v>
      </c>
      <c r="B39" s="1344" t="s">
        <v>1479</v>
      </c>
      <c r="C39" s="355">
        <f ca="1">C5-C30</f>
        <v>1866</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46142</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35.65</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29271</v>
      </c>
      <c r="D43" s="383" t="s">
        <v>1484</v>
      </c>
      <c r="E43" s="384" t="s">
        <v>1485</v>
      </c>
      <c r="F43" s="385">
        <f ca="1">INDIRECT("'数据-取费表'!k"&amp;$G$1)</f>
        <v>15763.72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-56874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3557</v>
      </c>
      <c r="K47" s="1881" t="s">
        <v>1523</v>
      </c>
      <c r="L47" s="1882">
        <f ca="1">INDIRECT("'数据-取费表'!d"&amp;$G$1)</f>
        <v>40</v>
      </c>
      <c r="M47" s="1837" t="str">
        <f>IF(ISNUMBER(FIND("住宅",C1)),"住宅","非住宅")</f>
        <v>非住宅</v>
      </c>
      <c r="O47" s="1883" t="s">
        <v>1037</v>
      </c>
      <c r="P47" s="1884" t="s">
        <v>1524</v>
      </c>
      <c r="Q47" s="1885">
        <f ca="1">C40+J29</f>
        <v>46142</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3558</v>
      </c>
      <c r="K48" s="1888" t="s">
        <v>1527</v>
      </c>
      <c r="L48" s="1889">
        <f ca="1">INDIRECT("'数据-取费表'!f"&amp;$G$1)</f>
        <v>35.799999999999997</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6890</v>
      </c>
      <c r="R49" s="1885" t="s">
        <v>1525</v>
      </c>
    </row>
    <row r="50" spans="1:18" s="1841" customFormat="1" ht="13.8" thickBot="1">
      <c r="A50" s="1195"/>
      <c r="B50" s="1198"/>
      <c r="C50" s="1368"/>
      <c r="D50" s="1172"/>
      <c r="E50" s="1277" t="s">
        <v>1402</v>
      </c>
      <c r="F50" s="1278">
        <f ca="1">F7</f>
        <v>15763.72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21142</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35.65</v>
      </c>
      <c r="R52" s="1885" t="s">
        <v>1542</v>
      </c>
    </row>
    <row r="53" spans="1:18" s="1841" customFormat="1" ht="36.6" thickBot="1">
      <c r="A53" s="1405" t="s">
        <v>1134</v>
      </c>
      <c r="B53" s="1830" t="s">
        <v>1405</v>
      </c>
      <c r="C53" s="361">
        <f ca="1">ROUND(IF(F53="押一",C49/12*F11,IF(F53="押二",C49/12*2*F11,IF(F53="押三",C49/12*3*F11,C54*F11))),0)</f>
        <v>0</v>
      </c>
      <c r="D53" s="1823" t="s">
        <v>3037</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35.65</v>
      </c>
      <c r="K53" s="3203" t="s">
        <v>1544</v>
      </c>
      <c r="L53" s="3204"/>
      <c r="O53" s="1883" t="s">
        <v>1043</v>
      </c>
      <c r="P53" s="1884" t="s">
        <v>1545</v>
      </c>
      <c r="Q53" s="1885">
        <f ca="1">Q47+Q48</f>
        <v>46142</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6890</v>
      </c>
      <c r="D56" s="1913"/>
      <c r="E56" s="1914"/>
      <c r="F56" s="1906"/>
      <c r="I56" s="1915" t="s">
        <v>1550</v>
      </c>
      <c r="J56" s="1916" t="s">
        <v>3104</v>
      </c>
      <c r="K56" s="1886" t="s">
        <v>1551</v>
      </c>
      <c r="L56" s="1889" t="str">
        <f ca="1">IF(L48&lt;J51,"——",L48-J53)</f>
        <v>——</v>
      </c>
      <c r="O56" s="1883" t="s">
        <v>1037</v>
      </c>
      <c r="P56" s="1884" t="s">
        <v>1524</v>
      </c>
      <c r="Q56" s="1885">
        <f ca="1">C40+J29</f>
        <v>46142</v>
      </c>
      <c r="R56" s="1885" t="s">
        <v>1525</v>
      </c>
    </row>
    <row r="57" spans="1:18" s="1841" customFormat="1" ht="24.6" thickBot="1">
      <c r="A57" s="1917"/>
      <c r="B57" s="1169" t="s">
        <v>1474</v>
      </c>
      <c r="C57" s="282">
        <f ca="1">C29</f>
        <v>6890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693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579.20000000000005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578.76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0.43</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46142</v>
      </c>
      <c r="R62" s="1885" t="s">
        <v>1044</v>
      </c>
    </row>
    <row r="63" spans="1:18" s="1841" customFormat="1" ht="13.8" thickBot="1">
      <c r="A63" s="372"/>
      <c r="B63" s="1175"/>
      <c r="C63" s="29"/>
      <c r="D63" s="1185"/>
      <c r="E63" s="1169" t="s">
        <v>1495</v>
      </c>
      <c r="F63" s="348">
        <f t="shared" ca="1" si="0"/>
        <v>2870.04</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103.4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10.3</v>
      </c>
      <c r="D65" s="1183" t="s">
        <v>1450</v>
      </c>
      <c r="E65" s="1169" t="s">
        <v>1451</v>
      </c>
      <c r="F65" s="376">
        <f t="shared" ca="1" si="0"/>
        <v>1.5E-3</v>
      </c>
      <c r="I65" s="1928" t="s">
        <v>1575</v>
      </c>
      <c r="J65" s="1929">
        <v>40</v>
      </c>
      <c r="K65" s="1929">
        <v>30</v>
      </c>
      <c r="L65" s="1929">
        <v>50</v>
      </c>
      <c r="M65" s="1931">
        <v>0.02</v>
      </c>
      <c r="O65" s="1883" t="s">
        <v>1037</v>
      </c>
      <c r="P65" s="1884" t="s">
        <v>1576</v>
      </c>
      <c r="Q65" s="1885">
        <f ca="1">C40+J29</f>
        <v>46142</v>
      </c>
      <c r="R65" s="1885" t="s">
        <v>1525</v>
      </c>
    </row>
    <row r="66" spans="1:18" s="1841" customFormat="1" ht="16.2" thickBot="1">
      <c r="A66" s="1201" t="s">
        <v>1500</v>
      </c>
      <c r="B66" s="1169" t="s">
        <v>1435</v>
      </c>
      <c r="C66" s="24">
        <f ca="1">ROUND(C48*F66,1)</f>
        <v>0</v>
      </c>
      <c r="D66" s="1183" t="s">
        <v>1501</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-693</v>
      </c>
      <c r="D67" s="1182" t="s">
        <v>1460</v>
      </c>
      <c r="E67" s="1187"/>
      <c r="F67" s="1188"/>
      <c r="O67" s="1893" t="s">
        <v>1039</v>
      </c>
      <c r="P67" s="1884" t="s">
        <v>1558</v>
      </c>
      <c r="Q67" s="1932">
        <f ca="1">L51</f>
        <v>21142</v>
      </c>
      <c r="R67" s="1885" t="s">
        <v>1578</v>
      </c>
    </row>
    <row r="68" spans="1:18" s="1841" customFormat="1" ht="16.2" thickBot="1">
      <c r="A68" s="1166" t="s">
        <v>1029</v>
      </c>
      <c r="B68" s="1167" t="s">
        <v>1481</v>
      </c>
      <c r="C68" s="346">
        <f ca="1">ROUND(C67*(1-((1+F70)/(1+F68))^F69)/(F68-F70),0)</f>
        <v>-10732</v>
      </c>
      <c r="D68" s="1184" t="s">
        <v>1465</v>
      </c>
      <c r="E68" s="1169" t="s">
        <v>1466</v>
      </c>
      <c r="F68" s="357">
        <f ca="1">F40</f>
        <v>5.5E-2</v>
      </c>
      <c r="O68" s="1893" t="s">
        <v>1040</v>
      </c>
      <c r="P68" s="1933" t="s">
        <v>1579</v>
      </c>
      <c r="Q68" s="1885">
        <f ca="1">ROUND(Q69-Q70*Q71,0)</f>
        <v>1280</v>
      </c>
      <c r="R68" s="1885" t="s">
        <v>1048</v>
      </c>
    </row>
    <row r="69" spans="1:18" s="1841" customFormat="1" ht="13.8" thickBot="1">
      <c r="A69" s="1170"/>
      <c r="B69" s="1171"/>
      <c r="C69" s="351"/>
      <c r="D69" s="1189" t="s">
        <v>1469</v>
      </c>
      <c r="E69" s="1169" t="s">
        <v>1470</v>
      </c>
      <c r="F69" s="379">
        <f ca="1">F41</f>
        <v>35.65</v>
      </c>
      <c r="O69" s="1893" t="s">
        <v>1045</v>
      </c>
      <c r="P69" s="1933" t="s">
        <v>1580</v>
      </c>
      <c r="Q69" s="1885">
        <f ca="1">C39</f>
        <v>1866</v>
      </c>
      <c r="R69" s="1885" t="s">
        <v>1525</v>
      </c>
    </row>
    <row r="70" spans="1:18" s="1841" customFormat="1" ht="13.8" thickBot="1">
      <c r="A70" s="1173"/>
      <c r="B70" s="1174"/>
      <c r="C70" s="355"/>
      <c r="D70" s="1185"/>
      <c r="E70" s="1169" t="s">
        <v>1473</v>
      </c>
      <c r="F70" s="1275"/>
      <c r="O70" s="1893" t="s">
        <v>1046</v>
      </c>
      <c r="P70" s="1933" t="s">
        <v>1581</v>
      </c>
      <c r="Q70" s="1885">
        <f ca="1">C13</f>
        <v>6890</v>
      </c>
      <c r="R70" s="1885" t="s">
        <v>1525</v>
      </c>
    </row>
    <row r="71" spans="1:18" s="1841" customFormat="1" ht="13.8" thickBot="1">
      <c r="A71" s="1190" t="s">
        <v>1030</v>
      </c>
      <c r="B71" s="1191" t="s">
        <v>1483</v>
      </c>
      <c r="C71" s="382">
        <f ca="1">ROUND(C68*10000/F71,0)</f>
        <v>-6808</v>
      </c>
      <c r="D71" s="1192" t="s">
        <v>1484</v>
      </c>
      <c r="E71" s="1193" t="s">
        <v>1485</v>
      </c>
      <c r="F71" s="385">
        <f ca="1">F43</f>
        <v>15763.72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586</v>
      </c>
      <c r="D75" s="1841"/>
      <c r="E75" s="1841"/>
      <c r="F75" s="1841"/>
      <c r="K75" s="1867"/>
      <c r="L75" s="1841"/>
      <c r="O75" s="1883" t="s">
        <v>1043</v>
      </c>
      <c r="P75" s="1884" t="s">
        <v>1545</v>
      </c>
      <c r="Q75" s="1885">
        <f ca="1">Q65+Q66</f>
        <v>46142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0.68599999999999994</v>
      </c>
    </row>
    <row r="80" spans="1:18">
      <c r="B80" s="386" t="s">
        <v>1507</v>
      </c>
      <c r="C80" s="318">
        <f ca="1">ROUND(C75/C39,3)</f>
        <v>0.314</v>
      </c>
    </row>
    <row r="81" spans="2:3">
      <c r="B81" s="314" t="s">
        <v>1508</v>
      </c>
      <c r="C81" s="282"/>
    </row>
    <row r="82" spans="2:3">
      <c r="B82" s="317" t="s">
        <v>1509</v>
      </c>
      <c r="C82" s="319">
        <f ca="1">1-C83</f>
        <v>0.85099999999999998</v>
      </c>
    </row>
    <row r="83" spans="2:3">
      <c r="B83" s="317" t="s">
        <v>1510</v>
      </c>
      <c r="C83" s="318">
        <f ca="1">ROUND(C13/C40,3)</f>
        <v>0.14899999999999999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00" t="s">
        <v>1399</v>
      </c>
      <c r="C6" s="1296">
        <f ca="1">ROUND(F6*F8*F7*(1-F9),0)</f>
        <v>0</v>
      </c>
      <c r="D6" s="164" t="s">
        <v>3026</v>
      </c>
      <c r="E6" s="347" t="s">
        <v>1401</v>
      </c>
      <c r="F6" s="348">
        <f ca="1">INDIRECT("'数据-取费表'!u"&amp;$G$1)</f>
        <v>0</v>
      </c>
      <c r="G6" s="1850"/>
      <c r="H6" s="1291" t="s">
        <v>1032</v>
      </c>
      <c r="I6" s="3200" t="s">
        <v>1399</v>
      </c>
      <c r="J6" s="346">
        <f ca="1">ROUND(M6*M8*M7*(1-M9),0)</f>
        <v>0</v>
      </c>
      <c r="K6" s="1833" t="s">
        <v>3027</v>
      </c>
      <c r="L6" s="347" t="s">
        <v>1401</v>
      </c>
      <c r="M6" s="348">
        <f ca="1">INDIRECT("'数据-取费表'!z"&amp;$G$1)</f>
        <v>0</v>
      </c>
    </row>
    <row r="7" spans="1:37" ht="18" customHeight="1">
      <c r="A7" s="1295"/>
      <c r="B7" s="3201"/>
      <c r="C7" s="1297"/>
      <c r="D7" s="352"/>
      <c r="E7" s="1298" t="s">
        <v>1402</v>
      </c>
      <c r="F7" s="348">
        <f ca="1">IF(INDIRECT("'数据-取费表'!ah"&amp;$G$1)="",INDIRECT("'数据-取费表'!k"&amp;$G$1),INDIRECT("'数据-取费表'!ah"&amp;$G$1))</f>
        <v>0</v>
      </c>
      <c r="G7" s="1850"/>
      <c r="H7" s="349"/>
      <c r="I7" s="3201"/>
      <c r="J7" s="351"/>
      <c r="K7" s="352"/>
      <c r="L7" s="347" t="s">
        <v>1402</v>
      </c>
      <c r="M7" s="348">
        <f ca="1">F7</f>
        <v>0</v>
      </c>
    </row>
    <row r="8" spans="1:37" ht="18" customHeight="1">
      <c r="A8" s="349"/>
      <c r="B8" s="3201"/>
      <c r="C8" s="351"/>
      <c r="D8" s="352"/>
      <c r="E8" s="347" t="s">
        <v>1403</v>
      </c>
      <c r="F8" s="348">
        <f ca="1">INDIRECT("'数据-取费表'!ai"&amp;$G$1)</f>
        <v>0</v>
      </c>
      <c r="G8" s="1850"/>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50"/>
      <c r="H9" s="349"/>
      <c r="I9" s="3202"/>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3037</v>
      </c>
      <c r="E10" s="358" t="s">
        <v>1406</v>
      </c>
      <c r="F10" s="1366"/>
      <c r="G10" s="1850"/>
      <c r="H10" s="1291" t="s">
        <v>1036</v>
      </c>
      <c r="I10" s="1822" t="s">
        <v>1405</v>
      </c>
      <c r="J10" s="346">
        <f ca="1">ROUND(IF(M10="押一",J6/12*M11,IF(M10="押二",J6/12*2*M11,IF(M10="押三",J6/12*3*M11,J11*M11))),0)</f>
        <v>0</v>
      </c>
      <c r="K10" s="1834" t="s">
        <v>3039</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3040</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03" t="s">
        <v>1544</v>
      </c>
      <c r="L53" s="3204"/>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2522</v>
      </c>
      <c r="B1" s="2563"/>
      <c r="C1" s="2563"/>
      <c r="D1" s="2563"/>
      <c r="E1" s="2564"/>
    </row>
    <row r="2" spans="1:6" ht="15.6">
      <c r="A2" s="2565" t="s">
        <v>2326</v>
      </c>
      <c r="B2" s="2566">
        <f ca="1">SUMIF(B6:B13,"&lt;&gt;#ref!",B6:B13)</f>
        <v>156583</v>
      </c>
      <c r="C2" s="2567" t="s">
        <v>2515</v>
      </c>
      <c r="D2" s="2568" t="s">
        <v>2516</v>
      </c>
      <c r="E2" s="2569">
        <f>SUM(E6:E13)</f>
        <v>66166.679999999993</v>
      </c>
    </row>
    <row r="3" spans="1:6" ht="15.6">
      <c r="A3" s="2565" t="s">
        <v>1391</v>
      </c>
      <c r="B3" s="2566">
        <f ca="1">ROUND(B2*10000/E2,0)</f>
        <v>23665</v>
      </c>
      <c r="C3" s="2567" t="s">
        <v>2523</v>
      </c>
      <c r="D3" s="2570"/>
      <c r="E3" s="2571"/>
    </row>
    <row r="4" spans="1:6" ht="15.6">
      <c r="A4" s="2572"/>
      <c r="B4" s="2570"/>
      <c r="C4" s="2570"/>
      <c r="D4" s="2570"/>
      <c r="E4" s="2571"/>
    </row>
    <row r="5" spans="1:6" ht="14.4">
      <c r="A5" s="2573" t="s">
        <v>2517</v>
      </c>
      <c r="B5" s="3205" t="s">
        <v>2518</v>
      </c>
      <c r="C5" s="3205"/>
      <c r="D5" s="2574"/>
      <c r="E5" s="2575" t="s">
        <v>2519</v>
      </c>
      <c r="F5" s="2576" t="s">
        <v>2520</v>
      </c>
    </row>
    <row r="6" spans="1:6" ht="14.4">
      <c r="A6" s="2577">
        <f>'数据-取费表'!AN6</f>
        <v>0</v>
      </c>
      <c r="B6" s="2576" t="e">
        <f ca="1">IF(F6="是",'数据-取费表'!AO6,0)</f>
        <v>#REF!</v>
      </c>
      <c r="C6" s="2567" t="s">
        <v>2515</v>
      </c>
      <c r="D6" s="2570"/>
      <c r="E6" s="2578">
        <f>IF(OR(A6=0,F6="否"),0,'数据-取费表'!K6+'数据-取费表'!S6)</f>
        <v>0</v>
      </c>
      <c r="F6" s="2579" t="s">
        <v>2521</v>
      </c>
    </row>
    <row r="7" spans="1:6" ht="14.4">
      <c r="A7" s="2577">
        <f>'数据-取费表'!AN7</f>
        <v>0</v>
      </c>
      <c r="B7" s="2576" t="e">
        <f ca="1">IF(F7="是",'数据-取费表'!AO7,0)</f>
        <v>#REF!</v>
      </c>
      <c r="C7" s="2567" t="s">
        <v>2515</v>
      </c>
      <c r="D7" s="2570"/>
      <c r="E7" s="2578">
        <f>IF(OR(A7=0,F7="否"),0,'数据-取费表'!K7+'数据-取费表'!S7)</f>
        <v>0</v>
      </c>
      <c r="F7" s="2579" t="s">
        <v>2521</v>
      </c>
    </row>
    <row r="8" spans="1:6" ht="14.4">
      <c r="A8" s="2577" t="str">
        <f>'数据-取费表'!AN8</f>
        <v>收益法-办公自持</v>
      </c>
      <c r="B8" s="2576">
        <f ca="1">IF(F8="是",'数据-取费表'!AO8,0)</f>
        <v>103574</v>
      </c>
      <c r="C8" s="2567" t="s">
        <v>2515</v>
      </c>
      <c r="D8" s="2570"/>
      <c r="E8" s="2578">
        <f>IF(OR(A8=0,F8="否"),0,'数据-取费表'!K8+'数据-取费表'!S8)</f>
        <v>32033.940000000002</v>
      </c>
      <c r="F8" s="2579" t="s">
        <v>2521</v>
      </c>
    </row>
    <row r="9" spans="1:6" ht="14.4">
      <c r="A9" s="2577" t="str">
        <f>'数据-取费表'!AN9</f>
        <v>收益法-商业</v>
      </c>
      <c r="B9" s="2576">
        <f ca="1">IF(F9="是",'数据-取费表'!AO9,0)</f>
        <v>46142</v>
      </c>
      <c r="C9" s="2567" t="s">
        <v>2515</v>
      </c>
      <c r="D9" s="2570"/>
      <c r="E9" s="2578">
        <f>IF(OR(A9=0,F9="否"),0,'数据-取费表'!K9+'数据-取费表'!S9)</f>
        <v>15970.23</v>
      </c>
      <c r="F9" s="2579" t="s">
        <v>2521</v>
      </c>
    </row>
    <row r="10" spans="1:6" ht="14.4">
      <c r="A10" s="2577" t="str">
        <f>'数据-取费表'!AN10</f>
        <v>收益法-地下车库</v>
      </c>
      <c r="B10" s="2576">
        <f ca="1">IF(F10="是",'数据-取费表'!AO10,0)</f>
        <v>6867</v>
      </c>
      <c r="C10" s="2567" t="s">
        <v>2515</v>
      </c>
      <c r="D10" s="2570"/>
      <c r="E10" s="2578">
        <f>IF(OR(A10=0,F10="否"),0,'数据-取费表'!K10+'数据-取费表'!S10)</f>
        <v>18162.510000000002</v>
      </c>
      <c r="F10" s="2579" t="s">
        <v>2521</v>
      </c>
    </row>
    <row r="11" spans="1:6" ht="14.4">
      <c r="A11" s="2577">
        <f>'数据-取费表'!AN11</f>
        <v>0</v>
      </c>
      <c r="B11" s="2576" t="e">
        <f ca="1">IF(F11="是",'数据-取费表'!AO11,0)</f>
        <v>#REF!</v>
      </c>
      <c r="C11" s="2567" t="s">
        <v>2515</v>
      </c>
      <c r="D11" s="2570"/>
      <c r="E11" s="2578">
        <f>IF(OR(A11=0,F11="否"),0,'数据-取费表'!K11+'数据-取费表'!S11)</f>
        <v>0</v>
      </c>
      <c r="F11" s="2579" t="s">
        <v>2521</v>
      </c>
    </row>
    <row r="12" spans="1:6" ht="14.4">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6" t="s">
        <v>1073</v>
      </c>
      <c r="B1" s="3207"/>
      <c r="C1" s="3208"/>
      <c r="D1" s="3209">
        <f>SUM(I10,I15,I20,I21,I23)</f>
        <v>0</v>
      </c>
      <c r="E1" s="3209"/>
      <c r="F1" s="3209"/>
      <c r="G1" s="3209"/>
      <c r="H1" s="3209"/>
      <c r="I1" s="3210"/>
    </row>
    <row r="2" spans="1:9">
      <c r="A2" s="3211" t="s">
        <v>1074</v>
      </c>
      <c r="B2" s="3212" t="s">
        <v>1075</v>
      </c>
      <c r="C2" s="3212"/>
      <c r="D2" s="1301" t="s">
        <v>1076</v>
      </c>
      <c r="E2" s="1301" t="s">
        <v>1077</v>
      </c>
      <c r="F2" s="1301" t="s">
        <v>1078</v>
      </c>
      <c r="G2" s="1301" t="s">
        <v>1079</v>
      </c>
      <c r="H2" s="1301" t="s">
        <v>1080</v>
      </c>
      <c r="I2" s="1302" t="s">
        <v>1081</v>
      </c>
    </row>
    <row r="3" spans="1:9">
      <c r="A3" s="3211"/>
      <c r="B3" s="3212" t="s">
        <v>1082</v>
      </c>
      <c r="C3" s="3212"/>
      <c r="D3" s="1303"/>
      <c r="E3" s="1301"/>
      <c r="F3" s="1304"/>
      <c r="G3" s="1304"/>
      <c r="H3" s="1305"/>
      <c r="I3" s="1306">
        <f>ROUND(D3*E3*F3*G3*H3/10000,0)</f>
        <v>0</v>
      </c>
    </row>
    <row r="4" spans="1:9">
      <c r="A4" s="3211"/>
      <c r="B4" s="3212" t="s">
        <v>1083</v>
      </c>
      <c r="C4" s="3212"/>
      <c r="D4" s="1303"/>
      <c r="E4" s="1301"/>
      <c r="F4" s="1304"/>
      <c r="G4" s="1304"/>
      <c r="H4" s="1305"/>
      <c r="I4" s="1306">
        <f t="shared" ref="I4:I9" si="0">ROUND(D4*E4*F4*G4*H4/10000,0)</f>
        <v>0</v>
      </c>
    </row>
    <row r="5" spans="1:9">
      <c r="A5" s="3211"/>
      <c r="B5" s="3212" t="s">
        <v>1084</v>
      </c>
      <c r="C5" s="3212"/>
      <c r="D5" s="1303"/>
      <c r="E5" s="1301"/>
      <c r="F5" s="1304"/>
      <c r="G5" s="1304"/>
      <c r="H5" s="1305"/>
      <c r="I5" s="1306">
        <f t="shared" si="0"/>
        <v>0</v>
      </c>
    </row>
    <row r="6" spans="1:9">
      <c r="A6" s="3211"/>
      <c r="B6" s="3212" t="s">
        <v>1085</v>
      </c>
      <c r="C6" s="3212"/>
      <c r="D6" s="1303"/>
      <c r="E6" s="1301"/>
      <c r="F6" s="1304"/>
      <c r="G6" s="1304"/>
      <c r="H6" s="1305"/>
      <c r="I6" s="1306">
        <f t="shared" si="0"/>
        <v>0</v>
      </c>
    </row>
    <row r="7" spans="1:9">
      <c r="A7" s="3211"/>
      <c r="B7" s="3212" t="s">
        <v>1086</v>
      </c>
      <c r="C7" s="3212"/>
      <c r="D7" s="1303"/>
      <c r="E7" s="1301"/>
      <c r="F7" s="1304"/>
      <c r="G7" s="1304"/>
      <c r="H7" s="1305"/>
      <c r="I7" s="1306">
        <f t="shared" si="0"/>
        <v>0</v>
      </c>
    </row>
    <row r="8" spans="1:9">
      <c r="A8" s="3211"/>
      <c r="B8" s="3212" t="s">
        <v>1087</v>
      </c>
      <c r="C8" s="3212"/>
      <c r="D8" s="1303"/>
      <c r="E8" s="1301"/>
      <c r="F8" s="1304"/>
      <c r="G8" s="1304"/>
      <c r="H8" s="1305"/>
      <c r="I8" s="1306">
        <f t="shared" si="0"/>
        <v>0</v>
      </c>
    </row>
    <row r="9" spans="1:9">
      <c r="A9" s="3211"/>
      <c r="B9" s="3212" t="s">
        <v>1088</v>
      </c>
      <c r="C9" s="3212"/>
      <c r="D9" s="1303"/>
      <c r="E9" s="1301"/>
      <c r="F9" s="1304"/>
      <c r="G9" s="1304"/>
      <c r="H9" s="1305"/>
      <c r="I9" s="1306">
        <f t="shared" si="0"/>
        <v>0</v>
      </c>
    </row>
    <row r="10" spans="1:9">
      <c r="A10" s="3211"/>
      <c r="B10" s="3213" t="s">
        <v>1089</v>
      </c>
      <c r="C10" s="3213"/>
      <c r="D10" s="1307"/>
      <c r="E10" s="1307" t="e">
        <f>ROUND(D1*10000/D10/H9,0)</f>
        <v>#DIV/0!</v>
      </c>
      <c r="F10" s="1308"/>
      <c r="G10" s="1308"/>
      <c r="H10" s="1309"/>
      <c r="I10" s="1310">
        <f>SUM(I3:I9)</f>
        <v>0</v>
      </c>
    </row>
    <row r="11" spans="1:9" ht="15.6">
      <c r="A11" s="3211" t="s">
        <v>1090</v>
      </c>
      <c r="B11" s="3212" t="s">
        <v>1091</v>
      </c>
      <c r="C11" s="3212"/>
      <c r="D11" s="1303" t="s">
        <v>1092</v>
      </c>
      <c r="E11" s="1303" t="s">
        <v>1093</v>
      </c>
      <c r="F11" s="1304" t="s">
        <v>1094</v>
      </c>
      <c r="G11" s="1304" t="s">
        <v>1080</v>
      </c>
      <c r="H11" s="1311" t="s">
        <v>1095</v>
      </c>
      <c r="I11" s="1302" t="s">
        <v>1081</v>
      </c>
    </row>
    <row r="12" spans="1:9">
      <c r="A12" s="3211"/>
      <c r="B12" s="3212" t="s">
        <v>1096</v>
      </c>
      <c r="C12" s="3212"/>
      <c r="D12" s="1303"/>
      <c r="E12" s="1303"/>
      <c r="F12" s="1304"/>
      <c r="G12" s="1305"/>
      <c r="H12" s="1312"/>
      <c r="I12" s="1302">
        <f>ROUND(D12*E12*F12*G12/10000,0)</f>
        <v>0</v>
      </c>
    </row>
    <row r="13" spans="1:9">
      <c r="A13" s="3211"/>
      <c r="B13" s="3212" t="s">
        <v>1097</v>
      </c>
      <c r="C13" s="3212"/>
      <c r="D13" s="1303"/>
      <c r="E13" s="1303"/>
      <c r="F13" s="1304"/>
      <c r="G13" s="1305"/>
      <c r="H13" s="1312"/>
      <c r="I13" s="1302">
        <f>ROUND(D13*E13*F13*G13/10000,0)</f>
        <v>0</v>
      </c>
    </row>
    <row r="14" spans="1:9">
      <c r="A14" s="3211"/>
      <c r="B14" s="3212" t="s">
        <v>1098</v>
      </c>
      <c r="C14" s="3212"/>
      <c r="D14" s="1303"/>
      <c r="E14" s="1303"/>
      <c r="F14" s="1304"/>
      <c r="G14" s="1305"/>
      <c r="H14" s="1312"/>
      <c r="I14" s="1302">
        <f>ROUND(D14*E14*F14*G14/10000,0)</f>
        <v>0</v>
      </c>
    </row>
    <row r="15" spans="1:9">
      <c r="A15" s="3211"/>
      <c r="B15" s="3213" t="s">
        <v>1089</v>
      </c>
      <c r="C15" s="3213"/>
      <c r="D15" s="1307"/>
      <c r="E15" s="1307">
        <f>SUM(E12:E14)</f>
        <v>0</v>
      </c>
      <c r="F15" s="1308"/>
      <c r="G15" s="1305"/>
      <c r="H15" s="1312"/>
      <c r="I15" s="1313">
        <f>SUM(I12:I14)</f>
        <v>0</v>
      </c>
    </row>
    <row r="16" spans="1:9" ht="24">
      <c r="A16" s="3211" t="s">
        <v>1099</v>
      </c>
      <c r="B16" s="3212" t="s">
        <v>1100</v>
      </c>
      <c r="C16" s="3212"/>
      <c r="D16" s="1303" t="s">
        <v>1076</v>
      </c>
      <c r="E16" s="1314" t="s">
        <v>1101</v>
      </c>
      <c r="F16" s="1304" t="s">
        <v>1102</v>
      </c>
      <c r="G16" s="1305" t="s">
        <v>1080</v>
      </c>
      <c r="H16" s="1311" t="s">
        <v>1095</v>
      </c>
      <c r="I16" s="1302" t="s">
        <v>1081</v>
      </c>
    </row>
    <row r="17" spans="1:9" ht="15.6">
      <c r="A17" s="3211"/>
      <c r="B17" s="3212" t="s">
        <v>1103</v>
      </c>
      <c r="C17" s="3212"/>
      <c r="D17" s="1303"/>
      <c r="E17" s="1303"/>
      <c r="F17" s="1304"/>
      <c r="G17" s="1305"/>
      <c r="H17" s="1315"/>
      <c r="I17" s="1316">
        <f>ROUND(D17*E17*F17*G17/10000,0)</f>
        <v>0</v>
      </c>
    </row>
    <row r="18" spans="1:9" ht="15.6">
      <c r="A18" s="3211"/>
      <c r="B18" s="3212" t="s">
        <v>1104</v>
      </c>
      <c r="C18" s="3212"/>
      <c r="D18" s="1303"/>
      <c r="E18" s="1303"/>
      <c r="F18" s="1304"/>
      <c r="G18" s="1305"/>
      <c r="H18" s="1315"/>
      <c r="I18" s="1316">
        <f>ROUND(D18*E18*F18*G18/10000,0)</f>
        <v>0</v>
      </c>
    </row>
    <row r="19" spans="1:9" ht="15.6">
      <c r="A19" s="3211"/>
      <c r="B19" s="3212" t="s">
        <v>1105</v>
      </c>
      <c r="C19" s="3212"/>
      <c r="D19" s="1303"/>
      <c r="E19" s="1303"/>
      <c r="F19" s="1304"/>
      <c r="G19" s="1305"/>
      <c r="H19" s="1315"/>
      <c r="I19" s="1316">
        <f>ROUND(D19*E19*F19*G19/10000,0)</f>
        <v>0</v>
      </c>
    </row>
    <row r="20" spans="1:9">
      <c r="A20" s="3211"/>
      <c r="B20" s="3213" t="s">
        <v>1089</v>
      </c>
      <c r="C20" s="3213"/>
      <c r="D20" s="1307">
        <f>SUM(D17:D19)</f>
        <v>0</v>
      </c>
      <c r="E20" s="1307"/>
      <c r="F20" s="1308"/>
      <c r="G20" s="1305"/>
      <c r="H20" s="1312"/>
      <c r="I20" s="1313">
        <f>SUM(I17:I19)</f>
        <v>0</v>
      </c>
    </row>
    <row r="21" spans="1:9">
      <c r="A21" s="3211" t="s">
        <v>1106</v>
      </c>
      <c r="B21" s="3215"/>
      <c r="C21" s="3215"/>
      <c r="D21" s="3215"/>
      <c r="E21" s="3215"/>
      <c r="F21" s="3215"/>
      <c r="G21" s="3215"/>
      <c r="H21" s="1764">
        <v>0.1</v>
      </c>
      <c r="I21" s="1310">
        <f>ROUND(I10*H21,0)</f>
        <v>0</v>
      </c>
    </row>
    <row r="22" spans="1:9" ht="15.6">
      <c r="A22" s="3216" t="s">
        <v>1107</v>
      </c>
      <c r="B22" s="3217"/>
      <c r="C22" s="3218"/>
      <c r="D22" s="1317" t="s">
        <v>1108</v>
      </c>
      <c r="E22" s="1317" t="s">
        <v>1109</v>
      </c>
      <c r="F22" s="1318" t="s">
        <v>1110</v>
      </c>
      <c r="G22" s="1318" t="s">
        <v>1111</v>
      </c>
      <c r="H22" s="1311" t="s">
        <v>1112</v>
      </c>
      <c r="I22" s="1302" t="s">
        <v>1113</v>
      </c>
    </row>
    <row r="23" spans="1:9" ht="15" thickBot="1">
      <c r="A23" s="3219"/>
      <c r="B23" s="3220"/>
      <c r="C23" s="3221"/>
      <c r="D23" s="1319"/>
      <c r="E23" s="1319"/>
      <c r="F23" s="1319"/>
      <c r="G23" s="1320"/>
      <c r="H23" s="1321"/>
      <c r="I23" s="1322">
        <f>ROUND(E23*D23*F23*(1-G23)/10000,0)</f>
        <v>0</v>
      </c>
    </row>
    <row r="26" spans="1:9">
      <c r="A26" s="1323" t="s">
        <v>1114</v>
      </c>
      <c r="B26" s="1323"/>
      <c r="C26" s="1323"/>
      <c r="D26" s="1323"/>
      <c r="E26" s="3222">
        <f>C27-C30-C31-C32</f>
        <v>0</v>
      </c>
      <c r="F26" s="3222"/>
      <c r="G26" s="3222"/>
      <c r="H26" s="1736" t="s">
        <v>1336</v>
      </c>
    </row>
    <row r="27" spans="1:9">
      <c r="A27" s="1324">
        <v>1</v>
      </c>
      <c r="B27" s="1325" t="s">
        <v>1115</v>
      </c>
      <c r="C27" s="1325">
        <f>C28+C29</f>
        <v>0</v>
      </c>
      <c r="D27" s="1325"/>
      <c r="E27" s="3223"/>
      <c r="F27" s="3223"/>
      <c r="G27" s="3223"/>
    </row>
    <row r="28" spans="1:9">
      <c r="A28" s="1326" t="s">
        <v>1116</v>
      </c>
      <c r="B28" s="1325" t="s">
        <v>1117</v>
      </c>
      <c r="C28" s="1325"/>
      <c r="D28" s="1325"/>
      <c r="E28" s="3223"/>
      <c r="F28" s="3223"/>
      <c r="G28" s="322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4"/>
      <c r="F32" s="3214"/>
      <c r="G32" s="3214"/>
    </row>
    <row r="33" spans="1:7" hidden="1">
      <c r="A33" s="3224" t="s">
        <v>1126</v>
      </c>
      <c r="B33" s="3225"/>
      <c r="C33" s="3225"/>
      <c r="D33" s="3226"/>
      <c r="E33" s="3222"/>
      <c r="F33" s="3222"/>
      <c r="G33" s="3222"/>
    </row>
    <row r="34" spans="1:7" hidden="1">
      <c r="A34" s="1328">
        <v>1</v>
      </c>
      <c r="B34" s="1325" t="s">
        <v>1127</v>
      </c>
      <c r="C34" s="1325"/>
      <c r="D34" s="1325"/>
      <c r="E34" s="3223"/>
      <c r="F34" s="3223"/>
      <c r="G34" s="3223"/>
    </row>
    <row r="35" spans="1:7" hidden="1">
      <c r="A35" s="1328">
        <v>2</v>
      </c>
      <c r="B35" s="1325" t="s">
        <v>1128</v>
      </c>
      <c r="C35" s="1325"/>
      <c r="D35" s="1325"/>
      <c r="E35" s="3223"/>
      <c r="F35" s="3223"/>
      <c r="G35" s="3223"/>
    </row>
    <row r="36" spans="1:7" hidden="1">
      <c r="A36" s="1328">
        <v>3</v>
      </c>
      <c r="B36" s="1325" t="s">
        <v>1129</v>
      </c>
      <c r="C36" s="1325"/>
      <c r="D36" s="1325"/>
      <c r="E36" s="3223"/>
      <c r="F36" s="3223"/>
      <c r="G36" s="3223"/>
    </row>
    <row r="37" spans="1:7" hidden="1">
      <c r="A37" s="1328">
        <v>4</v>
      </c>
      <c r="B37" s="1325" t="s">
        <v>1130</v>
      </c>
      <c r="C37" s="1325"/>
      <c r="D37" s="1325"/>
      <c r="E37" s="3223"/>
      <c r="F37" s="3223"/>
      <c r="G37" s="3223"/>
    </row>
    <row r="38" spans="1:7" hidden="1">
      <c r="A38" s="3224" t="s">
        <v>1131</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北京东方蓝海置业有限责任公司：</v>
      </c>
    </row>
    <row r="4" spans="1:1" ht="69.599999999999994">
      <c r="A4" s="1947" t="str">
        <f>"受贵公司委托，我公司对"&amp;项目基本情况!S1&amp;"进行了预评估。"</f>
        <v>受贵公司委托，我公司对北京市昌平区北七家镇（未来科技城南区）CP07-0600-0022、0039、0040地块F2公建混合住宅用地（配建人才公共租赁住房）项目出让国有建设用地使用权及在建建筑物房地产抵押价值进行了预评估。</v>
      </c>
    </row>
    <row r="5" spans="1:1" ht="17.399999999999999">
      <c r="A5" s="1948" t="s">
        <v>1608</v>
      </c>
    </row>
    <row r="6" spans="1:1" ht="17.399999999999999">
      <c r="A6" s="1949" t="s">
        <v>1609</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20133.75平方米，建筑面积为112033.45平方米。</v>
      </c>
    </row>
    <row r="8" spans="1:1" ht="54.6">
      <c r="A8" s="1950" t="s">
        <v>1610</v>
      </c>
    </row>
    <row r="9" spans="1:1" ht="17.399999999999999">
      <c r="A9" s="1949" t="s">
        <v>1611</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20133.75平方米，规划建筑面积为112033.45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2019年5月31日（评估专业人员实地查勘之日）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3" t="s">
        <v>2638</v>
      </c>
      <c r="C1" s="1633" t="s">
        <v>2526</v>
      </c>
      <c r="D1" s="1620"/>
      <c r="E1" s="2655"/>
      <c r="F1" s="2585"/>
      <c r="G1" s="1630" t="s">
        <v>2639</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2640</v>
      </c>
      <c r="D3" s="399">
        <f>IF(D1="",'数据-汇总表'!E3,SUMIF('数据-汇总表'!$C19:$C33,D1,'数据-汇总表'!$E19:$E33))</f>
        <v>112033.45000000001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2641</v>
      </c>
      <c r="B4" s="402"/>
      <c r="C4" s="3246" t="s">
        <v>2642</v>
      </c>
      <c r="D4" s="3247"/>
      <c r="E4" s="3248" t="s">
        <v>2643</v>
      </c>
      <c r="F4" s="3249"/>
      <c r="G4" s="3246" t="s">
        <v>2644</v>
      </c>
      <c r="H4" s="3247"/>
      <c r="I4" s="3246" t="s">
        <v>2645</v>
      </c>
      <c r="J4" s="3247"/>
      <c r="K4" s="610" t="s">
        <v>2646</v>
      </c>
      <c r="L4" s="1130"/>
      <c r="M4" s="1131"/>
      <c r="N4" s="1131"/>
      <c r="O4" s="1131"/>
      <c r="P4" s="3250" t="s">
        <v>2647</v>
      </c>
      <c r="Q4" s="3251"/>
      <c r="R4" s="3233" t="s">
        <v>2643</v>
      </c>
      <c r="S4" s="3234"/>
      <c r="T4" s="3233" t="s">
        <v>2644</v>
      </c>
      <c r="U4" s="3234"/>
      <c r="V4" s="3230" t="s">
        <v>2645</v>
      </c>
      <c r="W4" s="3230"/>
      <c r="X4" s="1812"/>
      <c r="Y4" s="3233" t="s">
        <v>2647</v>
      </c>
      <c r="Z4" s="3234"/>
      <c r="AA4" s="3227" t="s">
        <v>2643</v>
      </c>
      <c r="AB4" s="3230" t="s">
        <v>2644</v>
      </c>
      <c r="AC4" s="3227" t="s">
        <v>2645</v>
      </c>
    </row>
    <row r="5" spans="1:29">
      <c r="A5" s="404"/>
      <c r="B5" s="405"/>
      <c r="C5" s="3239" t="s">
        <v>2538</v>
      </c>
      <c r="D5" s="3240"/>
      <c r="E5" s="3237" t="s">
        <v>2539</v>
      </c>
      <c r="F5" s="3238"/>
      <c r="G5" s="3239" t="s">
        <v>2540</v>
      </c>
      <c r="H5" s="3240"/>
      <c r="I5" s="3239" t="s">
        <v>2541</v>
      </c>
      <c r="J5" s="3240"/>
      <c r="K5" s="610"/>
      <c r="L5" s="1130"/>
      <c r="M5" s="1131"/>
      <c r="N5" s="1131"/>
      <c r="O5" s="1131"/>
      <c r="P5" s="3252"/>
      <c r="Q5" s="3253"/>
      <c r="R5" s="3235"/>
      <c r="S5" s="3236"/>
      <c r="T5" s="3235"/>
      <c r="U5" s="3236"/>
      <c r="V5" s="3230"/>
      <c r="W5" s="3230"/>
      <c r="X5" s="1812"/>
      <c r="Y5" s="3235"/>
      <c r="Z5" s="3236"/>
      <c r="AA5" s="3228"/>
      <c r="AB5" s="3230"/>
      <c r="AC5" s="3228"/>
    </row>
    <row r="6" spans="1:29" ht="15" thickBot="1">
      <c r="A6" s="406"/>
      <c r="B6" s="407"/>
      <c r="C6" s="3241" t="s">
        <v>2542</v>
      </c>
      <c r="D6" s="3242"/>
      <c r="E6" s="3243" t="s">
        <v>2542</v>
      </c>
      <c r="F6" s="3244"/>
      <c r="G6" s="3241" t="s">
        <v>2542</v>
      </c>
      <c r="H6" s="3242"/>
      <c r="I6" s="3241" t="s">
        <v>2542</v>
      </c>
      <c r="J6" s="3242"/>
      <c r="K6" s="610" t="s">
        <v>2543</v>
      </c>
      <c r="L6" s="1130"/>
      <c r="M6" s="1131"/>
      <c r="N6" s="1131"/>
      <c r="O6" s="1131"/>
      <c r="P6" s="3254"/>
      <c r="Q6" s="3255"/>
      <c r="R6" s="3235"/>
      <c r="S6" s="3236"/>
      <c r="T6" s="3256"/>
      <c r="U6" s="3257"/>
      <c r="V6" s="3230"/>
      <c r="W6" s="3230"/>
      <c r="X6" s="1812"/>
      <c r="Y6" s="3256"/>
      <c r="Z6" s="3257"/>
      <c r="AA6" s="3229"/>
      <c r="AB6" s="3230"/>
      <c r="AC6" s="3229"/>
    </row>
    <row r="7" spans="1:29" s="117" customFormat="1" ht="15" thickBot="1">
      <c r="A7" s="408" t="s">
        <v>2544</v>
      </c>
      <c r="B7" s="409"/>
      <c r="C7" s="410">
        <f>'数据-取费表'!B2</f>
        <v>43616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1" t="s">
        <v>2545</v>
      </c>
      <c r="Q7" s="3258"/>
      <c r="R7" s="770" t="s">
        <v>17</v>
      </c>
      <c r="S7" s="771">
        <f t="shared" ref="S7:S15" si="0">F7</f>
        <v>0</v>
      </c>
      <c r="T7" s="770" t="s">
        <v>17</v>
      </c>
      <c r="U7" s="771">
        <f t="shared" ref="U7:U15" si="1">H7</f>
        <v>0</v>
      </c>
      <c r="V7" s="770" t="s">
        <v>17</v>
      </c>
      <c r="W7" s="771">
        <f t="shared" ref="W7:W15" si="2">J7</f>
        <v>0</v>
      </c>
      <c r="X7" s="772"/>
      <c r="Y7" s="3231" t="s">
        <v>2545</v>
      </c>
      <c r="Z7" s="3232"/>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1" t="s">
        <v>2548</v>
      </c>
      <c r="Q8" s="3232"/>
      <c r="R8" s="770" t="s">
        <v>17</v>
      </c>
      <c r="S8" s="771">
        <f t="shared" si="0"/>
        <v>0</v>
      </c>
      <c r="T8" s="770" t="s">
        <v>17</v>
      </c>
      <c r="U8" s="771">
        <f t="shared" si="1"/>
        <v>0</v>
      </c>
      <c r="V8" s="770" t="s">
        <v>17</v>
      </c>
      <c r="W8" s="771">
        <f t="shared" si="2"/>
        <v>0</v>
      </c>
      <c r="X8" s="772"/>
      <c r="Y8" s="3231" t="s">
        <v>2548</v>
      </c>
      <c r="Z8" s="3232"/>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5" t="s">
        <v>2551</v>
      </c>
      <c r="Q9" s="1794" t="str">
        <f t="shared" ref="Q9:Q15" si="6">B9</f>
        <v>用途</v>
      </c>
      <c r="R9" s="770" t="s">
        <v>17</v>
      </c>
      <c r="S9" s="771">
        <f t="shared" si="0"/>
        <v>100</v>
      </c>
      <c r="T9" s="770" t="s">
        <v>17</v>
      </c>
      <c r="U9" s="771">
        <f t="shared" si="1"/>
        <v>100</v>
      </c>
      <c r="V9" s="770" t="s">
        <v>17</v>
      </c>
      <c r="W9" s="771">
        <f t="shared" si="2"/>
        <v>100</v>
      </c>
      <c r="X9" s="772"/>
      <c r="Y9" s="3070"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5"/>
      <c r="Q10" s="1794"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5"/>
      <c r="Q11" s="1794"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5"/>
      <c r="Q12" s="1794">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5"/>
      <c r="Q13" s="1794">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5"/>
      <c r="Q14" s="1794">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69">
      <c r="A15" s="440" t="s">
        <v>2555</v>
      </c>
      <c r="B15" s="69" t="s">
        <v>2649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9" t="s">
        <v>2556</v>
      </c>
      <c r="Q15" s="1809" t="str">
        <f t="shared" si="6"/>
        <v>商业繁华度</v>
      </c>
      <c r="R15" s="774" t="s">
        <v>17</v>
      </c>
      <c r="S15" s="775">
        <f t="shared" si="0"/>
        <v>100</v>
      </c>
      <c r="T15" s="774" t="s">
        <v>17</v>
      </c>
      <c r="U15" s="775">
        <f t="shared" si="1"/>
        <v>100</v>
      </c>
      <c r="V15" s="774" t="s">
        <v>17</v>
      </c>
      <c r="W15" s="775">
        <f t="shared" si="2"/>
        <v>100</v>
      </c>
      <c r="X15" s="1812"/>
      <c r="Y15" s="3261"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0"/>
      <c r="Q16" s="1809"/>
      <c r="R16" s="774"/>
      <c r="S16" s="775"/>
      <c r="T16" s="774"/>
      <c r="U16" s="775"/>
      <c r="V16" s="774"/>
      <c r="W16" s="775"/>
      <c r="X16" s="1812"/>
      <c r="Y16" s="3262"/>
      <c r="Z16" s="1813"/>
      <c r="AA16" s="1810">
        <v>1</v>
      </c>
      <c r="AB16" s="1810">
        <v>1</v>
      </c>
      <c r="AC16" s="1810">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0"/>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60"/>
      <c r="Q18" s="1809"/>
      <c r="R18" s="774"/>
      <c r="S18" s="775"/>
      <c r="T18" s="774"/>
      <c r="U18" s="775"/>
      <c r="V18" s="774"/>
      <c r="W18" s="775"/>
      <c r="X18" s="1812"/>
      <c r="Y18" s="3262"/>
      <c r="Z18" s="1813"/>
      <c r="AA18" s="1810">
        <v>1</v>
      </c>
      <c r="AB18" s="1810">
        <v>1</v>
      </c>
      <c r="AC18" s="1810">
        <v>1</v>
      </c>
    </row>
    <row r="19" spans="1:29" ht="41.4">
      <c r="A19" s="428"/>
      <c r="B19" s="451" t="s">
        <v>2650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0"/>
      <c r="Q19" s="1809" t="str">
        <f>B19</f>
        <v>公共配套设施</v>
      </c>
      <c r="R19" s="774" t="s">
        <v>17</v>
      </c>
      <c r="S19" s="775">
        <f>F19</f>
        <v>100</v>
      </c>
      <c r="T19" s="774" t="s">
        <v>17</v>
      </c>
      <c r="U19" s="775">
        <f>H19</f>
        <v>100</v>
      </c>
      <c r="V19" s="774" t="s">
        <v>17</v>
      </c>
      <c r="W19" s="775">
        <f>J19</f>
        <v>100</v>
      </c>
      <c r="X19" s="1812"/>
      <c r="Y19" s="326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60"/>
      <c r="Q20" s="1809"/>
      <c r="R20" s="774"/>
      <c r="S20" s="775"/>
      <c r="T20" s="774"/>
      <c r="U20" s="775"/>
      <c r="V20" s="774"/>
      <c r="W20" s="775"/>
      <c r="X20" s="1812"/>
      <c r="Y20" s="3262"/>
      <c r="Z20" s="1813"/>
      <c r="AA20" s="1810">
        <v>1</v>
      </c>
      <c r="AB20" s="1810">
        <v>1</v>
      </c>
      <c r="AC20" s="1810">
        <v>1</v>
      </c>
    </row>
    <row r="21" spans="1:29" ht="27.6">
      <c r="A21" s="428"/>
      <c r="B21" s="1384" t="s">
        <v>2651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0"/>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60"/>
      <c r="Q22" s="1809"/>
      <c r="R22" s="774"/>
      <c r="S22" s="775"/>
      <c r="T22" s="774"/>
      <c r="U22" s="775"/>
      <c r="V22" s="774"/>
      <c r="W22" s="775"/>
      <c r="X22" s="1812"/>
      <c r="Y22" s="3262"/>
      <c r="Z22" s="1813"/>
      <c r="AA22" s="1810">
        <v>1</v>
      </c>
      <c r="AB22" s="1810">
        <v>1</v>
      </c>
      <c r="AC22" s="1810">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0"/>
      <c r="Q23" s="1809" t="str">
        <f>B23</f>
        <v>自然及人文环境</v>
      </c>
      <c r="R23" s="774" t="s">
        <v>17</v>
      </c>
      <c r="S23" s="775">
        <f>F23</f>
        <v>100</v>
      </c>
      <c r="T23" s="774" t="s">
        <v>17</v>
      </c>
      <c r="U23" s="775">
        <f>H23</f>
        <v>100</v>
      </c>
      <c r="V23" s="774" t="s">
        <v>17</v>
      </c>
      <c r="W23" s="775">
        <f>J23</f>
        <v>100</v>
      </c>
      <c r="X23" s="1812"/>
      <c r="Y23" s="3262"/>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60"/>
      <c r="Q24" s="1809"/>
      <c r="R24" s="774"/>
      <c r="S24" s="775"/>
      <c r="T24" s="774"/>
      <c r="U24" s="775"/>
      <c r="V24" s="774"/>
      <c r="W24" s="775"/>
      <c r="X24" s="1812"/>
      <c r="Y24" s="3262"/>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0"/>
      <c r="Q25" s="1809" t="str">
        <f t="shared" ref="Q25:Q46" si="11">B25</f>
        <v>临街状况</v>
      </c>
      <c r="R25" s="774" t="s">
        <v>17</v>
      </c>
      <c r="S25" s="775">
        <f>F25</f>
        <v>100</v>
      </c>
      <c r="T25" s="774" t="s">
        <v>17</v>
      </c>
      <c r="U25" s="775">
        <f>H25</f>
        <v>100</v>
      </c>
      <c r="V25" s="774" t="s">
        <v>17</v>
      </c>
      <c r="W25" s="775">
        <f>J25</f>
        <v>100</v>
      </c>
      <c r="X25" s="1812"/>
      <c r="Y25" s="3262"/>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0"/>
      <c r="Q26" s="1809" t="str">
        <f t="shared" si="11"/>
        <v>平面位置/可视性</v>
      </c>
      <c r="R26" s="774" t="s">
        <v>17</v>
      </c>
      <c r="S26" s="775">
        <f>F26</f>
        <v>100</v>
      </c>
      <c r="T26" s="774" t="s">
        <v>17</v>
      </c>
      <c r="U26" s="775">
        <f>H26</f>
        <v>100</v>
      </c>
      <c r="V26" s="774" t="s">
        <v>17</v>
      </c>
      <c r="W26" s="775">
        <f>J26</f>
        <v>100</v>
      </c>
      <c r="X26" s="1812"/>
      <c r="Y26" s="3262"/>
      <c r="Z26" s="1813" t="str">
        <f>Q26</f>
        <v>平面位置/可视性</v>
      </c>
      <c r="AA26" s="1810">
        <f t="shared" si="3"/>
        <v>1</v>
      </c>
      <c r="AB26" s="1810">
        <f t="shared" si="4"/>
        <v>1</v>
      </c>
      <c r="AC26" s="1810">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0"/>
      <c r="Q27" s="1794" t="str">
        <f t="shared" si="11"/>
        <v>人流量</v>
      </c>
      <c r="R27" s="770" t="s">
        <v>17</v>
      </c>
      <c r="S27" s="771">
        <f>F27</f>
        <v>100</v>
      </c>
      <c r="T27" s="770" t="s">
        <v>17</v>
      </c>
      <c r="U27" s="771">
        <f>H27</f>
        <v>100</v>
      </c>
      <c r="V27" s="770" t="s">
        <v>17</v>
      </c>
      <c r="W27" s="771">
        <f>J27</f>
        <v>100</v>
      </c>
      <c r="X27" s="772"/>
      <c r="Y27" s="3262"/>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0"/>
      <c r="Q29" s="1809">
        <f t="shared" si="11"/>
        <v>111</v>
      </c>
      <c r="R29" s="774" t="s">
        <v>17</v>
      </c>
      <c r="S29" s="775">
        <f t="shared" si="12"/>
        <v>100</v>
      </c>
      <c r="T29" s="774" t="s">
        <v>17</v>
      </c>
      <c r="U29" s="775">
        <f t="shared" si="13"/>
        <v>100</v>
      </c>
      <c r="V29" s="774" t="s">
        <v>17</v>
      </c>
      <c r="W29" s="775">
        <f t="shared" si="14"/>
        <v>100</v>
      </c>
      <c r="X29" s="1812"/>
      <c r="Y29" s="326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0"/>
      <c r="Q30" s="1809">
        <f t="shared" si="11"/>
        <v>111</v>
      </c>
      <c r="R30" s="774" t="s">
        <v>17</v>
      </c>
      <c r="S30" s="775">
        <f t="shared" si="12"/>
        <v>100</v>
      </c>
      <c r="T30" s="774" t="s">
        <v>17</v>
      </c>
      <c r="U30" s="775">
        <f t="shared" si="13"/>
        <v>100</v>
      </c>
      <c r="V30" s="774" t="s">
        <v>17</v>
      </c>
      <c r="W30" s="775">
        <f t="shared" si="14"/>
        <v>100</v>
      </c>
      <c r="X30" s="1812"/>
      <c r="Y30" s="3262"/>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0"/>
      <c r="Q31" s="1809">
        <f t="shared" si="11"/>
        <v>111</v>
      </c>
      <c r="R31" s="774" t="s">
        <v>17</v>
      </c>
      <c r="S31" s="775">
        <f t="shared" si="12"/>
        <v>100</v>
      </c>
      <c r="T31" s="774" t="s">
        <v>17</v>
      </c>
      <c r="U31" s="775">
        <f t="shared" si="13"/>
        <v>100</v>
      </c>
      <c r="V31" s="774" t="s">
        <v>17</v>
      </c>
      <c r="W31" s="775">
        <f t="shared" si="14"/>
        <v>100</v>
      </c>
      <c r="X31" s="1812"/>
      <c r="Y31" s="3262"/>
      <c r="Z31" s="1813">
        <f t="shared" si="15"/>
        <v>111</v>
      </c>
      <c r="AA31" s="1810">
        <f t="shared" si="3"/>
        <v>1</v>
      </c>
      <c r="AB31" s="1810">
        <f t="shared" si="4"/>
        <v>1</v>
      </c>
      <c r="AC31" s="1810">
        <f t="shared" si="5"/>
        <v>1</v>
      </c>
    </row>
    <row r="32" spans="1:29" ht="15">
      <c r="A32" s="440" t="s">
        <v>2559</v>
      </c>
      <c r="B32" s="71" t="s">
        <v>2656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63" t="s">
        <v>2561</v>
      </c>
      <c r="Q32" s="1809" t="str">
        <f t="shared" si="11"/>
        <v>商业类型</v>
      </c>
      <c r="R32" s="774" t="s">
        <v>17</v>
      </c>
      <c r="S32" s="775">
        <f t="shared" si="12"/>
        <v>100</v>
      </c>
      <c r="T32" s="774" t="s">
        <v>17</v>
      </c>
      <c r="U32" s="775">
        <f t="shared" si="13"/>
        <v>100</v>
      </c>
      <c r="V32" s="774" t="s">
        <v>17</v>
      </c>
      <c r="W32" s="775">
        <f t="shared" si="14"/>
        <v>100</v>
      </c>
      <c r="X32" s="1812"/>
      <c r="Y32" s="3266"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4"/>
      <c r="Q33" s="776" t="str">
        <f t="shared" si="11"/>
        <v>项目建筑规模</v>
      </c>
      <c r="R33" s="777" t="s">
        <v>17</v>
      </c>
      <c r="S33" s="778" t="e">
        <f t="shared" si="12"/>
        <v>#N/A</v>
      </c>
      <c r="T33" s="777" t="s">
        <v>17</v>
      </c>
      <c r="U33" s="778" t="e">
        <f t="shared" si="13"/>
        <v>#N/A</v>
      </c>
      <c r="V33" s="777" t="s">
        <v>17</v>
      </c>
      <c r="W33" s="778" t="e">
        <f t="shared" si="14"/>
        <v>#N/A</v>
      </c>
      <c r="X33" s="779"/>
      <c r="Y33" s="3266"/>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4"/>
      <c r="Q34" s="1809" t="str">
        <f t="shared" si="11"/>
        <v>建筑结构</v>
      </c>
      <c r="R34" s="774" t="s">
        <v>17</v>
      </c>
      <c r="S34" s="775">
        <f t="shared" si="12"/>
        <v>100</v>
      </c>
      <c r="T34" s="774" t="s">
        <v>17</v>
      </c>
      <c r="U34" s="775">
        <f t="shared" si="13"/>
        <v>100</v>
      </c>
      <c r="V34" s="774" t="s">
        <v>17</v>
      </c>
      <c r="W34" s="775">
        <f t="shared" si="14"/>
        <v>100</v>
      </c>
      <c r="X34" s="1812"/>
      <c r="Y34" s="3266"/>
      <c r="Z34" s="1813" t="str">
        <f t="shared" si="15"/>
        <v>建筑结构</v>
      </c>
      <c r="AA34" s="1810">
        <f t="shared" si="3"/>
        <v>1</v>
      </c>
      <c r="AB34" s="1810">
        <f t="shared" si="4"/>
        <v>1</v>
      </c>
      <c r="AC34" s="1810">
        <f t="shared" si="5"/>
        <v>1</v>
      </c>
    </row>
    <row r="35" spans="1:29" ht="15">
      <c r="A35" s="472"/>
      <c r="B35" s="422" t="s">
        <v>2657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64"/>
      <c r="Q35" s="1809" t="str">
        <f t="shared" si="11"/>
        <v>公共部分装修</v>
      </c>
      <c r="R35" s="774" t="s">
        <v>17</v>
      </c>
      <c r="S35" s="775">
        <f t="shared" si="12"/>
        <v>100</v>
      </c>
      <c r="T35" s="774" t="s">
        <v>17</v>
      </c>
      <c r="U35" s="775">
        <f t="shared" si="13"/>
        <v>100</v>
      </c>
      <c r="V35" s="774" t="s">
        <v>17</v>
      </c>
      <c r="W35" s="775">
        <f t="shared" si="14"/>
        <v>100</v>
      </c>
      <c r="X35" s="1812"/>
      <c r="Y35" s="3266"/>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4"/>
      <c r="Q36" s="1809" t="str">
        <f t="shared" si="11"/>
        <v>成新度</v>
      </c>
      <c r="R36" s="774" t="s">
        <v>17</v>
      </c>
      <c r="S36" s="775" t="e">
        <f t="shared" si="12"/>
        <v>#N/A</v>
      </c>
      <c r="T36" s="774" t="s">
        <v>17</v>
      </c>
      <c r="U36" s="775" t="e">
        <f t="shared" si="13"/>
        <v>#N/A</v>
      </c>
      <c r="V36" s="774" t="s">
        <v>17</v>
      </c>
      <c r="W36" s="775" t="e">
        <f t="shared" si="14"/>
        <v>#N/A</v>
      </c>
      <c r="X36" s="1812"/>
      <c r="Y36" s="3266"/>
      <c r="Z36" s="1813" t="str">
        <f t="shared" si="15"/>
        <v>成新度</v>
      </c>
      <c r="AA36" s="1810" t="e">
        <f t="shared" si="3"/>
        <v>#N/A</v>
      </c>
      <c r="AB36" s="1810" t="e">
        <f t="shared" si="4"/>
        <v>#N/A</v>
      </c>
      <c r="AC36" s="1810" t="e">
        <f t="shared" si="5"/>
        <v>#N/A</v>
      </c>
    </row>
    <row r="37" spans="1:29" s="117" customFormat="1" ht="15">
      <c r="A37" s="473"/>
      <c r="B37" s="422" t="s">
        <v>2659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64"/>
      <c r="Q37" s="1794" t="str">
        <f t="shared" si="11"/>
        <v>市政基础设施</v>
      </c>
      <c r="R37" s="770" t="s">
        <v>17</v>
      </c>
      <c r="S37" s="771">
        <f t="shared" si="12"/>
        <v>100</v>
      </c>
      <c r="T37" s="770" t="s">
        <v>17</v>
      </c>
      <c r="U37" s="771">
        <f t="shared" si="13"/>
        <v>100</v>
      </c>
      <c r="V37" s="770" t="s">
        <v>17</v>
      </c>
      <c r="W37" s="771">
        <f t="shared" si="14"/>
        <v>100</v>
      </c>
      <c r="X37" s="772"/>
      <c r="Y37" s="3266"/>
      <c r="Z37" s="55" t="str">
        <f t="shared" si="15"/>
        <v>市政基础设施</v>
      </c>
      <c r="AA37" s="773">
        <f t="shared" si="3"/>
        <v>1</v>
      </c>
      <c r="AB37" s="773">
        <f t="shared" si="4"/>
        <v>1</v>
      </c>
      <c r="AC37" s="773">
        <f t="shared" si="5"/>
        <v>1</v>
      </c>
    </row>
    <row r="38" spans="1:29" ht="15">
      <c r="A38" s="472"/>
      <c r="B38" s="422" t="s">
        <v>2660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64" t="s">
        <v>2561</v>
      </c>
      <c r="Q38" s="1809" t="str">
        <f t="shared" si="11"/>
        <v>业态</v>
      </c>
      <c r="R38" s="774" t="s">
        <v>17</v>
      </c>
      <c r="S38" s="775">
        <f t="shared" si="12"/>
        <v>100</v>
      </c>
      <c r="T38" s="774" t="s">
        <v>17</v>
      </c>
      <c r="U38" s="775">
        <f t="shared" si="13"/>
        <v>100</v>
      </c>
      <c r="V38" s="774" t="s">
        <v>17</v>
      </c>
      <c r="W38" s="775">
        <f t="shared" si="14"/>
        <v>100</v>
      </c>
      <c r="X38" s="1812"/>
      <c r="Y38" s="3266" t="s">
        <v>2561</v>
      </c>
      <c r="Z38" s="1813" t="str">
        <f t="shared" si="15"/>
        <v>业态</v>
      </c>
      <c r="AA38" s="1810">
        <f t="shared" si="3"/>
        <v>1</v>
      </c>
      <c r="AB38" s="1810">
        <f t="shared" si="4"/>
        <v>1</v>
      </c>
      <c r="AC38" s="1810">
        <f t="shared" si="5"/>
        <v>1</v>
      </c>
    </row>
    <row r="39" spans="1:29" ht="15">
      <c r="A39" s="472"/>
      <c r="B39" s="422" t="s">
        <v>2661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64"/>
      <c r="Q39" s="1809" t="str">
        <f t="shared" si="11"/>
        <v>层高</v>
      </c>
      <c r="R39" s="774" t="s">
        <v>17</v>
      </c>
      <c r="S39" s="775">
        <f t="shared" si="12"/>
        <v>100</v>
      </c>
      <c r="T39" s="774" t="s">
        <v>17</v>
      </c>
      <c r="U39" s="775">
        <f t="shared" si="13"/>
        <v>100</v>
      </c>
      <c r="V39" s="774" t="s">
        <v>17</v>
      </c>
      <c r="W39" s="775">
        <f t="shared" si="14"/>
        <v>100</v>
      </c>
      <c r="X39" s="1812"/>
      <c r="Y39" s="3266"/>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4"/>
      <c r="Q40" s="1809" t="str">
        <f t="shared" si="11"/>
        <v>单套建筑面积</v>
      </c>
      <c r="R40" s="774" t="s">
        <v>17</v>
      </c>
      <c r="S40" s="775">
        <f t="shared" si="12"/>
        <v>100</v>
      </c>
      <c r="T40" s="774" t="s">
        <v>17</v>
      </c>
      <c r="U40" s="775">
        <f t="shared" si="13"/>
        <v>100</v>
      </c>
      <c r="V40" s="774" t="s">
        <v>17</v>
      </c>
      <c r="W40" s="775">
        <f t="shared" si="14"/>
        <v>100</v>
      </c>
      <c r="X40" s="1812"/>
      <c r="Y40" s="3266"/>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4"/>
      <c r="Q41" s="776" t="str">
        <f t="shared" si="11"/>
        <v>进深比</v>
      </c>
      <c r="R41" s="777" t="s">
        <v>17</v>
      </c>
      <c r="S41" s="778">
        <f t="shared" si="12"/>
        <v>100</v>
      </c>
      <c r="T41" s="777" t="s">
        <v>17</v>
      </c>
      <c r="U41" s="778">
        <f t="shared" si="13"/>
        <v>100</v>
      </c>
      <c r="V41" s="777" t="s">
        <v>17</v>
      </c>
      <c r="W41" s="778">
        <f t="shared" si="14"/>
        <v>100</v>
      </c>
      <c r="X41" s="779"/>
      <c r="Y41" s="3266"/>
      <c r="Z41" s="780" t="str">
        <f t="shared" si="15"/>
        <v>进深比</v>
      </c>
      <c r="AA41" s="1810">
        <f t="shared" si="3"/>
        <v>1</v>
      </c>
      <c r="AB41" s="1810">
        <f t="shared" si="4"/>
        <v>1</v>
      </c>
      <c r="AC41" s="1810">
        <f t="shared" si="5"/>
        <v>1</v>
      </c>
    </row>
    <row r="42" spans="1:29" ht="15">
      <c r="A42" s="472"/>
      <c r="B42" s="422" t="s">
        <v>2664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64"/>
      <c r="Q42" s="1809" t="str">
        <f t="shared" si="11"/>
        <v>内部装修</v>
      </c>
      <c r="R42" s="774" t="s">
        <v>17</v>
      </c>
      <c r="S42" s="775">
        <f t="shared" si="12"/>
        <v>100</v>
      </c>
      <c r="T42" s="774" t="s">
        <v>17</v>
      </c>
      <c r="U42" s="775">
        <f t="shared" si="13"/>
        <v>100</v>
      </c>
      <c r="V42" s="774" t="s">
        <v>17</v>
      </c>
      <c r="W42" s="775">
        <f t="shared" si="14"/>
        <v>100</v>
      </c>
      <c r="X42" s="1812"/>
      <c r="Y42" s="3266"/>
      <c r="Z42" s="1813" t="str">
        <f t="shared" si="15"/>
        <v>内部装修</v>
      </c>
      <c r="AA42" s="1810">
        <f t="shared" si="3"/>
        <v>1</v>
      </c>
      <c r="AB42" s="1810">
        <f t="shared" si="4"/>
        <v>1</v>
      </c>
      <c r="AC42" s="1810">
        <f t="shared" si="5"/>
        <v>1</v>
      </c>
    </row>
    <row r="43" spans="1:29" ht="28.8">
      <c r="A43" s="472"/>
      <c r="B43" s="422" t="s">
        <v>2572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64"/>
      <c r="Q43" s="1809" t="str">
        <f t="shared" si="11"/>
        <v>内部装修维护情况</v>
      </c>
      <c r="R43" s="774" t="s">
        <v>17</v>
      </c>
      <c r="S43" s="775">
        <f t="shared" si="12"/>
        <v>100</v>
      </c>
      <c r="T43" s="774" t="s">
        <v>17</v>
      </c>
      <c r="U43" s="775">
        <f t="shared" si="13"/>
        <v>100</v>
      </c>
      <c r="V43" s="774" t="s">
        <v>17</v>
      </c>
      <c r="W43" s="775">
        <f t="shared" si="14"/>
        <v>100</v>
      </c>
      <c r="X43" s="1812"/>
      <c r="Y43" s="326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70" t="s">
        <v>17</v>
      </c>
      <c r="S44" s="771">
        <f t="shared" si="12"/>
        <v>100</v>
      </c>
      <c r="T44" s="770" t="s">
        <v>17</v>
      </c>
      <c r="U44" s="771">
        <f t="shared" si="13"/>
        <v>100</v>
      </c>
      <c r="V44" s="770" t="s">
        <v>17</v>
      </c>
      <c r="W44" s="771">
        <f t="shared" si="14"/>
        <v>100</v>
      </c>
      <c r="X44" s="772"/>
      <c r="Y44" s="326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4" t="s">
        <v>17</v>
      </c>
      <c r="S45" s="775">
        <f t="shared" si="12"/>
        <v>100</v>
      </c>
      <c r="T45" s="774" t="s">
        <v>17</v>
      </c>
      <c r="U45" s="775">
        <f t="shared" si="13"/>
        <v>100</v>
      </c>
      <c r="V45" s="774" t="s">
        <v>17</v>
      </c>
      <c r="W45" s="775">
        <f t="shared" si="14"/>
        <v>100</v>
      </c>
      <c r="X45" s="1812"/>
      <c r="Y45" s="3266"/>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67"/>
      <c r="Z46" s="1813">
        <f t="shared" si="15"/>
        <v>111</v>
      </c>
      <c r="AA46" s="1810">
        <f t="shared" si="3"/>
        <v>1</v>
      </c>
      <c r="AB46" s="1810">
        <f t="shared" si="4"/>
        <v>1</v>
      </c>
      <c r="AC46" s="1810">
        <f t="shared" si="5"/>
        <v>1</v>
      </c>
    </row>
    <row r="47" spans="1:29" ht="14.4">
      <c r="A47" s="479" t="s">
        <v>2573</v>
      </c>
      <c r="B47" s="480"/>
      <c r="C47" s="1407" t="s">
        <v>1</v>
      </c>
      <c r="D47" s="1408"/>
      <c r="E47" s="1409"/>
      <c r="F47" s="1410"/>
      <c r="G47" s="1411"/>
      <c r="H47" s="1412"/>
      <c r="I47" s="1409"/>
      <c r="J47" s="1412"/>
      <c r="K47" s="783"/>
      <c r="L47" s="1143"/>
      <c r="M47" s="1144"/>
      <c r="N47" s="1131"/>
      <c r="O47" s="1144"/>
      <c r="P47" s="3268" t="str">
        <f>A47</f>
        <v>成交单价（元/平方米）</v>
      </c>
      <c r="Q47" s="3268"/>
      <c r="R47" s="3230">
        <f>E47</f>
        <v>0</v>
      </c>
      <c r="S47" s="3230"/>
      <c r="T47" s="3230">
        <f>G47</f>
        <v>0</v>
      </c>
      <c r="U47" s="3230"/>
      <c r="V47" s="3230">
        <f>I47</f>
        <v>0</v>
      </c>
      <c r="W47" s="3230"/>
      <c r="X47" s="759"/>
      <c r="Y47" s="781"/>
      <c r="Z47" s="759"/>
      <c r="AA47" s="759"/>
      <c r="AB47" s="759"/>
      <c r="AC47" s="759"/>
    </row>
    <row r="48" spans="1:29" ht="1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 thickBot="1">
      <c r="A49" s="492" t="s">
        <v>2666</v>
      </c>
      <c r="B49" s="493"/>
      <c r="C49" s="1417" t="e">
        <f>R49</f>
        <v>#DIV/0!</v>
      </c>
      <c r="D49" s="1417"/>
      <c r="E49" s="1417"/>
      <c r="F49" s="1417"/>
      <c r="G49" s="1417"/>
      <c r="H49" s="1417"/>
      <c r="I49" s="1417"/>
      <c r="J49" s="1417"/>
      <c r="K49" s="785"/>
      <c r="L49" s="1143"/>
      <c r="M49" s="1144"/>
      <c r="N49" s="1131"/>
      <c r="O49" s="1144"/>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2544</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2581</v>
      </c>
      <c r="B60" s="516"/>
      <c r="C60" s="517"/>
      <c r="D60" s="518"/>
      <c r="E60" s="518"/>
      <c r="F60" s="518"/>
      <c r="G60" s="518"/>
      <c r="H60" s="518"/>
      <c r="I60" s="518"/>
      <c r="J60" s="518"/>
      <c r="K60" s="518"/>
      <c r="L60" s="518"/>
      <c r="M60" s="519"/>
      <c r="N60" s="518"/>
      <c r="O60" s="519"/>
      <c r="P60" s="2626"/>
      <c r="Q60" s="504"/>
    </row>
    <row r="61" spans="1:29" s="117" customFormat="1" ht="14.4">
      <c r="A61" s="521" t="s">
        <v>2546</v>
      </c>
      <c r="B61" s="510"/>
      <c r="C61" s="522" t="s">
        <v>2648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2584</v>
      </c>
      <c r="B63" s="528" t="s">
        <v>2550</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2651</v>
      </c>
      <c r="C82" s="660" t="s">
        <v>2671</v>
      </c>
      <c r="D82" s="660" t="s">
        <v>2672</v>
      </c>
      <c r="E82" s="660" t="s">
        <v>2673</v>
      </c>
      <c r="F82" s="660" t="s">
        <v>2674</v>
      </c>
      <c r="G82" s="660" t="s">
        <v>2675</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2676</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2559</v>
      </c>
      <c r="B100" s="528" t="s">
        <v>2677</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2610</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2612</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2680</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2616</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70" zoomScaleNormal="70" workbookViewId="0">
      <selection activeCell="G15" sqref="G15"/>
    </sheetView>
  </sheetViews>
  <sheetFormatPr defaultColWidth="9" defaultRowHeight="13.8"/>
  <cols>
    <col min="1" max="1" width="10.44140625" style="403" customWidth="1"/>
    <col min="2" max="2" width="15.77734375" style="403" customWidth="1"/>
    <col min="3" max="3" width="17.77734375" style="403" customWidth="1"/>
    <col min="4" max="4" width="12.21875" style="403" customWidth="1"/>
    <col min="5" max="5" width="15.6640625" style="403" customWidth="1"/>
    <col min="6" max="6" width="12.21875" style="403" customWidth="1"/>
    <col min="7" max="7" width="16.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3" t="s">
        <v>2525</v>
      </c>
      <c r="C1" s="1633" t="s">
        <v>2526</v>
      </c>
      <c r="D1" s="1620" t="s">
        <v>3106</v>
      </c>
      <c r="E1" s="2584"/>
      <c r="F1" s="2585" t="s">
        <v>2527</v>
      </c>
      <c r="G1" s="1630" t="s">
        <v>2528</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44689</v>
      </c>
      <c r="C2" s="2587" t="s">
        <v>70</v>
      </c>
      <c r="D2" s="1365" t="e">
        <f ca="1">SUMIF(INDIRECT("'"&amp;F2&amp;"'"&amp;"!A:A"),"承租人权益价值",INDIRECT("'"&amp;F2&amp;"'"&amp;"!c:c"))</f>
        <v>#REF!</v>
      </c>
      <c r="E2" s="2588" t="s">
        <v>2529</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58949</v>
      </c>
      <c r="C3" s="400" t="s">
        <v>2530</v>
      </c>
      <c r="D3" s="399">
        <f>IF(D1="",'数据-汇总表'!E3,SUMIF('数据-汇总表'!$C19:$C33,D1,'数据-汇总表'!$E19:$E33))</f>
        <v>7580.9700000000012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2531</v>
      </c>
      <c r="B4" s="402"/>
      <c r="C4" s="3246" t="s">
        <v>2532</v>
      </c>
      <c r="D4" s="3247"/>
      <c r="E4" s="3248" t="s">
        <v>2533</v>
      </c>
      <c r="F4" s="3249"/>
      <c r="G4" s="3246" t="s">
        <v>2534</v>
      </c>
      <c r="H4" s="3247"/>
      <c r="I4" s="3246" t="s">
        <v>2535</v>
      </c>
      <c r="J4" s="3247"/>
      <c r="K4" s="2597" t="s">
        <v>2536</v>
      </c>
      <c r="L4" s="1130"/>
      <c r="M4" s="1131"/>
      <c r="N4" s="1131"/>
      <c r="O4" s="1131"/>
      <c r="P4" s="3250" t="s">
        <v>2537</v>
      </c>
      <c r="Q4" s="3251"/>
      <c r="R4" s="3233" t="s">
        <v>2533</v>
      </c>
      <c r="S4" s="3234"/>
      <c r="T4" s="3233" t="s">
        <v>2534</v>
      </c>
      <c r="U4" s="3234"/>
      <c r="V4" s="3230" t="s">
        <v>2535</v>
      </c>
      <c r="W4" s="3230"/>
      <c r="X4" s="1812"/>
      <c r="Y4" s="3233" t="s">
        <v>2537</v>
      </c>
      <c r="Z4" s="3234"/>
      <c r="AA4" s="3227" t="s">
        <v>2533</v>
      </c>
      <c r="AB4" s="3227" t="s">
        <v>2534</v>
      </c>
      <c r="AC4" s="3227" t="s">
        <v>2535</v>
      </c>
    </row>
    <row r="5" spans="1:29" ht="13.8" customHeight="1">
      <c r="A5" s="404"/>
      <c r="B5" s="405"/>
      <c r="C5" s="3274" t="s">
        <v>3539</v>
      </c>
      <c r="D5" s="3240"/>
      <c r="E5" s="3273" t="s">
        <v>3591</v>
      </c>
      <c r="F5" s="3238"/>
      <c r="G5" s="3274" t="s">
        <v>3580</v>
      </c>
      <c r="H5" s="3240"/>
      <c r="I5" s="3274" t="s">
        <v>3581</v>
      </c>
      <c r="J5" s="3240"/>
      <c r="K5" s="2598"/>
      <c r="L5" s="1130"/>
      <c r="M5" s="1131"/>
      <c r="N5" s="1131"/>
      <c r="O5" s="1131"/>
      <c r="P5" s="3252"/>
      <c r="Q5" s="3253"/>
      <c r="R5" s="3235"/>
      <c r="S5" s="3236"/>
      <c r="T5" s="3235"/>
      <c r="U5" s="3236"/>
      <c r="V5" s="3230"/>
      <c r="W5" s="3230"/>
      <c r="X5" s="1812"/>
      <c r="Y5" s="3235"/>
      <c r="Z5" s="3236"/>
      <c r="AA5" s="3228"/>
      <c r="AB5" s="3228"/>
      <c r="AC5" s="3228"/>
    </row>
    <row r="6" spans="1:29" ht="15" thickBot="1">
      <c r="A6" s="406"/>
      <c r="B6" s="407"/>
      <c r="C6" s="3241" t="s">
        <v>2542</v>
      </c>
      <c r="D6" s="3242"/>
      <c r="E6" s="3243" t="s">
        <v>2542</v>
      </c>
      <c r="F6" s="3244"/>
      <c r="G6" s="3275" t="s">
        <v>3582</v>
      </c>
      <c r="H6" s="3242"/>
      <c r="I6" s="3275" t="s">
        <v>3583</v>
      </c>
      <c r="J6" s="3242"/>
      <c r="K6" s="2598" t="s">
        <v>2543</v>
      </c>
      <c r="L6" s="1130"/>
      <c r="M6" s="1131"/>
      <c r="N6" s="1131"/>
      <c r="O6" s="1131"/>
      <c r="P6" s="3254"/>
      <c r="Q6" s="3255"/>
      <c r="R6" s="3235"/>
      <c r="S6" s="3236"/>
      <c r="T6" s="3256"/>
      <c r="U6" s="3257"/>
      <c r="V6" s="3230"/>
      <c r="W6" s="3230"/>
      <c r="X6" s="1812"/>
      <c r="Y6" s="3256"/>
      <c r="Z6" s="3257"/>
      <c r="AA6" s="3229"/>
      <c r="AB6" s="3229"/>
      <c r="AC6" s="3229"/>
    </row>
    <row r="7" spans="1:29" s="117" customFormat="1" ht="15" thickBot="1">
      <c r="A7" s="408" t="s">
        <v>2544</v>
      </c>
      <c r="B7" s="409"/>
      <c r="C7" s="410">
        <f>'数据-取费表'!B2</f>
        <v>43616</v>
      </c>
      <c r="D7" s="411">
        <v>100</v>
      </c>
      <c r="E7" s="412">
        <v>43596</v>
      </c>
      <c r="F7" s="413">
        <f>SUMIF(58:58,YEAR(E7)&amp;"-"&amp;MONTH(E7),59:59)</f>
        <v>100</v>
      </c>
      <c r="G7" s="412">
        <v>43596</v>
      </c>
      <c r="H7" s="411">
        <f>SUMIF(58:58,YEAR(G7)&amp;"-"&amp;MONTH(G7),59:59)</f>
        <v>100</v>
      </c>
      <c r="I7" s="412">
        <v>43596</v>
      </c>
      <c r="J7" s="411">
        <f>SUMIF(58:58,YEAR(I7)&amp;"-"&amp;MONTH(I7),59:59)</f>
        <v>100</v>
      </c>
      <c r="K7" s="2599"/>
      <c r="L7" s="1132"/>
      <c r="M7" s="1133"/>
      <c r="N7" s="1133"/>
      <c r="O7" s="1133"/>
      <c r="P7" s="3231" t="s">
        <v>2545</v>
      </c>
      <c r="Q7" s="3258"/>
      <c r="R7" s="770" t="s">
        <v>23</v>
      </c>
      <c r="S7" s="771">
        <f t="shared" ref="S7:S15" si="0">F7</f>
        <v>100</v>
      </c>
      <c r="T7" s="770" t="s">
        <v>23</v>
      </c>
      <c r="U7" s="771">
        <f t="shared" ref="U7:U15" si="1">H7</f>
        <v>100</v>
      </c>
      <c r="V7" s="770" t="s">
        <v>23</v>
      </c>
      <c r="W7" s="771">
        <f t="shared" ref="W7:W15" si="2">J7</f>
        <v>100</v>
      </c>
      <c r="X7" s="772"/>
      <c r="Y7" s="3231" t="s">
        <v>2545</v>
      </c>
      <c r="Z7" s="3232"/>
      <c r="AA7" s="773">
        <f>D7/F7</f>
        <v>1</v>
      </c>
      <c r="AB7" s="773">
        <f>D7/H7</f>
        <v>1</v>
      </c>
      <c r="AC7" s="773">
        <f>D7/J7</f>
        <v>1</v>
      </c>
    </row>
    <row r="8" spans="1:29" s="117" customFormat="1" ht="1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599"/>
      <c r="L8" s="1132"/>
      <c r="M8" s="1133"/>
      <c r="N8" s="1133"/>
      <c r="O8" s="1133"/>
      <c r="P8" s="3231" t="s">
        <v>2548</v>
      </c>
      <c r="Q8" s="3232"/>
      <c r="R8" s="770" t="s">
        <v>23</v>
      </c>
      <c r="S8" s="771">
        <f t="shared" si="0"/>
        <v>100</v>
      </c>
      <c r="T8" s="770" t="s">
        <v>23</v>
      </c>
      <c r="U8" s="771">
        <f t="shared" si="1"/>
        <v>100</v>
      </c>
      <c r="V8" s="770" t="s">
        <v>23</v>
      </c>
      <c r="W8" s="771">
        <f t="shared" si="2"/>
        <v>100</v>
      </c>
      <c r="X8" s="772"/>
      <c r="Y8" s="3231" t="s">
        <v>2548</v>
      </c>
      <c r="Z8" s="3232"/>
      <c r="AA8" s="773">
        <f t="shared" ref="AA8:AA19" si="3">D8/F8</f>
        <v>1</v>
      </c>
      <c r="AB8" s="773">
        <f t="shared" ref="AB8:AB19" si="4">D8/H8</f>
        <v>1</v>
      </c>
      <c r="AC8" s="773">
        <f t="shared" ref="AC8:AC19" si="5">D8/J8</f>
        <v>1</v>
      </c>
    </row>
    <row r="9" spans="1:29" s="117" customFormat="1" ht="14.4">
      <c r="A9" s="415" t="s">
        <v>2549</v>
      </c>
      <c r="B9" s="71" t="s">
        <v>2550</v>
      </c>
      <c r="C9" s="2975" t="s">
        <v>3584</v>
      </c>
      <c r="D9" s="135">
        <v>100</v>
      </c>
      <c r="E9" s="417" t="s">
        <v>3055</v>
      </c>
      <c r="F9" s="418">
        <f>SUMIF(63:63,E9,64:64)-SUMIF(63:63,C9,64:64)+100</f>
        <v>100</v>
      </c>
      <c r="G9" s="417" t="s">
        <v>3055</v>
      </c>
      <c r="H9" s="135">
        <f>SUMIF(63:63,G9,64:64)-SUMIF(63:63,C9,64:64)+100</f>
        <v>100</v>
      </c>
      <c r="I9" s="417" t="s">
        <v>3055</v>
      </c>
      <c r="J9" s="135">
        <f>SUMIF(63:63,I9,64:64)-SUMIF(63:63,C9,64:64)+100</f>
        <v>100</v>
      </c>
      <c r="K9" s="2599"/>
      <c r="L9" s="1132"/>
      <c r="M9" s="1133"/>
      <c r="N9" s="1133"/>
      <c r="O9" s="1133"/>
      <c r="P9" s="3245" t="s">
        <v>2551</v>
      </c>
      <c r="Q9" s="1794" t="str">
        <f t="shared" ref="Q9:Q15" si="6">B9</f>
        <v>用途</v>
      </c>
      <c r="R9" s="770" t="s">
        <v>17</v>
      </c>
      <c r="S9" s="771">
        <f t="shared" si="0"/>
        <v>100</v>
      </c>
      <c r="T9" s="770" t="s">
        <v>17</v>
      </c>
      <c r="U9" s="771">
        <f t="shared" si="1"/>
        <v>100</v>
      </c>
      <c r="V9" s="770" t="s">
        <v>17</v>
      </c>
      <c r="W9" s="771">
        <f t="shared" si="2"/>
        <v>100</v>
      </c>
      <c r="X9" s="772"/>
      <c r="Y9" s="3070" t="s">
        <v>2552</v>
      </c>
      <c r="Z9" s="55" t="str">
        <f t="shared" ref="Z9:Z15" si="7">Q9</f>
        <v>用途</v>
      </c>
      <c r="AA9" s="773">
        <f t="shared" si="3"/>
        <v>1</v>
      </c>
      <c r="AB9" s="773">
        <f t="shared" si="4"/>
        <v>1</v>
      </c>
      <c r="AC9" s="773">
        <f t="shared" si="5"/>
        <v>1</v>
      </c>
    </row>
    <row r="10" spans="1:29" s="427" customFormat="1" ht="28.8">
      <c r="A10" s="421"/>
      <c r="B10" s="422" t="s">
        <v>2553</v>
      </c>
      <c r="C10" s="423" t="s">
        <v>3585</v>
      </c>
      <c r="D10" s="136">
        <v>100</v>
      </c>
      <c r="E10" s="423" t="s">
        <v>3585</v>
      </c>
      <c r="F10" s="425">
        <f>SUMIF(65:65,E10,66:66)-SUMIF(65:65,C10,66:66)+100</f>
        <v>100</v>
      </c>
      <c r="G10" s="423" t="s">
        <v>3585</v>
      </c>
      <c r="H10" s="136">
        <f>SUMIF(65:65,G10,66:66)-SUMIF(65:65,C10,66:66)+100</f>
        <v>100</v>
      </c>
      <c r="I10" s="423" t="s">
        <v>3585</v>
      </c>
      <c r="J10" s="136">
        <f>SUMIF(65:65,I10,66:66)-SUMIF(65:65,C10,66:66)+100</f>
        <v>100</v>
      </c>
      <c r="K10" s="426">
        <v>1</v>
      </c>
      <c r="L10" s="1135"/>
      <c r="M10" s="1136"/>
      <c r="N10" s="1136"/>
      <c r="O10" s="1136"/>
      <c r="P10" s="3245"/>
      <c r="Q10" s="1794"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2554</v>
      </c>
      <c r="C11" s="429">
        <f>'土地比较法-住宅、综合'!C11</f>
        <v>3.78</v>
      </c>
      <c r="D11" s="136">
        <v>100</v>
      </c>
      <c r="E11" s="430">
        <v>5.5</v>
      </c>
      <c r="F11" s="425">
        <f>LOOKUP(E11,68:68,69:69)-LOOKUP(C11,68:68,69:69)+100</f>
        <v>98</v>
      </c>
      <c r="G11" s="429">
        <v>3</v>
      </c>
      <c r="H11" s="136">
        <f>LOOKUP(G11,68:68,69:69)-LOOKUP(C11,68:68,69:69)+100</f>
        <v>100</v>
      </c>
      <c r="I11" s="429">
        <v>3.5</v>
      </c>
      <c r="J11" s="136">
        <f>LOOKUP(I11,68:68,69:69)-LOOKUP(C11,68:68,69:69)+100</f>
        <v>100</v>
      </c>
      <c r="K11" s="426">
        <v>1</v>
      </c>
      <c r="L11" s="1138"/>
      <c r="M11" s="1131"/>
      <c r="N11" s="1131"/>
      <c r="O11" s="1131"/>
      <c r="P11" s="3245"/>
      <c r="Q11" s="1794" t="str">
        <f t="shared" si="6"/>
        <v>容积率</v>
      </c>
      <c r="R11" s="770" t="s">
        <v>21</v>
      </c>
      <c r="S11" s="771">
        <f t="shared" si="0"/>
        <v>98</v>
      </c>
      <c r="T11" s="770" t="s">
        <v>21</v>
      </c>
      <c r="U11" s="771">
        <f t="shared" si="1"/>
        <v>100</v>
      </c>
      <c r="V11" s="770" t="s">
        <v>21</v>
      </c>
      <c r="W11" s="771">
        <f t="shared" si="2"/>
        <v>100</v>
      </c>
      <c r="X11" s="772"/>
      <c r="Y11" s="3070"/>
      <c r="Z11" s="55" t="str">
        <f t="shared" si="7"/>
        <v>容积率</v>
      </c>
      <c r="AA11" s="773">
        <f t="shared" si="3"/>
        <v>1.0204081632653061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45"/>
      <c r="Q12" s="1794">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45"/>
      <c r="Q13" s="1794">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45"/>
      <c r="Q14" s="1794">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82.8">
      <c r="A15" s="440" t="s">
        <v>2555</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59" t="s">
        <v>2556</v>
      </c>
      <c r="Q15" s="1809" t="str">
        <f t="shared" si="6"/>
        <v>居住社区成熟度</v>
      </c>
      <c r="R15" s="774" t="s">
        <v>21</v>
      </c>
      <c r="S15" s="775">
        <f t="shared" si="0"/>
        <v>100</v>
      </c>
      <c r="T15" s="774" t="s">
        <v>21</v>
      </c>
      <c r="U15" s="775">
        <f t="shared" si="1"/>
        <v>100</v>
      </c>
      <c r="V15" s="774" t="s">
        <v>21</v>
      </c>
      <c r="W15" s="775">
        <f t="shared" si="2"/>
        <v>100</v>
      </c>
      <c r="X15" s="1812"/>
      <c r="Y15" s="3261" t="s">
        <v>2556</v>
      </c>
      <c r="Z15" s="1813" t="str">
        <f t="shared" si="7"/>
        <v>居住社区成熟度</v>
      </c>
      <c r="AA15" s="1810">
        <f t="shared" si="3"/>
        <v>1</v>
      </c>
      <c r="AB15" s="1810">
        <f t="shared" si="4"/>
        <v>1</v>
      </c>
      <c r="AC15" s="1810">
        <f t="shared" si="5"/>
        <v>1</v>
      </c>
    </row>
    <row r="16" spans="1:29" ht="15">
      <c r="A16" s="428"/>
      <c r="B16" s="446"/>
      <c r="C16" s="447" t="s">
        <v>3567</v>
      </c>
      <c r="D16" s="448"/>
      <c r="E16" s="447" t="s">
        <v>3567</v>
      </c>
      <c r="F16" s="448"/>
      <c r="G16" s="447" t="s">
        <v>3567</v>
      </c>
      <c r="H16" s="450"/>
      <c r="I16" s="447" t="s">
        <v>3567</v>
      </c>
      <c r="J16" s="448"/>
      <c r="K16" s="2606"/>
      <c r="L16" s="1140"/>
      <c r="M16" s="1131"/>
      <c r="N16" s="1131"/>
      <c r="O16" s="1131"/>
      <c r="P16" s="3260"/>
      <c r="Q16" s="1809"/>
      <c r="R16" s="774"/>
      <c r="S16" s="775"/>
      <c r="T16" s="774"/>
      <c r="U16" s="775"/>
      <c r="V16" s="774"/>
      <c r="W16" s="775"/>
      <c r="X16" s="1812"/>
      <c r="Y16" s="3262"/>
      <c r="Z16" s="1813"/>
      <c r="AA16" s="1810">
        <v>1</v>
      </c>
      <c r="AB16" s="1810">
        <v>1</v>
      </c>
      <c r="AC16" s="1810">
        <v>1</v>
      </c>
    </row>
    <row r="17" spans="1:29" ht="69">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60"/>
      <c r="Q17" s="1809" t="str">
        <f>B17</f>
        <v>交通便捷度</v>
      </c>
      <c r="R17" s="774" t="s">
        <v>21</v>
      </c>
      <c r="S17" s="775">
        <f>F17</f>
        <v>100</v>
      </c>
      <c r="T17" s="774" t="s">
        <v>21</v>
      </c>
      <c r="U17" s="775">
        <f>H17</f>
        <v>100</v>
      </c>
      <c r="V17" s="774" t="s">
        <v>21</v>
      </c>
      <c r="W17" s="775">
        <f>J17</f>
        <v>100</v>
      </c>
      <c r="X17" s="1812"/>
      <c r="Y17" s="3262"/>
      <c r="Z17" s="1813" t="str">
        <f>Q17</f>
        <v>交通便捷度</v>
      </c>
      <c r="AA17" s="1810">
        <f t="shared" si="3"/>
        <v>1</v>
      </c>
      <c r="AB17" s="1810">
        <f t="shared" si="4"/>
        <v>1</v>
      </c>
      <c r="AC17" s="1810">
        <f t="shared" si="5"/>
        <v>1</v>
      </c>
    </row>
    <row r="18" spans="1:29" ht="15">
      <c r="A18" s="428"/>
      <c r="B18" s="456"/>
      <c r="C18" s="2608" t="s">
        <v>3568</v>
      </c>
      <c r="D18" s="450"/>
      <c r="E18" s="2608" t="s">
        <v>3568</v>
      </c>
      <c r="F18" s="450"/>
      <c r="G18" s="2608" t="s">
        <v>3568</v>
      </c>
      <c r="H18" s="448"/>
      <c r="I18" s="2608" t="s">
        <v>3568</v>
      </c>
      <c r="J18" s="448"/>
      <c r="K18" s="2606"/>
      <c r="L18" s="1140"/>
      <c r="M18" s="1131"/>
      <c r="N18" s="1131"/>
      <c r="O18" s="1131"/>
      <c r="P18" s="3260"/>
      <c r="Q18" s="1809"/>
      <c r="R18" s="774"/>
      <c r="S18" s="775"/>
      <c r="T18" s="774"/>
      <c r="U18" s="775"/>
      <c r="V18" s="774"/>
      <c r="W18" s="775"/>
      <c r="X18" s="1812"/>
      <c r="Y18" s="3262"/>
      <c r="Z18" s="1813"/>
      <c r="AA18" s="1810">
        <v>1</v>
      </c>
      <c r="AB18" s="1810">
        <v>1</v>
      </c>
      <c r="AC18" s="1810">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60"/>
      <c r="Q19" s="1809" t="str">
        <f>B19</f>
        <v>公共配套设施</v>
      </c>
      <c r="R19" s="774" t="s">
        <v>21</v>
      </c>
      <c r="S19" s="775">
        <f>F19</f>
        <v>100</v>
      </c>
      <c r="T19" s="774" t="s">
        <v>21</v>
      </c>
      <c r="U19" s="775">
        <f>H19</f>
        <v>100</v>
      </c>
      <c r="V19" s="774" t="s">
        <v>21</v>
      </c>
      <c r="W19" s="775">
        <f>J19</f>
        <v>100</v>
      </c>
      <c r="X19" s="1812"/>
      <c r="Y19" s="3262"/>
      <c r="Z19" s="1813" t="str">
        <f>Q19</f>
        <v>公共配套设施</v>
      </c>
      <c r="AA19" s="1810">
        <f t="shared" si="3"/>
        <v>1</v>
      </c>
      <c r="AB19" s="1810">
        <f t="shared" si="4"/>
        <v>1</v>
      </c>
      <c r="AC19" s="1810">
        <f t="shared" si="5"/>
        <v>1</v>
      </c>
    </row>
    <row r="20" spans="1:29" ht="15">
      <c r="A20" s="428"/>
      <c r="B20" s="456"/>
      <c r="C20" s="447" t="s">
        <v>3568</v>
      </c>
      <c r="D20" s="448"/>
      <c r="E20" s="447" t="s">
        <v>3568</v>
      </c>
      <c r="F20" s="448"/>
      <c r="G20" s="447" t="s">
        <v>3568</v>
      </c>
      <c r="H20" s="448"/>
      <c r="I20" s="447" t="s">
        <v>3568</v>
      </c>
      <c r="J20" s="448"/>
      <c r="K20" s="2606"/>
      <c r="L20" s="1140"/>
      <c r="M20" s="1131"/>
      <c r="N20" s="1131"/>
      <c r="O20" s="1131"/>
      <c r="P20" s="3260"/>
      <c r="Q20" s="1809"/>
      <c r="R20" s="774"/>
      <c r="S20" s="775"/>
      <c r="T20" s="774"/>
      <c r="U20" s="775"/>
      <c r="V20" s="774"/>
      <c r="W20" s="775"/>
      <c r="X20" s="1812"/>
      <c r="Y20" s="3262"/>
      <c r="Z20" s="1813"/>
      <c r="AA20" s="1810">
        <v>1</v>
      </c>
      <c r="AB20" s="1810">
        <v>1</v>
      </c>
      <c r="AC20" s="1810">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60"/>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4"/>
      <c r="C22" s="2608" t="s">
        <v>3586</v>
      </c>
      <c r="D22" s="448"/>
      <c r="E22" s="2608" t="s">
        <v>3586</v>
      </c>
      <c r="F22" s="448"/>
      <c r="G22" s="2608" t="s">
        <v>3586</v>
      </c>
      <c r="H22" s="448"/>
      <c r="I22" s="2608" t="s">
        <v>3586</v>
      </c>
      <c r="J22" s="448"/>
      <c r="K22" s="2612"/>
      <c r="L22" s="1140"/>
      <c r="M22" s="1131"/>
      <c r="N22" s="1131"/>
      <c r="O22" s="1131"/>
      <c r="P22" s="3260"/>
      <c r="Q22" s="1809"/>
      <c r="R22" s="774"/>
      <c r="S22" s="775"/>
      <c r="T22" s="774"/>
      <c r="U22" s="775"/>
      <c r="V22" s="774"/>
      <c r="W22" s="775"/>
      <c r="X22" s="1812"/>
      <c r="Y22" s="3262"/>
      <c r="Z22" s="1813"/>
      <c r="AA22" s="1810">
        <v>1</v>
      </c>
      <c r="AB22" s="1810">
        <v>1</v>
      </c>
      <c r="AC22" s="1810">
        <v>1</v>
      </c>
    </row>
    <row r="23" spans="1:29" ht="41.4">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60"/>
      <c r="Q23" s="1809" t="str">
        <f>B23</f>
        <v>自然及人文环境</v>
      </c>
      <c r="R23" s="774" t="s">
        <v>21</v>
      </c>
      <c r="S23" s="775">
        <f>F23</f>
        <v>100</v>
      </c>
      <c r="T23" s="774" t="s">
        <v>21</v>
      </c>
      <c r="U23" s="775">
        <f>H23</f>
        <v>100</v>
      </c>
      <c r="V23" s="774" t="s">
        <v>21</v>
      </c>
      <c r="W23" s="775">
        <f>J23</f>
        <v>100</v>
      </c>
      <c r="X23" s="1812"/>
      <c r="Y23" s="3262"/>
      <c r="Z23" s="1813" t="str">
        <f>Q23</f>
        <v>自然及人文环境</v>
      </c>
      <c r="AA23" s="1810">
        <f>D23/F23</f>
        <v>1</v>
      </c>
      <c r="AB23" s="1810">
        <f>D23/H23</f>
        <v>1</v>
      </c>
      <c r="AC23" s="1810">
        <f>D23/J23</f>
        <v>1</v>
      </c>
    </row>
    <row r="24" spans="1:29" ht="15.6" thickBot="1">
      <c r="A24" s="428"/>
      <c r="B24" s="456"/>
      <c r="C24" s="447" t="s">
        <v>3568</v>
      </c>
      <c r="D24" s="448"/>
      <c r="E24" s="447" t="s">
        <v>3568</v>
      </c>
      <c r="F24" s="448"/>
      <c r="G24" s="447" t="s">
        <v>3568</v>
      </c>
      <c r="H24" s="448"/>
      <c r="I24" s="447" t="s">
        <v>3568</v>
      </c>
      <c r="J24" s="448"/>
      <c r="K24" s="2606"/>
      <c r="L24" s="1140"/>
      <c r="M24" s="1131"/>
      <c r="N24" s="1131"/>
      <c r="O24" s="1131"/>
      <c r="P24" s="3260"/>
      <c r="Q24" s="1809"/>
      <c r="R24" s="774"/>
      <c r="S24" s="775"/>
      <c r="T24" s="774"/>
      <c r="U24" s="775"/>
      <c r="V24" s="774"/>
      <c r="W24" s="775"/>
      <c r="X24" s="1812"/>
      <c r="Y24" s="3262"/>
      <c r="Z24" s="1813"/>
      <c r="AA24" s="1810">
        <v>1</v>
      </c>
      <c r="AB24" s="1810">
        <v>1</v>
      </c>
      <c r="AC24" s="1810">
        <v>1</v>
      </c>
    </row>
    <row r="25" spans="1:29" ht="15" hidden="1">
      <c r="A25" s="428"/>
      <c r="B25" s="422" t="s">
        <v>2557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6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2"/>
      <c r="Z25" s="1813" t="str">
        <f>Q25</f>
        <v>楼层-1</v>
      </c>
      <c r="AA25" s="1810">
        <f t="shared" ref="AA25:AA46" si="15">D25/F25</f>
        <v>1</v>
      </c>
      <c r="AB25" s="1810">
        <f t="shared" ref="AB25:AB46" si="16">D25/H25</f>
        <v>1</v>
      </c>
      <c r="AC25" s="1810">
        <f t="shared" ref="AC25:AC46" si="17">D25/J25</f>
        <v>1</v>
      </c>
    </row>
    <row r="26" spans="1:29" ht="15" hidden="1">
      <c r="A26" s="428"/>
      <c r="B26" s="422" t="s">
        <v>2558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60"/>
      <c r="Q26" s="1809" t="str">
        <f t="shared" si="11"/>
        <v>朝向</v>
      </c>
      <c r="R26" s="774" t="s">
        <v>21</v>
      </c>
      <c r="S26" s="775">
        <f t="shared" si="12"/>
        <v>100</v>
      </c>
      <c r="T26" s="774" t="s">
        <v>21</v>
      </c>
      <c r="U26" s="775">
        <f t="shared" si="13"/>
        <v>100</v>
      </c>
      <c r="V26" s="774" t="s">
        <v>21</v>
      </c>
      <c r="W26" s="775">
        <f t="shared" si="14"/>
        <v>100</v>
      </c>
      <c r="X26" s="1812"/>
      <c r="Y26" s="3262"/>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60"/>
      <c r="Q27" s="1794">
        <f t="shared" si="11"/>
        <v>111</v>
      </c>
      <c r="R27" s="770" t="s">
        <v>21</v>
      </c>
      <c r="S27" s="771">
        <f t="shared" si="12"/>
        <v>100</v>
      </c>
      <c r="T27" s="770" t="s">
        <v>21</v>
      </c>
      <c r="U27" s="771">
        <f t="shared" si="13"/>
        <v>100</v>
      </c>
      <c r="V27" s="770" t="s">
        <v>21</v>
      </c>
      <c r="W27" s="771">
        <f t="shared" si="14"/>
        <v>100</v>
      </c>
      <c r="X27" s="772"/>
      <c r="Y27" s="3262"/>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60"/>
      <c r="Q28" s="1809">
        <f t="shared" si="11"/>
        <v>111</v>
      </c>
      <c r="R28" s="774" t="s">
        <v>21</v>
      </c>
      <c r="S28" s="775">
        <f t="shared" si="12"/>
        <v>100</v>
      </c>
      <c r="T28" s="774" t="s">
        <v>21</v>
      </c>
      <c r="U28" s="775">
        <f t="shared" si="13"/>
        <v>100</v>
      </c>
      <c r="V28" s="774" t="s">
        <v>21</v>
      </c>
      <c r="W28" s="775">
        <f t="shared" si="14"/>
        <v>100</v>
      </c>
      <c r="X28" s="1812"/>
      <c r="Y28" s="3262"/>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60"/>
      <c r="Q29" s="1809">
        <f t="shared" si="11"/>
        <v>111</v>
      </c>
      <c r="R29" s="774" t="s">
        <v>21</v>
      </c>
      <c r="S29" s="775">
        <f t="shared" si="12"/>
        <v>100</v>
      </c>
      <c r="T29" s="774" t="s">
        <v>21</v>
      </c>
      <c r="U29" s="775">
        <f t="shared" si="13"/>
        <v>100</v>
      </c>
      <c r="V29" s="774" t="s">
        <v>21</v>
      </c>
      <c r="W29" s="775">
        <f t="shared" si="14"/>
        <v>100</v>
      </c>
      <c r="X29" s="1812"/>
      <c r="Y29" s="3262"/>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60"/>
      <c r="Q30" s="1809">
        <f t="shared" si="11"/>
        <v>111</v>
      </c>
      <c r="R30" s="774" t="s">
        <v>21</v>
      </c>
      <c r="S30" s="775">
        <f t="shared" si="12"/>
        <v>100</v>
      </c>
      <c r="T30" s="774" t="s">
        <v>21</v>
      </c>
      <c r="U30" s="775">
        <f t="shared" si="13"/>
        <v>100</v>
      </c>
      <c r="V30" s="774" t="s">
        <v>21</v>
      </c>
      <c r="W30" s="775">
        <f t="shared" si="14"/>
        <v>100</v>
      </c>
      <c r="X30" s="1812"/>
      <c r="Y30" s="3262"/>
      <c r="Z30" s="1813">
        <f t="shared" si="18"/>
        <v>111</v>
      </c>
      <c r="AA30" s="1810">
        <f t="shared" si="15"/>
        <v>1</v>
      </c>
      <c r="AB30" s="1810">
        <f t="shared" si="16"/>
        <v>1</v>
      </c>
      <c r="AC30" s="1810">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60"/>
      <c r="Q31" s="1809">
        <f t="shared" si="11"/>
        <v>111</v>
      </c>
      <c r="R31" s="774" t="s">
        <v>21</v>
      </c>
      <c r="S31" s="775">
        <f t="shared" si="12"/>
        <v>100</v>
      </c>
      <c r="T31" s="774" t="s">
        <v>21</v>
      </c>
      <c r="U31" s="775">
        <f t="shared" si="13"/>
        <v>100</v>
      </c>
      <c r="V31" s="774" t="s">
        <v>21</v>
      </c>
      <c r="W31" s="775">
        <f t="shared" si="14"/>
        <v>100</v>
      </c>
      <c r="X31" s="1812"/>
      <c r="Y31" s="3262"/>
      <c r="Z31" s="1813">
        <f t="shared" si="18"/>
        <v>111</v>
      </c>
      <c r="AA31" s="1810">
        <f t="shared" si="15"/>
        <v>1</v>
      </c>
      <c r="AB31" s="1810">
        <f t="shared" si="16"/>
        <v>1</v>
      </c>
      <c r="AC31" s="1810">
        <f t="shared" si="17"/>
        <v>1</v>
      </c>
    </row>
    <row r="32" spans="1:29" ht="15">
      <c r="A32" s="440" t="s">
        <v>2559</v>
      </c>
      <c r="B32" s="71" t="s">
        <v>2560</v>
      </c>
      <c r="C32" s="2617" t="s">
        <v>3587</v>
      </c>
      <c r="D32" s="467">
        <v>100</v>
      </c>
      <c r="E32" s="2617" t="s">
        <v>3587</v>
      </c>
      <c r="F32" s="461">
        <f>SUMIF(100:100,E32,101:101)-SUMIF(100:100,C32,101:101)+100</f>
        <v>100</v>
      </c>
      <c r="G32" s="2617" t="s">
        <v>3587</v>
      </c>
      <c r="H32" s="467">
        <f>SUMIF(100:100,G32,101:101)-SUMIF(100:100,C32,101:101)+100</f>
        <v>100</v>
      </c>
      <c r="I32" s="2617" t="s">
        <v>3587</v>
      </c>
      <c r="J32" s="435">
        <f>SUMIF(100:100,I32,101:101)-SUMIF(100:100,C32,101:101)+100</f>
        <v>100</v>
      </c>
      <c r="K32" s="426">
        <v>2</v>
      </c>
      <c r="L32" s="1140"/>
      <c r="M32" s="1131"/>
      <c r="N32" s="1131"/>
      <c r="O32" s="1131"/>
      <c r="P32" s="3263" t="s">
        <v>2561</v>
      </c>
      <c r="Q32" s="1809" t="str">
        <f t="shared" si="11"/>
        <v>建筑类型</v>
      </c>
      <c r="R32" s="774" t="s">
        <v>21</v>
      </c>
      <c r="S32" s="775">
        <f t="shared" si="12"/>
        <v>100</v>
      </c>
      <c r="T32" s="774" t="s">
        <v>21</v>
      </c>
      <c r="U32" s="775">
        <f t="shared" si="13"/>
        <v>100</v>
      </c>
      <c r="V32" s="774" t="s">
        <v>21</v>
      </c>
      <c r="W32" s="775">
        <f t="shared" si="14"/>
        <v>100</v>
      </c>
      <c r="X32" s="1812"/>
      <c r="Y32" s="3266" t="s">
        <v>2561</v>
      </c>
      <c r="Z32" s="1813" t="str">
        <f t="shared" si="18"/>
        <v>建筑类型</v>
      </c>
      <c r="AA32" s="1810">
        <f t="shared" si="15"/>
        <v>1</v>
      </c>
      <c r="AB32" s="1810">
        <f t="shared" si="16"/>
        <v>1</v>
      </c>
      <c r="AC32" s="1810">
        <f t="shared" si="17"/>
        <v>1</v>
      </c>
    </row>
    <row r="33" spans="1:29" s="471" customFormat="1" ht="15">
      <c r="A33" s="468"/>
      <c r="B33" s="422" t="s">
        <v>2562</v>
      </c>
      <c r="C33" s="469">
        <f>'数据-基础表'!G5</f>
        <v>132050.17999999996</v>
      </c>
      <c r="D33" s="136">
        <v>100</v>
      </c>
      <c r="E33" s="430">
        <v>236000</v>
      </c>
      <c r="F33" s="425">
        <f>LOOKUP(E33,103:103,104:104)-LOOKUP(C33,103:103,104:104)+100</f>
        <v>101</v>
      </c>
      <c r="G33" s="429">
        <v>123000</v>
      </c>
      <c r="H33" s="136">
        <f>LOOKUP(G33,103:103,104:104)-LOOKUP(C33,103:103,104:104)+100</f>
        <v>100</v>
      </c>
      <c r="I33" s="430">
        <v>467512</v>
      </c>
      <c r="J33" s="136">
        <f>LOOKUP(I33,103:103,104:104)-LOOKUP(C33,103:103,104:104)+100</f>
        <v>103</v>
      </c>
      <c r="K33" s="2601"/>
      <c r="L33" s="1138"/>
      <c r="M33" s="1141"/>
      <c r="N33" s="1141"/>
      <c r="O33" s="1141"/>
      <c r="P33" s="3264"/>
      <c r="Q33" s="776" t="str">
        <f t="shared" si="11"/>
        <v>项目建筑规模</v>
      </c>
      <c r="R33" s="777" t="s">
        <v>21</v>
      </c>
      <c r="S33" s="778">
        <f t="shared" si="12"/>
        <v>101</v>
      </c>
      <c r="T33" s="777" t="s">
        <v>21</v>
      </c>
      <c r="U33" s="778">
        <f t="shared" si="13"/>
        <v>100</v>
      </c>
      <c r="V33" s="777" t="s">
        <v>21</v>
      </c>
      <c r="W33" s="778">
        <f t="shared" si="14"/>
        <v>103</v>
      </c>
      <c r="X33" s="779"/>
      <c r="Y33" s="3266"/>
      <c r="Z33" s="780" t="str">
        <f t="shared" si="18"/>
        <v>项目建筑规模</v>
      </c>
      <c r="AA33" s="1810">
        <f t="shared" si="15"/>
        <v>0.99009900990099009</v>
      </c>
      <c r="AB33" s="1810">
        <f t="shared" si="16"/>
        <v>1</v>
      </c>
      <c r="AC33" s="1810">
        <f t="shared" si="17"/>
        <v>0.970873786407767</v>
      </c>
    </row>
    <row r="34" spans="1:29" ht="15">
      <c r="A34" s="472"/>
      <c r="B34" s="422" t="s">
        <v>2563</v>
      </c>
      <c r="C34" s="2618" t="s">
        <v>3557</v>
      </c>
      <c r="D34" s="435">
        <v>100</v>
      </c>
      <c r="E34" s="2618" t="s">
        <v>3557</v>
      </c>
      <c r="F34" s="461">
        <f>SUMIF(105:105,E34,106:106)-SUMIF(105:105,C34,106:106)+100</f>
        <v>100</v>
      </c>
      <c r="G34" s="2618" t="s">
        <v>3557</v>
      </c>
      <c r="H34" s="435">
        <f>SUMIF(105:105,G34,106:106)-SUMIF(105:105,C34,106:106)+100</f>
        <v>100</v>
      </c>
      <c r="I34" s="2618" t="s">
        <v>3557</v>
      </c>
      <c r="J34" s="435">
        <f>SUMIF(105:105,I34,106:106)-SUMIF(105:105,C34,106:106)+100</f>
        <v>100</v>
      </c>
      <c r="K34" s="426">
        <v>2</v>
      </c>
      <c r="L34" s="1140"/>
      <c r="M34" s="1131"/>
      <c r="N34" s="1131"/>
      <c r="O34" s="1131"/>
      <c r="P34" s="3264"/>
      <c r="Q34" s="1809" t="str">
        <f t="shared" si="11"/>
        <v>建筑结构</v>
      </c>
      <c r="R34" s="774" t="s">
        <v>21</v>
      </c>
      <c r="S34" s="775">
        <f t="shared" si="12"/>
        <v>100</v>
      </c>
      <c r="T34" s="774" t="s">
        <v>21</v>
      </c>
      <c r="U34" s="775">
        <f t="shared" si="13"/>
        <v>100</v>
      </c>
      <c r="V34" s="774" t="s">
        <v>21</v>
      </c>
      <c r="W34" s="775">
        <f t="shared" si="14"/>
        <v>100</v>
      </c>
      <c r="X34" s="1812"/>
      <c r="Y34" s="3266"/>
      <c r="Z34" s="1813" t="str">
        <f t="shared" si="18"/>
        <v>建筑结构</v>
      </c>
      <c r="AA34" s="1810">
        <f t="shared" si="15"/>
        <v>1</v>
      </c>
      <c r="AB34" s="1810">
        <f t="shared" si="16"/>
        <v>1</v>
      </c>
      <c r="AC34" s="1810">
        <f t="shared" si="17"/>
        <v>1</v>
      </c>
    </row>
    <row r="35" spans="1:29" ht="15">
      <c r="A35" s="472"/>
      <c r="B35" s="422" t="s">
        <v>2564</v>
      </c>
      <c r="C35" s="2613" t="s">
        <v>3567</v>
      </c>
      <c r="D35" s="435">
        <v>100</v>
      </c>
      <c r="E35" s="2613" t="s">
        <v>3567</v>
      </c>
      <c r="F35" s="461">
        <f>SUMIF(107:107,E35,108:108)-SUMIF(107:107,C35,108:108)+100</f>
        <v>100</v>
      </c>
      <c r="G35" s="2613" t="s">
        <v>3567</v>
      </c>
      <c r="H35" s="435">
        <f>SUMIF(107:107,G35,108:108)-SUMIF(107:107,C35,108:108)+100</f>
        <v>100</v>
      </c>
      <c r="I35" s="2613" t="s">
        <v>3567</v>
      </c>
      <c r="J35" s="435">
        <f>SUMIF(107:107,I35,108:108)-SUMIF(107:107,C35,108:108)+100</f>
        <v>100</v>
      </c>
      <c r="K35" s="426">
        <v>2</v>
      </c>
      <c r="L35" s="1140"/>
      <c r="M35" s="1131"/>
      <c r="N35" s="1131"/>
      <c r="O35" s="1131"/>
      <c r="P35" s="3264"/>
      <c r="Q35" s="1809" t="str">
        <f t="shared" si="11"/>
        <v>建筑品质</v>
      </c>
      <c r="R35" s="774" t="s">
        <v>21</v>
      </c>
      <c r="S35" s="775">
        <f t="shared" si="12"/>
        <v>100</v>
      </c>
      <c r="T35" s="774" t="s">
        <v>21</v>
      </c>
      <c r="U35" s="775">
        <f t="shared" si="13"/>
        <v>100</v>
      </c>
      <c r="V35" s="774" t="s">
        <v>21</v>
      </c>
      <c r="W35" s="775">
        <f t="shared" si="14"/>
        <v>100</v>
      </c>
      <c r="X35" s="1812"/>
      <c r="Y35" s="3266"/>
      <c r="Z35" s="1813" t="str">
        <f t="shared" si="18"/>
        <v>建筑品质</v>
      </c>
      <c r="AA35" s="1810">
        <f t="shared" si="15"/>
        <v>1</v>
      </c>
      <c r="AB35" s="1810">
        <f t="shared" si="16"/>
        <v>1</v>
      </c>
      <c r="AC35" s="1810">
        <f t="shared" si="17"/>
        <v>1</v>
      </c>
    </row>
    <row r="36" spans="1:29" ht="15">
      <c r="A36" s="472"/>
      <c r="B36" s="422" t="s">
        <v>2565</v>
      </c>
      <c r="C36" s="2613" t="s">
        <v>3687</v>
      </c>
      <c r="D36" s="435">
        <v>100</v>
      </c>
      <c r="E36" s="2613" t="s">
        <v>3687</v>
      </c>
      <c r="F36" s="461">
        <f>SUMIF(109:109,E36,110:110)-SUMIF(109:109,C36,110:110)+100</f>
        <v>100</v>
      </c>
      <c r="G36" s="2613" t="s">
        <v>3687</v>
      </c>
      <c r="H36" s="435">
        <f>SUMIF(109:109,G36,110:110)-SUMIF(109:109,C36,110:110)+100</f>
        <v>100</v>
      </c>
      <c r="I36" s="2613" t="s">
        <v>3687</v>
      </c>
      <c r="J36" s="435">
        <f>SUMIF(109:109,I36,110:110)-SUMIF(109:109,C36,110:110)+100</f>
        <v>100</v>
      </c>
      <c r="K36" s="426">
        <v>1.5</v>
      </c>
      <c r="L36" s="1140"/>
      <c r="M36" s="1131"/>
      <c r="N36" s="1131"/>
      <c r="O36" s="1131"/>
      <c r="P36" s="3264"/>
      <c r="Q36" s="1809" t="str">
        <f t="shared" si="11"/>
        <v>公共部分装修</v>
      </c>
      <c r="R36" s="774" t="s">
        <v>21</v>
      </c>
      <c r="S36" s="775">
        <f t="shared" si="12"/>
        <v>100</v>
      </c>
      <c r="T36" s="774" t="s">
        <v>21</v>
      </c>
      <c r="U36" s="775">
        <f t="shared" si="13"/>
        <v>100</v>
      </c>
      <c r="V36" s="774" t="s">
        <v>21</v>
      </c>
      <c r="W36" s="775">
        <f t="shared" si="14"/>
        <v>100</v>
      </c>
      <c r="X36" s="1812"/>
      <c r="Y36" s="3266"/>
      <c r="Z36" s="1813" t="str">
        <f t="shared" si="18"/>
        <v>公共部分装修</v>
      </c>
      <c r="AA36" s="1810">
        <f t="shared" si="15"/>
        <v>1</v>
      </c>
      <c r="AB36" s="1810">
        <f t="shared" si="16"/>
        <v>1</v>
      </c>
      <c r="AC36" s="1810">
        <f t="shared" si="17"/>
        <v>1</v>
      </c>
    </row>
    <row r="37" spans="1:29" s="117" customFormat="1" ht="15">
      <c r="A37" s="473"/>
      <c r="B37" s="422" t="s">
        <v>2566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64"/>
      <c r="Q37" s="1794" t="str">
        <f t="shared" si="11"/>
        <v>成新度</v>
      </c>
      <c r="R37" s="770" t="s">
        <v>21</v>
      </c>
      <c r="S37" s="771">
        <f t="shared" si="12"/>
        <v>100</v>
      </c>
      <c r="T37" s="770" t="s">
        <v>21</v>
      </c>
      <c r="U37" s="771">
        <f t="shared" si="13"/>
        <v>100</v>
      </c>
      <c r="V37" s="770" t="s">
        <v>21</v>
      </c>
      <c r="W37" s="771">
        <f t="shared" si="14"/>
        <v>100</v>
      </c>
      <c r="X37" s="772"/>
      <c r="Y37" s="3266"/>
      <c r="Z37" s="55" t="str">
        <f t="shared" si="18"/>
        <v>成新度</v>
      </c>
      <c r="AA37" s="773">
        <f t="shared" si="15"/>
        <v>1</v>
      </c>
      <c r="AB37" s="773">
        <f t="shared" si="16"/>
        <v>1</v>
      </c>
      <c r="AC37" s="773">
        <f t="shared" si="17"/>
        <v>1</v>
      </c>
    </row>
    <row r="38" spans="1:29" ht="15">
      <c r="A38" s="472"/>
      <c r="B38" s="422" t="s">
        <v>2567</v>
      </c>
      <c r="C38" s="2613" t="s">
        <v>3567</v>
      </c>
      <c r="D38" s="435">
        <v>100</v>
      </c>
      <c r="E38" s="2613" t="s">
        <v>3567</v>
      </c>
      <c r="F38" s="461">
        <f>SUMIF(114:114,E38,115:115)-SUMIF(114:114,C38,115:115)+100</f>
        <v>100</v>
      </c>
      <c r="G38" s="2613" t="s">
        <v>3567</v>
      </c>
      <c r="H38" s="435">
        <f>SUMIF(114:114,G38,115:115)-SUMIF(114:114,C38,115:115)+100</f>
        <v>100</v>
      </c>
      <c r="I38" s="2613" t="s">
        <v>3567</v>
      </c>
      <c r="J38" s="435">
        <f>SUMIF(114:114,I38,115:115)-SUMIF(114:114,C38,115:115)+100</f>
        <v>100</v>
      </c>
      <c r="K38" s="426">
        <v>1</v>
      </c>
      <c r="L38" s="1140"/>
      <c r="M38" s="1131"/>
      <c r="N38" s="1131"/>
      <c r="O38" s="1131"/>
      <c r="P38" s="3264" t="s">
        <v>2561</v>
      </c>
      <c r="Q38" s="1809" t="str">
        <f t="shared" si="11"/>
        <v>物业管理</v>
      </c>
      <c r="R38" s="774" t="s">
        <v>21</v>
      </c>
      <c r="S38" s="775">
        <f t="shared" si="12"/>
        <v>100</v>
      </c>
      <c r="T38" s="774" t="s">
        <v>21</v>
      </c>
      <c r="U38" s="775">
        <f t="shared" si="13"/>
        <v>100</v>
      </c>
      <c r="V38" s="774" t="s">
        <v>21</v>
      </c>
      <c r="W38" s="775">
        <f t="shared" si="14"/>
        <v>100</v>
      </c>
      <c r="X38" s="1812"/>
      <c r="Y38" s="3266" t="s">
        <v>2561</v>
      </c>
      <c r="Z38" s="1813" t="str">
        <f t="shared" si="18"/>
        <v>物业管理</v>
      </c>
      <c r="AA38" s="1810">
        <f t="shared" si="15"/>
        <v>1</v>
      </c>
      <c r="AB38" s="1810">
        <f t="shared" si="16"/>
        <v>1</v>
      </c>
      <c r="AC38" s="1810">
        <f t="shared" si="17"/>
        <v>1</v>
      </c>
    </row>
    <row r="39" spans="1:29" ht="15">
      <c r="A39" s="472"/>
      <c r="B39" s="422" t="s">
        <v>2568</v>
      </c>
      <c r="C39" s="2613" t="s">
        <v>3589</v>
      </c>
      <c r="D39" s="435">
        <v>100</v>
      </c>
      <c r="E39" s="2613" t="s">
        <v>3589</v>
      </c>
      <c r="F39" s="461">
        <f>SUMIF(116:116,E39,117:117)-SUMIF(116:116,C39,117:117)+100</f>
        <v>100</v>
      </c>
      <c r="G39" s="2613" t="s">
        <v>3589</v>
      </c>
      <c r="H39" s="435">
        <f>SUMIF(116:116,G39,117:117)-SUMIF(116:116,C39,117:117)+100</f>
        <v>100</v>
      </c>
      <c r="I39" s="2613" t="s">
        <v>3589</v>
      </c>
      <c r="J39" s="435">
        <f>SUMIF(116:116,I39,117:117)-SUMIF(116:116,C39,117:117)+100</f>
        <v>100</v>
      </c>
      <c r="K39" s="426">
        <v>1</v>
      </c>
      <c r="L39" s="1140"/>
      <c r="M39" s="1131"/>
      <c r="N39" s="1131"/>
      <c r="O39" s="1131"/>
      <c r="P39" s="3264"/>
      <c r="Q39" s="1809" t="str">
        <f t="shared" si="11"/>
        <v>市政基础设施</v>
      </c>
      <c r="R39" s="774" t="s">
        <v>21</v>
      </c>
      <c r="S39" s="775">
        <f t="shared" si="12"/>
        <v>100</v>
      </c>
      <c r="T39" s="774" t="s">
        <v>21</v>
      </c>
      <c r="U39" s="775">
        <f t="shared" si="13"/>
        <v>100</v>
      </c>
      <c r="V39" s="774" t="s">
        <v>21</v>
      </c>
      <c r="W39" s="775">
        <f t="shared" si="14"/>
        <v>100</v>
      </c>
      <c r="X39" s="1812"/>
      <c r="Y39" s="3266"/>
      <c r="Z39" s="1813" t="str">
        <f t="shared" si="18"/>
        <v>市政基础设施</v>
      </c>
      <c r="AA39" s="1810">
        <f t="shared" si="15"/>
        <v>1</v>
      </c>
      <c r="AB39" s="1810">
        <f t="shared" si="16"/>
        <v>1</v>
      </c>
      <c r="AC39" s="1810">
        <f t="shared" si="17"/>
        <v>1</v>
      </c>
    </row>
    <row r="40" spans="1:29" ht="15" hidden="1">
      <c r="A40" s="472"/>
      <c r="B40" s="422" t="s">
        <v>2569</v>
      </c>
      <c r="C40" s="2613"/>
      <c r="D40" s="435">
        <v>100</v>
      </c>
      <c r="E40" s="2613"/>
      <c r="F40" s="461">
        <f>SUMIF(118:118,E40,119:119)-SUMIF(118:118,C40,119:119)+100</f>
        <v>100</v>
      </c>
      <c r="G40" s="2613"/>
      <c r="H40" s="435">
        <f>SUMIF(118:118,G40,119:119)-SUMIF(118:118,C40,119:119)+100</f>
        <v>100</v>
      </c>
      <c r="I40" s="2613"/>
      <c r="J40" s="435">
        <f>SUMIF(118:118,I40,119:119)-SUMIF(118:118,C40,119:119)+100</f>
        <v>100</v>
      </c>
      <c r="K40" s="426"/>
      <c r="L40" s="1140"/>
      <c r="M40" s="1131"/>
      <c r="N40" s="1131"/>
      <c r="O40" s="1131"/>
      <c r="P40" s="3264"/>
      <c r="Q40" s="1809" t="str">
        <f t="shared" si="11"/>
        <v>房型</v>
      </c>
      <c r="R40" s="774" t="s">
        <v>21</v>
      </c>
      <c r="S40" s="775">
        <f t="shared" si="12"/>
        <v>100</v>
      </c>
      <c r="T40" s="774" t="s">
        <v>21</v>
      </c>
      <c r="U40" s="775">
        <f t="shared" si="13"/>
        <v>100</v>
      </c>
      <c r="V40" s="774" t="s">
        <v>21</v>
      </c>
      <c r="W40" s="775">
        <f t="shared" si="14"/>
        <v>100</v>
      </c>
      <c r="X40" s="1812"/>
      <c r="Y40" s="3266"/>
      <c r="Z40" s="1813" t="str">
        <f t="shared" si="18"/>
        <v>房型</v>
      </c>
      <c r="AA40" s="1810">
        <f t="shared" si="15"/>
        <v>1</v>
      </c>
      <c r="AB40" s="1810">
        <f t="shared" si="16"/>
        <v>1</v>
      </c>
      <c r="AC40" s="1810">
        <f t="shared" si="17"/>
        <v>1</v>
      </c>
    </row>
    <row r="41" spans="1:29" s="471" customFormat="1" ht="28.8" hidden="1">
      <c r="A41" s="468"/>
      <c r="B41" s="422" t="s">
        <v>2570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8"/>
      <c r="M41" s="1141"/>
      <c r="N41" s="1141"/>
      <c r="O41" s="1141"/>
      <c r="P41" s="3264"/>
      <c r="Q41" s="776" t="str">
        <f t="shared" si="11"/>
        <v>单套/主力户型建筑面积</v>
      </c>
      <c r="R41" s="777" t="s">
        <v>21</v>
      </c>
      <c r="S41" s="778">
        <f t="shared" si="12"/>
        <v>100</v>
      </c>
      <c r="T41" s="777" t="s">
        <v>21</v>
      </c>
      <c r="U41" s="778">
        <f t="shared" si="13"/>
        <v>100</v>
      </c>
      <c r="V41" s="777" t="s">
        <v>21</v>
      </c>
      <c r="W41" s="778">
        <f t="shared" si="14"/>
        <v>100</v>
      </c>
      <c r="X41" s="779"/>
      <c r="Y41" s="3266"/>
      <c r="Z41" s="780" t="str">
        <f t="shared" si="18"/>
        <v>单套/主力户型建筑面积</v>
      </c>
      <c r="AA41" s="1810">
        <f t="shared" si="15"/>
        <v>1</v>
      </c>
      <c r="AB41" s="1810">
        <f t="shared" si="16"/>
        <v>1</v>
      </c>
      <c r="AC41" s="1810">
        <f t="shared" si="17"/>
        <v>1</v>
      </c>
    </row>
    <row r="42" spans="1:29" ht="15">
      <c r="A42" s="472"/>
      <c r="B42" s="422" t="s">
        <v>2571</v>
      </c>
      <c r="C42" s="2613" t="s">
        <v>3590</v>
      </c>
      <c r="D42" s="435">
        <v>100</v>
      </c>
      <c r="E42" s="2613" t="s">
        <v>3588</v>
      </c>
      <c r="F42" s="461">
        <f>SUMIF(122:122,E42,123:123)-SUMIF(122:122,C42,123:123)+100</f>
        <v>101.5</v>
      </c>
      <c r="G42" s="2613" t="s">
        <v>3590</v>
      </c>
      <c r="H42" s="435">
        <f>SUMIF(122:122,G42,123:123)-SUMIF(122:122,C42,123:123)+100</f>
        <v>100</v>
      </c>
      <c r="I42" s="2613" t="s">
        <v>3590</v>
      </c>
      <c r="J42" s="435">
        <f>SUMIF(122:122,I42,123:123)-SUMIF(122:122,C42,123:123)+100</f>
        <v>100</v>
      </c>
      <c r="K42" s="426">
        <v>0.5</v>
      </c>
      <c r="L42" s="1140"/>
      <c r="M42" s="1131"/>
      <c r="N42" s="1131"/>
      <c r="O42" s="1131"/>
      <c r="P42" s="3264"/>
      <c r="Q42" s="1809" t="str">
        <f t="shared" si="11"/>
        <v>内部装修</v>
      </c>
      <c r="R42" s="774" t="s">
        <v>21</v>
      </c>
      <c r="S42" s="775">
        <f t="shared" si="12"/>
        <v>101.5</v>
      </c>
      <c r="T42" s="774" t="s">
        <v>21</v>
      </c>
      <c r="U42" s="775">
        <f t="shared" si="13"/>
        <v>100</v>
      </c>
      <c r="V42" s="774" t="s">
        <v>21</v>
      </c>
      <c r="W42" s="775">
        <f t="shared" si="14"/>
        <v>100</v>
      </c>
      <c r="X42" s="1812"/>
      <c r="Y42" s="3266"/>
      <c r="Z42" s="1813" t="str">
        <f t="shared" si="18"/>
        <v>内部装修</v>
      </c>
      <c r="AA42" s="1810">
        <f t="shared" si="15"/>
        <v>0.98522167487684731</v>
      </c>
      <c r="AB42" s="1810">
        <f t="shared" si="16"/>
        <v>1</v>
      </c>
      <c r="AC42" s="1810">
        <f t="shared" si="17"/>
        <v>1</v>
      </c>
    </row>
    <row r="43" spans="1:29" ht="29.4" thickBot="1">
      <c r="A43" s="472"/>
      <c r="B43" s="422" t="s">
        <v>2572</v>
      </c>
      <c r="C43" s="2613" t="s">
        <v>3567</v>
      </c>
      <c r="D43" s="435">
        <v>100</v>
      </c>
      <c r="E43" s="2613" t="s">
        <v>3567</v>
      </c>
      <c r="F43" s="461">
        <f>SUMIF(124:124,E43,125:125)-SUMIF(124:124,C43,125:125)+100</f>
        <v>100</v>
      </c>
      <c r="G43" s="2613" t="s">
        <v>3567</v>
      </c>
      <c r="H43" s="435">
        <f>SUMIF(124:124,G43,125:125)-SUMIF(124:124,C43,125:125)+100</f>
        <v>100</v>
      </c>
      <c r="I43" s="2613" t="s">
        <v>3567</v>
      </c>
      <c r="J43" s="435">
        <f>SUMIF(124:124,I43,125:125)-SUMIF(124:124,C43,125:125)+100</f>
        <v>100</v>
      </c>
      <c r="K43" s="426">
        <v>2</v>
      </c>
      <c r="L43" s="1140"/>
      <c r="M43" s="1131"/>
      <c r="N43" s="1131"/>
      <c r="O43" s="1131"/>
      <c r="P43" s="3264"/>
      <c r="Q43" s="1809" t="str">
        <f t="shared" si="11"/>
        <v>内部装修维护情况</v>
      </c>
      <c r="R43" s="774" t="s">
        <v>21</v>
      </c>
      <c r="S43" s="775">
        <f t="shared" si="12"/>
        <v>100</v>
      </c>
      <c r="T43" s="774" t="s">
        <v>21</v>
      </c>
      <c r="U43" s="775">
        <f t="shared" si="13"/>
        <v>100</v>
      </c>
      <c r="V43" s="774" t="s">
        <v>21</v>
      </c>
      <c r="W43" s="775">
        <f t="shared" si="14"/>
        <v>100</v>
      </c>
      <c r="X43" s="1812"/>
      <c r="Y43" s="3266"/>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64"/>
      <c r="Q44" s="1794">
        <f t="shared" si="11"/>
        <v>111</v>
      </c>
      <c r="R44" s="770" t="s">
        <v>21</v>
      </c>
      <c r="S44" s="771">
        <f t="shared" si="12"/>
        <v>100</v>
      </c>
      <c r="T44" s="770" t="s">
        <v>21</v>
      </c>
      <c r="U44" s="771">
        <f t="shared" si="13"/>
        <v>100</v>
      </c>
      <c r="V44" s="770" t="s">
        <v>21</v>
      </c>
      <c r="W44" s="771">
        <f t="shared" si="14"/>
        <v>100</v>
      </c>
      <c r="X44" s="772"/>
      <c r="Y44" s="3266"/>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64"/>
      <c r="Q45" s="1809">
        <f t="shared" si="11"/>
        <v>111</v>
      </c>
      <c r="R45" s="774" t="s">
        <v>21</v>
      </c>
      <c r="S45" s="775">
        <f t="shared" si="12"/>
        <v>100</v>
      </c>
      <c r="T45" s="774" t="s">
        <v>21</v>
      </c>
      <c r="U45" s="775">
        <f t="shared" si="13"/>
        <v>100</v>
      </c>
      <c r="V45" s="774" t="s">
        <v>21</v>
      </c>
      <c r="W45" s="775">
        <f t="shared" si="14"/>
        <v>100</v>
      </c>
      <c r="X45" s="1812"/>
      <c r="Y45" s="3266"/>
      <c r="Z45" s="1813">
        <f t="shared" si="18"/>
        <v>111</v>
      </c>
      <c r="AA45" s="1810">
        <f t="shared" si="15"/>
        <v>1</v>
      </c>
      <c r="AB45" s="1810">
        <f t="shared" si="16"/>
        <v>1</v>
      </c>
      <c r="AC45" s="1810">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65"/>
      <c r="Q46" s="1809">
        <f t="shared" si="11"/>
        <v>111</v>
      </c>
      <c r="R46" s="774" t="s">
        <v>20</v>
      </c>
      <c r="S46" s="775">
        <f t="shared" si="12"/>
        <v>100</v>
      </c>
      <c r="T46" s="774" t="s">
        <v>20</v>
      </c>
      <c r="U46" s="775">
        <f t="shared" si="13"/>
        <v>100</v>
      </c>
      <c r="V46" s="774" t="s">
        <v>20</v>
      </c>
      <c r="W46" s="775">
        <f t="shared" si="14"/>
        <v>100</v>
      </c>
      <c r="X46" s="1812"/>
      <c r="Y46" s="3267"/>
      <c r="Z46" s="1813">
        <f t="shared" si="18"/>
        <v>111</v>
      </c>
      <c r="AA46" s="1810">
        <f t="shared" si="15"/>
        <v>1</v>
      </c>
      <c r="AB46" s="1810">
        <f t="shared" si="16"/>
        <v>1</v>
      </c>
      <c r="AC46" s="1810">
        <f t="shared" si="17"/>
        <v>1</v>
      </c>
    </row>
    <row r="47" spans="1:29" ht="14.4">
      <c r="A47" s="479" t="s">
        <v>2573</v>
      </c>
      <c r="B47" s="480"/>
      <c r="C47" s="1407" t="s">
        <v>19</v>
      </c>
      <c r="D47" s="1408"/>
      <c r="E47" s="1409">
        <v>60800</v>
      </c>
      <c r="F47" s="1410"/>
      <c r="G47" s="1411">
        <v>59000</v>
      </c>
      <c r="H47" s="1412"/>
      <c r="I47" s="1409">
        <v>59048</v>
      </c>
      <c r="J47" s="1412"/>
      <c r="K47" s="2619"/>
      <c r="L47" s="1143"/>
      <c r="M47" s="1144"/>
      <c r="N47" s="1131"/>
      <c r="O47" s="1144"/>
      <c r="P47" s="3268" t="str">
        <f>A47</f>
        <v>成交单价（元/平方米）</v>
      </c>
      <c r="Q47" s="3268"/>
      <c r="R47" s="3269">
        <f>E47</f>
        <v>60800</v>
      </c>
      <c r="S47" s="3269"/>
      <c r="T47" s="3269">
        <f>G47</f>
        <v>59000</v>
      </c>
      <c r="U47" s="3269"/>
      <c r="V47" s="3269">
        <f>I47</f>
        <v>59048</v>
      </c>
      <c r="W47" s="3269"/>
      <c r="X47" s="759"/>
      <c r="Y47" s="781"/>
      <c r="Z47" s="759"/>
      <c r="AA47" s="759"/>
      <c r="AB47" s="759"/>
      <c r="AC47" s="759"/>
    </row>
    <row r="48" spans="1:29" ht="15" thickBot="1">
      <c r="A48" s="486" t="s">
        <v>2574</v>
      </c>
      <c r="B48" s="487"/>
      <c r="C48" s="1413">
        <f>R49</f>
        <v>58949</v>
      </c>
      <c r="D48" s="1414"/>
      <c r="E48" s="1415">
        <f>R48</f>
        <v>60519</v>
      </c>
      <c r="F48" s="1415"/>
      <c r="G48" s="1413">
        <f>T48</f>
        <v>59000</v>
      </c>
      <c r="H48" s="1414"/>
      <c r="I48" s="1415">
        <f>V48</f>
        <v>57328</v>
      </c>
      <c r="J48" s="1414"/>
      <c r="K48" s="2620"/>
      <c r="L48" s="1143"/>
      <c r="M48" s="1144"/>
      <c r="N48" s="1144"/>
      <c r="O48" s="1144"/>
      <c r="P48" s="3268" t="str">
        <f>A48</f>
        <v>比较价值（元/平方米）</v>
      </c>
      <c r="Q48" s="3268"/>
      <c r="R48" s="3269">
        <f>IF(F1="售价",ROUND(PRODUCT(R47,AA7:AA46),0),ROUND(PRODUCT(R47,AA7:AA46),1))</f>
        <v>60519</v>
      </c>
      <c r="S48" s="3269"/>
      <c r="T48" s="3269">
        <f>IF(F1="售价",ROUND(PRODUCT(T47,AB7:AB46),0),ROUND(PRODUCT(T47,AB7:AB46),1))</f>
        <v>59000</v>
      </c>
      <c r="U48" s="3269"/>
      <c r="V48" s="3269">
        <f>IF(F1="售价",ROUND(PRODUCT(V47,AC7:AC46),0),ROUND(PRODUCT(V47,AC7:AC46),1))</f>
        <v>57328</v>
      </c>
      <c r="W48" s="3269"/>
      <c r="X48" s="759"/>
      <c r="Y48" s="759"/>
      <c r="Z48" s="759"/>
      <c r="AA48" s="759"/>
      <c r="AB48" s="759"/>
      <c r="AC48" s="759"/>
    </row>
    <row r="49" spans="1:29" ht="15" thickBot="1">
      <c r="A49" s="492" t="s">
        <v>2575</v>
      </c>
      <c r="B49" s="493"/>
      <c r="C49" s="1416">
        <f>R49</f>
        <v>58949</v>
      </c>
      <c r="D49" s="1417"/>
      <c r="E49" s="1417"/>
      <c r="F49" s="1417"/>
      <c r="G49" s="1417"/>
      <c r="H49" s="1417"/>
      <c r="I49" s="1417"/>
      <c r="J49" s="1417"/>
      <c r="K49" s="2621"/>
      <c r="L49" s="1143"/>
      <c r="M49" s="1144"/>
      <c r="N49" s="1144"/>
      <c r="O49" s="1144"/>
      <c r="P49" s="3270" t="str">
        <f>A49</f>
        <v>估价对象XX用房的比较价值（楼面单价，元/平方米）</v>
      </c>
      <c r="Q49" s="3271"/>
      <c r="R49" s="3272">
        <f>IF(F1="售价",ROUND(AVERAGE(R48:V48),0),ROUND(AVERAGE(R48:V48),1))</f>
        <v>58949</v>
      </c>
      <c r="S49" s="3272"/>
      <c r="T49" s="3272"/>
      <c r="U49" s="3272"/>
      <c r="V49" s="3272"/>
      <c r="W49" s="32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f>IF(E47&lt;E48,E48/E47-1,E47/E48-1)</f>
        <v>4.6431699135809357E-3</v>
      </c>
      <c r="F52" s="500" t="str">
        <f>IF(OR(E52&gt;=0.3,E52&lt;=-0.3),"超过30%","")</f>
        <v/>
      </c>
      <c r="G52" s="499">
        <f>IF(G47&lt;G48,G48/G47-1,G47/G48-1)</f>
        <v>0</v>
      </c>
      <c r="H52" s="500" t="str">
        <f>IF(OR(G52&gt;=0.3,G52&lt;=-0.3),"超过30%","")</f>
        <v/>
      </c>
      <c r="I52" s="499">
        <f>IF(I47&lt;I48,I48/I47-1,I47/I48-1)</f>
        <v>3.0002790957298409E-2</v>
      </c>
      <c r="J52" s="500" t="str">
        <f>IF(OR(I52&gt;=0.3,I52&lt;=-0.3),"超过30%","")</f>
        <v/>
      </c>
      <c r="K52" s="1105"/>
      <c r="L52" s="1106"/>
      <c r="M52" s="1144"/>
      <c r="N52" s="1144"/>
      <c r="O52" s="1144"/>
    </row>
    <row r="53" spans="1:29" ht="13.5" customHeight="1">
      <c r="A53" s="1144"/>
      <c r="B53" s="1144"/>
      <c r="C53" s="497" t="s">
        <v>2577</v>
      </c>
      <c r="D53" s="501"/>
      <c r="E53" s="499">
        <f>IF(E48&lt;G48,G48/E48-1,E48/G48-1)</f>
        <v>2.5745762711864462E-2</v>
      </c>
      <c r="F53" s="500" t="str">
        <f>IF(OR(E53&gt;=0.2,E53&lt;=-0.2),"超过20%","")</f>
        <v/>
      </c>
      <c r="G53" s="499">
        <f>IF(G48&lt;I48,I48/G48-1,G48/I48-1)</f>
        <v>2.9165503767792256E-2</v>
      </c>
      <c r="H53" s="500" t="str">
        <f>IF(OR(G53&gt;=0.2,G53&lt;=-0.2),"超过20%","")</f>
        <v/>
      </c>
      <c r="I53" s="499">
        <f>IF(I48&lt;E48,E48/I48-1,I48/E48-1)</f>
        <v>5.5662154619034343E-2</v>
      </c>
      <c r="J53" s="500" t="str">
        <f>IF(OR(I53&gt;=0.2,I53&lt;=-0.2),"超过20%","")</f>
        <v/>
      </c>
      <c r="K53" s="1105"/>
      <c r="L53" s="1106"/>
      <c r="M53" s="1144"/>
      <c r="N53" s="1144"/>
      <c r="O53" s="1144"/>
    </row>
    <row r="54" spans="1:29" s="502" customFormat="1" ht="13.5" customHeight="1">
      <c r="A54" s="1145"/>
      <c r="B54" s="1145"/>
      <c r="C54" s="497" t="s">
        <v>2578</v>
      </c>
      <c r="D54" s="501"/>
      <c r="E54" s="499">
        <f>IF(E47&lt;G47,G47/E47-1,E47/G47-1)</f>
        <v>3.050847457627115E-2</v>
      </c>
      <c r="F54" s="500" t="str">
        <f>IF(OR(E54&gt;=0.3,E54&lt;=-0.3),"超过30%","")</f>
        <v/>
      </c>
      <c r="G54" s="499">
        <f>IF(G47&lt;I47,I47/G47-1,G47/I47-1)</f>
        <v>8.135593220339743E-4</v>
      </c>
      <c r="H54" s="500" t="str">
        <f>IF(OR(G54&gt;=0.3,G54&lt;=-0.3),"超过30%","")</f>
        <v/>
      </c>
      <c r="I54" s="499">
        <f>IF(I47&lt;E47,E47/I47-1,I47/E47-1)</f>
        <v>2.967077631757209E-2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2579</v>
      </c>
      <c r="B57" s="759"/>
      <c r="C57" s="764"/>
      <c r="D57" s="764"/>
      <c r="E57" s="764"/>
      <c r="F57" s="765"/>
      <c r="G57" s="765"/>
      <c r="H57" s="764"/>
      <c r="I57" s="764"/>
      <c r="J57" s="764"/>
      <c r="K57" s="1160"/>
      <c r="L57" s="1161"/>
      <c r="M57" s="1159"/>
      <c r="N57" s="1159"/>
      <c r="O57" s="1159"/>
      <c r="P57" s="2624"/>
      <c r="Q57" s="504"/>
    </row>
    <row r="58" spans="1:29" s="508" customFormat="1" ht="14.4">
      <c r="A58" s="505" t="s">
        <v>2580</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c r="A59" s="509"/>
      <c r="B59" s="2625"/>
      <c r="C59" s="1572">
        <v>100</v>
      </c>
      <c r="D59" s="511">
        <v>100</v>
      </c>
      <c r="E59" s="512">
        <v>100</v>
      </c>
      <c r="F59" s="512"/>
      <c r="G59" s="512"/>
      <c r="H59" s="512"/>
      <c r="I59" s="512"/>
      <c r="J59" s="512"/>
      <c r="K59" s="512"/>
      <c r="L59" s="512"/>
      <c r="M59" s="513"/>
      <c r="N59" s="512"/>
      <c r="O59" s="513"/>
      <c r="P59" s="2626"/>
    </row>
    <row r="60" spans="1:29" s="117" customFormat="1" ht="15" thickBot="1">
      <c r="A60" s="515" t="s">
        <v>2581</v>
      </c>
      <c r="B60" s="516"/>
      <c r="C60" s="517"/>
      <c r="D60" s="518"/>
      <c r="E60" s="518"/>
      <c r="F60" s="518"/>
      <c r="G60" s="518"/>
      <c r="H60" s="518"/>
      <c r="I60" s="518"/>
      <c r="J60" s="518"/>
      <c r="K60" s="518"/>
      <c r="L60" s="518"/>
      <c r="M60" s="519"/>
      <c r="N60" s="518"/>
      <c r="O60" s="519"/>
      <c r="P60" s="2626"/>
      <c r="Q60" s="504"/>
    </row>
    <row r="61" spans="1:29" s="117" customFormat="1" ht="14.4">
      <c r="A61" s="521" t="s">
        <v>2582</v>
      </c>
      <c r="B61" s="510"/>
      <c r="C61" s="522" t="s">
        <v>2583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2584</v>
      </c>
      <c r="B63" s="528" t="s">
        <v>2550</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8"/>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 thickTop="1">
      <c r="A67" s="534"/>
      <c r="B67" s="546" t="s">
        <v>2554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v>0</v>
      </c>
      <c r="D68" s="549">
        <v>1</v>
      </c>
      <c r="E68" s="549">
        <v>2</v>
      </c>
      <c r="F68" s="549">
        <v>3</v>
      </c>
      <c r="G68" s="549">
        <v>4</v>
      </c>
      <c r="H68" s="549">
        <v>5</v>
      </c>
      <c r="I68" s="549">
        <v>6</v>
      </c>
      <c r="J68" s="549"/>
      <c r="K68" s="550"/>
      <c r="L68" s="551"/>
      <c r="M68" s="552"/>
      <c r="N68" s="1152"/>
      <c r="O68" s="1152"/>
      <c r="P68" s="2628"/>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2097</v>
      </c>
      <c r="C82" s="539" t="s">
        <v>2600</v>
      </c>
      <c r="D82" s="539" t="s">
        <v>2601</v>
      </c>
      <c r="E82" s="539" t="s">
        <v>2602</v>
      </c>
      <c r="F82" s="539" t="s">
        <v>2603</v>
      </c>
      <c r="G82" s="539" t="s">
        <v>2604</v>
      </c>
      <c r="H82" s="539"/>
      <c r="I82" s="539"/>
      <c r="J82" s="539"/>
      <c r="K82" s="539"/>
      <c r="L82" s="539"/>
      <c r="M82" s="1382"/>
      <c r="N82" s="1153"/>
      <c r="O82" s="1153"/>
      <c r="P82" s="2628"/>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2606</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2607</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2559</v>
      </c>
      <c r="B100" s="528" t="s">
        <v>2608</v>
      </c>
      <c r="C100" s="2972" t="s">
        <v>3562</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28.2" thickTop="1">
      <c r="A102" s="534"/>
      <c r="B102" s="538" t="s">
        <v>2609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f>D103+100000</f>
        <v>200000</v>
      </c>
      <c r="F103" s="595">
        <f t="shared" ref="F103:I103" si="28">E103+100000</f>
        <v>300000</v>
      </c>
      <c r="G103" s="595">
        <f t="shared" si="28"/>
        <v>400000</v>
      </c>
      <c r="H103" s="595">
        <f t="shared" si="28"/>
        <v>500000</v>
      </c>
      <c r="I103" s="595">
        <f t="shared" si="28"/>
        <v>600000</v>
      </c>
      <c r="J103" s="596"/>
      <c r="K103" s="596"/>
      <c r="L103" s="597"/>
      <c r="M103" s="598"/>
      <c r="N103" s="1154"/>
      <c r="O103" s="1154"/>
      <c r="P103" s="2629"/>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29"/>
      <c r="Q104" s="559"/>
    </row>
    <row r="105" spans="1:17" ht="15" thickTop="1">
      <c r="A105" s="599"/>
      <c r="B105" s="538" t="s">
        <v>2610</v>
      </c>
      <c r="C105" s="2973" t="s">
        <v>3563</v>
      </c>
      <c r="D105" s="2973" t="s">
        <v>3564</v>
      </c>
      <c r="E105" s="2974" t="s">
        <v>3565</v>
      </c>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2611</v>
      </c>
      <c r="C107" s="583" t="s">
        <v>3566</v>
      </c>
      <c r="D107" s="583" t="s">
        <v>3567</v>
      </c>
      <c r="E107" s="583" t="s">
        <v>3568</v>
      </c>
      <c r="F107" s="583" t="s">
        <v>3569</v>
      </c>
      <c r="G107" s="583" t="s">
        <v>3570</v>
      </c>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2612</v>
      </c>
      <c r="C109" s="2973" t="s">
        <v>3571</v>
      </c>
      <c r="D109" s="2973" t="s">
        <v>3572</v>
      </c>
      <c r="E109" s="2973" t="s">
        <v>3573</v>
      </c>
      <c r="F109" s="2974" t="s">
        <v>3574</v>
      </c>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98.5</v>
      </c>
      <c r="E110" s="544">
        <f t="shared" si="32"/>
        <v>97</v>
      </c>
      <c r="F110" s="544">
        <f t="shared" si="32"/>
        <v>95.5</v>
      </c>
      <c r="G110" s="544">
        <f t="shared" si="32"/>
        <v>94</v>
      </c>
      <c r="H110" s="544">
        <f t="shared" si="32"/>
        <v>92.5</v>
      </c>
      <c r="I110" s="544">
        <f t="shared" si="32"/>
        <v>91</v>
      </c>
      <c r="J110" s="544">
        <f t="shared" si="32"/>
        <v>89.5</v>
      </c>
      <c r="K110" s="544">
        <f t="shared" si="32"/>
        <v>88</v>
      </c>
      <c r="L110" s="544">
        <f t="shared" si="32"/>
        <v>86.5</v>
      </c>
      <c r="M110" s="544">
        <f t="shared" si="32"/>
        <v>85</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2613</v>
      </c>
      <c r="C114" s="583" t="s">
        <v>3566</v>
      </c>
      <c r="D114" s="583" t="s">
        <v>3567</v>
      </c>
      <c r="E114" s="583" t="s">
        <v>3568</v>
      </c>
      <c r="F114" s="583" t="s">
        <v>3569</v>
      </c>
      <c r="G114" s="583" t="s">
        <v>3570</v>
      </c>
      <c r="H114" s="583"/>
      <c r="I114" s="583"/>
      <c r="J114" s="583"/>
      <c r="K114" s="584"/>
      <c r="L114" s="585"/>
      <c r="M114" s="586"/>
      <c r="N114" s="1152"/>
      <c r="O114" s="1152"/>
      <c r="P114" s="2628"/>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8"/>
      <c r="Q115" s="504"/>
    </row>
    <row r="116" spans="1:17" ht="15" thickTop="1">
      <c r="A116" s="599"/>
      <c r="B116" s="538" t="s">
        <v>2614</v>
      </c>
      <c r="C116" s="2973" t="s">
        <v>3575</v>
      </c>
      <c r="D116" s="2973" t="s">
        <v>3576</v>
      </c>
      <c r="E116" s="2973" t="s">
        <v>3577</v>
      </c>
      <c r="F116" s="2973" t="s">
        <v>3578</v>
      </c>
      <c r="G116" s="2973" t="s">
        <v>3579</v>
      </c>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2615</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2570</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2616</v>
      </c>
      <c r="C122" s="2973" t="s">
        <v>3571</v>
      </c>
      <c r="D122" s="2973" t="s">
        <v>3572</v>
      </c>
      <c r="E122" s="2973" t="s">
        <v>3573</v>
      </c>
      <c r="F122" s="2974" t="s">
        <v>3574</v>
      </c>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99.5</v>
      </c>
      <c r="E123" s="544">
        <f t="shared" si="35"/>
        <v>99</v>
      </c>
      <c r="F123" s="544">
        <f t="shared" si="35"/>
        <v>98.5</v>
      </c>
      <c r="G123" s="544">
        <f t="shared" si="35"/>
        <v>98</v>
      </c>
      <c r="H123" s="544">
        <f t="shared" si="35"/>
        <v>97.5</v>
      </c>
      <c r="I123" s="544">
        <f t="shared" si="35"/>
        <v>97</v>
      </c>
      <c r="J123" s="544">
        <f t="shared" si="35"/>
        <v>96.5</v>
      </c>
      <c r="K123" s="544">
        <f t="shared" si="35"/>
        <v>96</v>
      </c>
      <c r="L123" s="544">
        <f t="shared" si="35"/>
        <v>95.5</v>
      </c>
      <c r="M123" s="544">
        <f t="shared" si="35"/>
        <v>95</v>
      </c>
      <c r="N123" s="1153"/>
      <c r="O123" s="1153"/>
      <c r="P123" s="2628"/>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4">
        <v>6</v>
      </c>
      <c r="C139" s="1085">
        <v>96</v>
      </c>
      <c r="D139" s="2646" t="s">
        <v>2627</v>
      </c>
      <c r="E139" s="1086">
        <v>100</v>
      </c>
      <c r="F139" s="1087">
        <v>102.5</v>
      </c>
      <c r="G139" s="2646" t="s">
        <v>2627</v>
      </c>
      <c r="H139" s="1088">
        <v>105</v>
      </c>
      <c r="I139" s="2647" t="s">
        <v>2628</v>
      </c>
      <c r="J139" s="1085">
        <v>20</v>
      </c>
      <c r="K139" s="1089">
        <f>C145/(J139-2)</f>
        <v>4.0555555555555553E-3</v>
      </c>
    </row>
    <row r="140" spans="1:17" ht="15">
      <c r="B140" s="1090">
        <v>5</v>
      </c>
      <c r="C140" s="1091">
        <v>100</v>
      </c>
      <c r="D140" s="1091"/>
      <c r="E140" s="1092"/>
      <c r="F140" s="1093">
        <v>102</v>
      </c>
      <c r="G140" s="1091"/>
      <c r="H140" s="1094"/>
      <c r="I140" s="2648" t="s">
        <v>2629</v>
      </c>
      <c r="J140" s="315">
        <f>ROUNDUP((J139-1)/2,0)</f>
        <v>10</v>
      </c>
      <c r="K140" s="1095">
        <v>100</v>
      </c>
    </row>
    <row r="141" spans="1:17" ht="15">
      <c r="B141" s="1090">
        <v>4</v>
      </c>
      <c r="C141" s="1091">
        <v>102</v>
      </c>
      <c r="D141" s="1091"/>
      <c r="E141" s="1092"/>
      <c r="F141" s="1093">
        <v>101.5</v>
      </c>
      <c r="G141" s="1091"/>
      <c r="H141" s="1094"/>
      <c r="I141" s="2648" t="s">
        <v>2630</v>
      </c>
      <c r="J141" s="315">
        <v>1</v>
      </c>
      <c r="K141" s="1096">
        <f>ROUND(100+(J141-J140)*K139*100,1)</f>
        <v>96.4</v>
      </c>
    </row>
    <row r="142" spans="1:17" ht="15">
      <c r="B142" s="1090">
        <v>3</v>
      </c>
      <c r="C142" s="1091">
        <v>103</v>
      </c>
      <c r="D142" s="1091"/>
      <c r="E142" s="1092"/>
      <c r="F142" s="1093">
        <v>101</v>
      </c>
      <c r="G142" s="1091"/>
      <c r="H142" s="1094"/>
      <c r="I142" s="2648" t="s">
        <v>2631</v>
      </c>
      <c r="J142" s="315">
        <f>J139</f>
        <v>20</v>
      </c>
      <c r="K142" s="1097">
        <v>95</v>
      </c>
    </row>
    <row r="143" spans="1:17" ht="15">
      <c r="B143" s="1090">
        <v>2</v>
      </c>
      <c r="C143" s="1091">
        <v>100</v>
      </c>
      <c r="D143" s="1091"/>
      <c r="E143" s="1092"/>
      <c r="F143" s="1093">
        <v>100.5</v>
      </c>
      <c r="G143" s="1091"/>
      <c r="H143" s="1094"/>
      <c r="I143" s="2648" t="s">
        <v>2632</v>
      </c>
      <c r="J143" s="1091">
        <v>15</v>
      </c>
      <c r="K143" s="1096">
        <f>ROUND(100+(J143-J140)*K139*100,1)</f>
        <v>102</v>
      </c>
    </row>
    <row r="144" spans="1:17" ht="15">
      <c r="B144" s="1090">
        <v>1</v>
      </c>
      <c r="C144" s="1091">
        <v>98</v>
      </c>
      <c r="D144" s="2649" t="s">
        <v>2633</v>
      </c>
      <c r="E144" s="1092">
        <v>102</v>
      </c>
      <c r="F144" s="1098">
        <v>100</v>
      </c>
      <c r="G144" s="2649" t="s">
        <v>2633</v>
      </c>
      <c r="H144" s="1094">
        <v>105</v>
      </c>
      <c r="I144" s="2648" t="s">
        <v>2632</v>
      </c>
      <c r="J144" s="1091">
        <v>18</v>
      </c>
      <c r="K144" s="1096">
        <f>ROUND(100+(J144-J140)*K139*100,1)</f>
        <v>103.2</v>
      </c>
    </row>
    <row r="145" spans="2:11" ht="16.2" thickBot="1">
      <c r="B145" s="2650" t="s">
        <v>2634</v>
      </c>
      <c r="C145" s="1099">
        <f>ROUND(MAX(C139:C144)/MIN(C139:C144)-1,3)</f>
        <v>7.2999999999999995E-2</v>
      </c>
      <c r="D145" s="1100"/>
      <c r="E145" s="1100"/>
      <c r="F145" s="2651" t="s">
        <v>2635</v>
      </c>
      <c r="G145" s="2652"/>
      <c r="H145" s="2653"/>
      <c r="I145" s="2654" t="s">
        <v>2632</v>
      </c>
      <c r="J145" s="1101">
        <v>8</v>
      </c>
      <c r="K145" s="1102">
        <f>ROUND(100+(J145-J140)*K139*100,1)</f>
        <v>99.2</v>
      </c>
    </row>
    <row r="147" spans="2:11" ht="14.4">
      <c r="B147" s="2635" t="s">
        <v>2636</v>
      </c>
    </row>
    <row r="148" spans="2:11" ht="14.4">
      <c r="B148" s="263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55" zoomScaleNormal="55" workbookViewId="0">
      <selection activeCell="O36" sqref="O3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7"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67" t="s">
        <v>2682</v>
      </c>
      <c r="C1" s="1619" t="s">
        <v>2526</v>
      </c>
      <c r="D1" s="1620" t="s">
        <v>3560</v>
      </c>
      <c r="E1" s="1629"/>
      <c r="F1" s="2585" t="s">
        <v>3592</v>
      </c>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f>IF(C2="——",ROUND(C50*D3/10000,0),ROUND(C50*D3/10000,0)-D2)</f>
        <v>78542</v>
      </c>
      <c r="C2" s="2587" t="s">
        <v>70</v>
      </c>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35103</v>
      </c>
      <c r="C3" s="400" t="s">
        <v>2640</v>
      </c>
      <c r="D3" s="399">
        <f>IF(D1="",'数据-汇总表'!E3,SUMIF('数据-汇总表'!$C19:$C33,D1,'数据-汇总表'!$E19:$E33))</f>
        <v>22374.86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2641</v>
      </c>
      <c r="B4" s="402"/>
      <c r="C4" s="3246" t="s">
        <v>2642</v>
      </c>
      <c r="D4" s="3247"/>
      <c r="E4" s="3248" t="s">
        <v>2643</v>
      </c>
      <c r="F4" s="3249"/>
      <c r="G4" s="3246" t="s">
        <v>2644</v>
      </c>
      <c r="H4" s="3247"/>
      <c r="I4" s="3246" t="s">
        <v>2645</v>
      </c>
      <c r="J4" s="3247"/>
      <c r="K4" s="610" t="s">
        <v>2646</v>
      </c>
      <c r="L4" s="1130"/>
      <c r="M4" s="1131"/>
      <c r="N4" s="1131"/>
      <c r="O4" s="1131"/>
      <c r="P4" s="3283" t="s">
        <v>2647</v>
      </c>
      <c r="Q4" s="3284"/>
      <c r="R4" s="3277" t="s">
        <v>2643</v>
      </c>
      <c r="S4" s="3278"/>
      <c r="T4" s="3277" t="s">
        <v>2644</v>
      </c>
      <c r="U4" s="3278"/>
      <c r="V4" s="3287" t="s">
        <v>2645</v>
      </c>
      <c r="W4" s="3287"/>
      <c r="X4" s="2668"/>
      <c r="Y4" s="3277" t="s">
        <v>2647</v>
      </c>
      <c r="Z4" s="3278"/>
      <c r="AA4" s="3276" t="s">
        <v>2643</v>
      </c>
      <c r="AB4" s="3276" t="s">
        <v>2644</v>
      </c>
      <c r="AC4" s="3280" t="s">
        <v>2645</v>
      </c>
    </row>
    <row r="5" spans="1:29">
      <c r="A5" s="404"/>
      <c r="B5" s="405"/>
      <c r="C5" s="3239" t="str">
        <f>'土地比较法-住宅、综合'!C5:D5</f>
        <v>东方蓝海中心</v>
      </c>
      <c r="D5" s="3240"/>
      <c r="E5" s="3273" t="s">
        <v>3689</v>
      </c>
      <c r="F5" s="3238"/>
      <c r="G5" s="3274" t="s">
        <v>3712</v>
      </c>
      <c r="H5" s="3240"/>
      <c r="I5" s="3274" t="s">
        <v>3705</v>
      </c>
      <c r="J5" s="3240"/>
      <c r="K5" s="610"/>
      <c r="L5" s="1130"/>
      <c r="M5" s="1131"/>
      <c r="N5" s="1131"/>
      <c r="O5" s="1131"/>
      <c r="P5" s="3285"/>
      <c r="Q5" s="3253"/>
      <c r="R5" s="3235"/>
      <c r="S5" s="3236"/>
      <c r="T5" s="3235"/>
      <c r="U5" s="3236"/>
      <c r="V5" s="3230"/>
      <c r="W5" s="3230"/>
      <c r="X5" s="1812"/>
      <c r="Y5" s="3235"/>
      <c r="Z5" s="3236"/>
      <c r="AA5" s="3228"/>
      <c r="AB5" s="3228"/>
      <c r="AC5" s="3281"/>
    </row>
    <row r="6" spans="1:29" ht="15" thickBot="1">
      <c r="A6" s="406"/>
      <c r="B6" s="407"/>
      <c r="C6" s="3275" t="s">
        <v>3596</v>
      </c>
      <c r="D6" s="3242"/>
      <c r="E6" s="3279" t="s">
        <v>3597</v>
      </c>
      <c r="F6" s="3244"/>
      <c r="G6" s="3275" t="s">
        <v>3713</v>
      </c>
      <c r="H6" s="3242"/>
      <c r="I6" s="3275" t="s">
        <v>3596</v>
      </c>
      <c r="J6" s="3242"/>
      <c r="K6" s="610" t="s">
        <v>2543</v>
      </c>
      <c r="L6" s="1130"/>
      <c r="M6" s="1131"/>
      <c r="N6" s="1131"/>
      <c r="O6" s="1131"/>
      <c r="P6" s="3286"/>
      <c r="Q6" s="3255"/>
      <c r="R6" s="3235"/>
      <c r="S6" s="3236"/>
      <c r="T6" s="3256"/>
      <c r="U6" s="3257"/>
      <c r="V6" s="3230"/>
      <c r="W6" s="3230"/>
      <c r="X6" s="1812"/>
      <c r="Y6" s="3256"/>
      <c r="Z6" s="3257"/>
      <c r="AA6" s="3229"/>
      <c r="AB6" s="3229"/>
      <c r="AC6" s="3282"/>
    </row>
    <row r="7" spans="1:29" s="117" customFormat="1" ht="15" thickBot="1">
      <c r="A7" s="408" t="s">
        <v>2544</v>
      </c>
      <c r="B7" s="409"/>
      <c r="C7" s="410">
        <f>'数据-取费表'!B2</f>
        <v>43616</v>
      </c>
      <c r="D7" s="411">
        <v>100</v>
      </c>
      <c r="E7" s="412">
        <v>43497</v>
      </c>
      <c r="F7" s="413">
        <f>SUMIF(59:59,YEAR(E7)&amp;"-"&amp;MONTH(E7),60:60)</f>
        <v>99</v>
      </c>
      <c r="G7" s="412">
        <v>43556</v>
      </c>
      <c r="H7" s="411">
        <f>SUMIF(59:59,YEAR(G7)&amp;"-"&amp;MONTH(G7),60:60)</f>
        <v>100</v>
      </c>
      <c r="I7" s="412">
        <v>43586</v>
      </c>
      <c r="J7" s="411">
        <f>SUMIF(59:59,YEAR(I7)&amp;"-"&amp;MONTH(I7),60:60)</f>
        <v>100</v>
      </c>
      <c r="K7" s="611"/>
      <c r="L7" s="1132"/>
      <c r="M7" s="1133"/>
      <c r="N7" s="1133"/>
      <c r="O7" s="1133"/>
      <c r="P7" s="3288" t="s">
        <v>2545</v>
      </c>
      <c r="Q7" s="3258"/>
      <c r="R7" s="770" t="s">
        <v>17</v>
      </c>
      <c r="S7" s="771">
        <f t="shared" ref="S7:S15" si="0">F7</f>
        <v>99</v>
      </c>
      <c r="T7" s="770" t="s">
        <v>17</v>
      </c>
      <c r="U7" s="771">
        <f t="shared" ref="U7:U15" si="1">H7</f>
        <v>100</v>
      </c>
      <c r="V7" s="770" t="s">
        <v>17</v>
      </c>
      <c r="W7" s="771">
        <f t="shared" ref="W7:W15" si="2">J7</f>
        <v>100</v>
      </c>
      <c r="X7" s="772"/>
      <c r="Y7" s="3231" t="s">
        <v>2545</v>
      </c>
      <c r="Z7" s="3232"/>
      <c r="AA7" s="773">
        <f>D7/F7</f>
        <v>1.0101010101010102</v>
      </c>
      <c r="AB7" s="773">
        <f>D7/H7</f>
        <v>1</v>
      </c>
      <c r="AC7" s="2669">
        <f>D7/J7</f>
        <v>1</v>
      </c>
    </row>
    <row r="8" spans="1:29" s="117" customFormat="1" ht="1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2"/>
      <c r="M8" s="1133"/>
      <c r="N8" s="1133"/>
      <c r="O8" s="1133"/>
      <c r="P8" s="3288" t="s">
        <v>2548</v>
      </c>
      <c r="Q8" s="3232"/>
      <c r="R8" s="770" t="s">
        <v>17</v>
      </c>
      <c r="S8" s="771">
        <f t="shared" si="0"/>
        <v>100</v>
      </c>
      <c r="T8" s="770" t="s">
        <v>17</v>
      </c>
      <c r="U8" s="771">
        <f t="shared" si="1"/>
        <v>100</v>
      </c>
      <c r="V8" s="770" t="s">
        <v>17</v>
      </c>
      <c r="W8" s="771">
        <f t="shared" si="2"/>
        <v>100</v>
      </c>
      <c r="X8" s="772"/>
      <c r="Y8" s="3231" t="s">
        <v>2548</v>
      </c>
      <c r="Z8" s="3232"/>
      <c r="AA8" s="773">
        <f t="shared" ref="AA8:AA47" si="3">D8/F8</f>
        <v>1</v>
      </c>
      <c r="AB8" s="773">
        <f t="shared" ref="AB8:AB47" si="4">D8/H8</f>
        <v>1</v>
      </c>
      <c r="AC8" s="2669">
        <f t="shared" ref="AC8:AC47" si="5">D8/J8</f>
        <v>1</v>
      </c>
    </row>
    <row r="9" spans="1:29" s="117" customFormat="1" ht="14.4">
      <c r="A9" s="415" t="s">
        <v>2549</v>
      </c>
      <c r="B9" s="71" t="s">
        <v>2550</v>
      </c>
      <c r="C9" s="2975" t="s">
        <v>3622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45" t="s">
        <v>2551</v>
      </c>
      <c r="Q9" s="1794" t="str">
        <f t="shared" ref="Q9:Q15" si="6">B9</f>
        <v>用途</v>
      </c>
      <c r="R9" s="770" t="s">
        <v>17</v>
      </c>
      <c r="S9" s="771">
        <f t="shared" si="0"/>
        <v>100</v>
      </c>
      <c r="T9" s="770" t="s">
        <v>17</v>
      </c>
      <c r="U9" s="771">
        <f t="shared" si="1"/>
        <v>100</v>
      </c>
      <c r="V9" s="770" t="s">
        <v>17</v>
      </c>
      <c r="W9" s="771">
        <f t="shared" si="2"/>
        <v>100</v>
      </c>
      <c r="X9" s="772"/>
      <c r="Y9" s="3070" t="s">
        <v>2552</v>
      </c>
      <c r="Z9" s="55" t="str">
        <f t="shared" ref="Z9:Z15" si="7">Q9</f>
        <v>用途</v>
      </c>
      <c r="AA9" s="773">
        <f t="shared" si="3"/>
        <v>1</v>
      </c>
      <c r="AB9" s="773">
        <f t="shared" si="4"/>
        <v>1</v>
      </c>
      <c r="AC9" s="2669">
        <f t="shared" si="5"/>
        <v>1</v>
      </c>
    </row>
    <row r="10" spans="1:29" s="427" customFormat="1" ht="28.8">
      <c r="A10" s="421"/>
      <c r="B10" s="422" t="s">
        <v>2553</v>
      </c>
      <c r="C10" s="423" t="s">
        <v>3623</v>
      </c>
      <c r="D10" s="136">
        <v>100</v>
      </c>
      <c r="E10" s="423" t="s">
        <v>3623</v>
      </c>
      <c r="F10" s="136">
        <f>SUMIF(66:66,E10,67:67)-SUMIF(66:66,C10,67:67)+100</f>
        <v>100</v>
      </c>
      <c r="G10" s="423" t="s">
        <v>3623</v>
      </c>
      <c r="H10" s="136">
        <f>SUMIF(66:66,G10,67:67)-SUMIF(66:66,C10,67:67)+100</f>
        <v>100</v>
      </c>
      <c r="I10" s="423" t="s">
        <v>3623</v>
      </c>
      <c r="J10" s="136">
        <f>SUMIF(66:66,I10,67:67)-SUMIF(66:66,C10,67:67)+100</f>
        <v>100</v>
      </c>
      <c r="K10" s="612">
        <f>'比较法-住宅'!K10</f>
        <v>1</v>
      </c>
      <c r="L10" s="1135"/>
      <c r="M10" s="1136"/>
      <c r="N10" s="1136"/>
      <c r="O10" s="1136"/>
      <c r="P10" s="3245"/>
      <c r="Q10" s="1794"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2669">
        <f t="shared" si="5"/>
        <v>1</v>
      </c>
    </row>
    <row r="11" spans="1:29" ht="15.6" thickBot="1">
      <c r="A11" s="428"/>
      <c r="B11" s="422" t="s">
        <v>2554</v>
      </c>
      <c r="C11" s="429">
        <f>'比较法-住宅'!C11</f>
        <v>3.78</v>
      </c>
      <c r="D11" s="136">
        <v>100</v>
      </c>
      <c r="E11" s="429">
        <v>2.94</v>
      </c>
      <c r="F11" s="136">
        <f>LOOKUP(E11,69:69,70:70)-LOOKUP(C11,69:69,70:70)+100</f>
        <v>100.5</v>
      </c>
      <c r="G11" s="430">
        <v>3</v>
      </c>
      <c r="H11" s="136">
        <f>LOOKUP(G11,69:69,70:70)-LOOKUP(C11,69:69,70:70)+100</f>
        <v>100</v>
      </c>
      <c r="I11" s="429">
        <v>3</v>
      </c>
      <c r="J11" s="136">
        <f>LOOKUP(I11,69:69,70:70)-LOOKUP(C11,69:69,70:70)+100</f>
        <v>100</v>
      </c>
      <c r="K11" s="612">
        <v>0.5</v>
      </c>
      <c r="L11" s="1138"/>
      <c r="M11" s="1131"/>
      <c r="N11" s="1131"/>
      <c r="O11" s="1131"/>
      <c r="P11" s="3245"/>
      <c r="Q11" s="1794" t="str">
        <f t="shared" si="6"/>
        <v>容积率</v>
      </c>
      <c r="R11" s="770" t="s">
        <v>17</v>
      </c>
      <c r="S11" s="771">
        <f t="shared" si="0"/>
        <v>100.5</v>
      </c>
      <c r="T11" s="770" t="s">
        <v>17</v>
      </c>
      <c r="U11" s="771">
        <f t="shared" si="1"/>
        <v>100</v>
      </c>
      <c r="V11" s="770" t="s">
        <v>17</v>
      </c>
      <c r="W11" s="771">
        <f t="shared" si="2"/>
        <v>100</v>
      </c>
      <c r="X11" s="772"/>
      <c r="Y11" s="3070"/>
      <c r="Z11" s="55" t="str">
        <f t="shared" si="7"/>
        <v>容积率</v>
      </c>
      <c r="AA11" s="773">
        <f t="shared" si="3"/>
        <v>0.99502487562189057</v>
      </c>
      <c r="AB11" s="773">
        <f t="shared" si="4"/>
        <v>1</v>
      </c>
      <c r="AC11" s="2669">
        <f t="shared" si="5"/>
        <v>1</v>
      </c>
    </row>
    <row r="12" spans="1:29" s="117" customFormat="1" ht="15" hidden="1">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45"/>
      <c r="Q12" s="1794">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2669">
        <f>D12/J12</f>
        <v>1</v>
      </c>
    </row>
    <row r="13" spans="1:29" ht="15" hidden="1">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45"/>
      <c r="Q13" s="1794">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2669">
        <f t="shared" si="5"/>
        <v>1</v>
      </c>
    </row>
    <row r="14" spans="1:29" ht="15.6" hidden="1"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45"/>
      <c r="Q14" s="1794">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2669">
        <f t="shared" si="5"/>
        <v>1</v>
      </c>
    </row>
    <row r="15" spans="1:29" ht="69">
      <c r="A15" s="440" t="s">
        <v>2555</v>
      </c>
      <c r="B15" s="629" t="s">
        <v>2683</v>
      </c>
      <c r="C15" s="2671"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100</v>
      </c>
      <c r="I15" s="442"/>
      <c r="J15" s="441">
        <f>SUMIF(77:77,I16,78:78)-SUMIF(77:77,C16,78:78)+100</f>
        <v>100</v>
      </c>
      <c r="K15" s="614">
        <v>2</v>
      </c>
      <c r="L15" s="1140"/>
      <c r="M15" s="1131"/>
      <c r="N15" s="1131"/>
      <c r="O15" s="1131"/>
      <c r="P15" s="3259" t="s">
        <v>2556</v>
      </c>
      <c r="Q15" s="1809" t="str">
        <f t="shared" si="6"/>
        <v>办公集聚程度</v>
      </c>
      <c r="R15" s="774" t="s">
        <v>17</v>
      </c>
      <c r="S15" s="775">
        <f t="shared" si="0"/>
        <v>102</v>
      </c>
      <c r="T15" s="774" t="s">
        <v>17</v>
      </c>
      <c r="U15" s="775">
        <f t="shared" si="1"/>
        <v>100</v>
      </c>
      <c r="V15" s="774" t="s">
        <v>17</v>
      </c>
      <c r="W15" s="775">
        <f t="shared" si="2"/>
        <v>100</v>
      </c>
      <c r="X15" s="1812"/>
      <c r="Y15" s="3261" t="s">
        <v>2556</v>
      </c>
      <c r="Z15" s="1813" t="str">
        <f t="shared" si="7"/>
        <v>办公集聚程度</v>
      </c>
      <c r="AA15" s="1810">
        <f t="shared" si="3"/>
        <v>0.98039215686274506</v>
      </c>
      <c r="AB15" s="1810">
        <f t="shared" si="4"/>
        <v>1</v>
      </c>
      <c r="AC15" s="2672">
        <f t="shared" si="5"/>
        <v>1</v>
      </c>
    </row>
    <row r="16" spans="1:29" ht="15">
      <c r="A16" s="428"/>
      <c r="B16" s="630"/>
      <c r="C16" s="2611" t="s">
        <v>3568</v>
      </c>
      <c r="D16" s="448"/>
      <c r="E16" s="447" t="s">
        <v>3567</v>
      </c>
      <c r="F16" s="448"/>
      <c r="G16" s="447" t="s">
        <v>3568</v>
      </c>
      <c r="H16" s="450"/>
      <c r="I16" s="447" t="s">
        <v>3568</v>
      </c>
      <c r="J16" s="448"/>
      <c r="K16" s="615"/>
      <c r="L16" s="1140"/>
      <c r="M16" s="1131"/>
      <c r="N16" s="1131"/>
      <c r="O16" s="1131"/>
      <c r="P16" s="3260"/>
      <c r="Q16" s="1809"/>
      <c r="R16" s="774"/>
      <c r="S16" s="775"/>
      <c r="T16" s="774"/>
      <c r="U16" s="775"/>
      <c r="V16" s="774"/>
      <c r="W16" s="775"/>
      <c r="X16" s="1812"/>
      <c r="Y16" s="3262"/>
      <c r="Z16" s="1813"/>
      <c r="AA16" s="1810">
        <v>1</v>
      </c>
      <c r="AB16" s="1810">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100</v>
      </c>
      <c r="K17" s="614">
        <v>2</v>
      </c>
      <c r="L17" s="1140"/>
      <c r="M17" s="1131"/>
      <c r="N17" s="1131"/>
      <c r="O17" s="1131"/>
      <c r="P17" s="3260"/>
      <c r="Q17" s="1809" t="str">
        <f>B17</f>
        <v>交通便捷度</v>
      </c>
      <c r="R17" s="774" t="s">
        <v>17</v>
      </c>
      <c r="S17" s="775">
        <f>F17</f>
        <v>102</v>
      </c>
      <c r="T17" s="774" t="s">
        <v>17</v>
      </c>
      <c r="U17" s="775">
        <f>H17</f>
        <v>102</v>
      </c>
      <c r="V17" s="774" t="s">
        <v>17</v>
      </c>
      <c r="W17" s="775">
        <f>J17</f>
        <v>100</v>
      </c>
      <c r="X17" s="1812"/>
      <c r="Y17" s="3262"/>
      <c r="Z17" s="1813" t="str">
        <f>Q17</f>
        <v>交通便捷度</v>
      </c>
      <c r="AA17" s="1810">
        <f t="shared" si="3"/>
        <v>0.98039215686274506</v>
      </c>
      <c r="AB17" s="1810">
        <f t="shared" si="4"/>
        <v>0.98039215686274506</v>
      </c>
      <c r="AC17" s="2672">
        <f t="shared" si="5"/>
        <v>1</v>
      </c>
    </row>
    <row r="18" spans="1:29" ht="15">
      <c r="A18" s="428"/>
      <c r="B18" s="632"/>
      <c r="C18" s="2674" t="s">
        <v>3568</v>
      </c>
      <c r="D18" s="450"/>
      <c r="E18" s="2609" t="s">
        <v>3567</v>
      </c>
      <c r="F18" s="450"/>
      <c r="G18" s="2609" t="s">
        <v>3567</v>
      </c>
      <c r="H18" s="448"/>
      <c r="I18" s="2610" t="s">
        <v>3568</v>
      </c>
      <c r="J18" s="448"/>
      <c r="K18" s="615"/>
      <c r="L18" s="1140"/>
      <c r="M18" s="1131"/>
      <c r="N18" s="1131"/>
      <c r="O18" s="1131"/>
      <c r="P18" s="3260"/>
      <c r="Q18" s="1809"/>
      <c r="R18" s="774"/>
      <c r="S18" s="775"/>
      <c r="T18" s="774"/>
      <c r="U18" s="775"/>
      <c r="V18" s="774"/>
      <c r="W18" s="775"/>
      <c r="X18" s="1812"/>
      <c r="Y18" s="3262"/>
      <c r="Z18" s="1813"/>
      <c r="AA18" s="1810">
        <v>1</v>
      </c>
      <c r="AB18" s="1810">
        <v>1</v>
      </c>
      <c r="AC18" s="2672">
        <v>1</v>
      </c>
    </row>
    <row r="19" spans="1:29" ht="41.4">
      <c r="A19" s="428"/>
      <c r="B19" s="631" t="s">
        <v>2684</v>
      </c>
      <c r="C19" s="2673"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100</v>
      </c>
      <c r="K19" s="614">
        <v>2</v>
      </c>
      <c r="L19" s="1140"/>
      <c r="M19" s="1131"/>
      <c r="N19" s="1131"/>
      <c r="O19" s="1131"/>
      <c r="P19" s="3260"/>
      <c r="Q19" s="1809" t="str">
        <f>B19</f>
        <v>公共配套设施</v>
      </c>
      <c r="R19" s="774" t="s">
        <v>17</v>
      </c>
      <c r="S19" s="775">
        <f>F19</f>
        <v>102</v>
      </c>
      <c r="T19" s="774" t="s">
        <v>17</v>
      </c>
      <c r="U19" s="775">
        <f>H19</f>
        <v>102</v>
      </c>
      <c r="V19" s="774" t="s">
        <v>17</v>
      </c>
      <c r="W19" s="775">
        <f>J19</f>
        <v>100</v>
      </c>
      <c r="X19" s="1812"/>
      <c r="Y19" s="3262"/>
      <c r="Z19" s="1813" t="str">
        <f>Q19</f>
        <v>公共配套设施</v>
      </c>
      <c r="AA19" s="1810">
        <f t="shared" si="3"/>
        <v>0.98039215686274506</v>
      </c>
      <c r="AB19" s="1810">
        <f t="shared" si="4"/>
        <v>0.98039215686274506</v>
      </c>
      <c r="AC19" s="2672">
        <f t="shared" si="5"/>
        <v>1</v>
      </c>
    </row>
    <row r="20" spans="1:29" ht="15">
      <c r="A20" s="428"/>
      <c r="B20" s="632"/>
      <c r="C20" s="2611" t="s">
        <v>3568</v>
      </c>
      <c r="D20" s="448"/>
      <c r="E20" s="2604" t="s">
        <v>3567</v>
      </c>
      <c r="F20" s="448"/>
      <c r="G20" s="2604" t="s">
        <v>3567</v>
      </c>
      <c r="H20" s="448"/>
      <c r="I20" s="2611" t="s">
        <v>3568</v>
      </c>
      <c r="J20" s="448"/>
      <c r="K20" s="615"/>
      <c r="L20" s="1140"/>
      <c r="M20" s="1131"/>
      <c r="N20" s="1131"/>
      <c r="O20" s="1131"/>
      <c r="P20" s="3260"/>
      <c r="Q20" s="1809"/>
      <c r="R20" s="774"/>
      <c r="S20" s="775"/>
      <c r="T20" s="774"/>
      <c r="U20" s="775"/>
      <c r="V20" s="774"/>
      <c r="W20" s="775"/>
      <c r="X20" s="1812"/>
      <c r="Y20" s="3262"/>
      <c r="Z20" s="1813"/>
      <c r="AA20" s="1810">
        <v>1</v>
      </c>
      <c r="AB20" s="1810">
        <v>1</v>
      </c>
      <c r="AC20" s="2672">
        <v>1</v>
      </c>
    </row>
    <row r="21" spans="1:29" ht="27.6">
      <c r="A21" s="428"/>
      <c r="B21" s="633" t="s">
        <v>2685</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60"/>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2672">
        <f t="shared" ref="AC21" si="10">D21/J21</f>
        <v>1</v>
      </c>
    </row>
    <row r="22" spans="1:29" ht="15">
      <c r="A22" s="428"/>
      <c r="B22" s="633"/>
      <c r="C22" s="2674" t="s">
        <v>3586</v>
      </c>
      <c r="D22" s="448"/>
      <c r="E22" s="2674" t="s">
        <v>3586</v>
      </c>
      <c r="F22" s="448"/>
      <c r="G22" s="2674" t="s">
        <v>3586</v>
      </c>
      <c r="H22" s="448"/>
      <c r="I22" s="2674" t="s">
        <v>3586</v>
      </c>
      <c r="J22" s="448"/>
      <c r="K22" s="1383"/>
      <c r="L22" s="1140"/>
      <c r="M22" s="1131"/>
      <c r="N22" s="1131"/>
      <c r="O22" s="1131"/>
      <c r="P22" s="3260"/>
      <c r="Q22" s="1809"/>
      <c r="R22" s="774"/>
      <c r="S22" s="775"/>
      <c r="T22" s="774"/>
      <c r="U22" s="775"/>
      <c r="V22" s="774"/>
      <c r="W22" s="775"/>
      <c r="X22" s="1812"/>
      <c r="Y22" s="3262"/>
      <c r="Z22" s="1813"/>
      <c r="AA22" s="1810">
        <v>1</v>
      </c>
      <c r="AB22" s="1810">
        <v>1</v>
      </c>
      <c r="AC22" s="2672">
        <v>1</v>
      </c>
    </row>
    <row r="23" spans="1:29" ht="55.2">
      <c r="A23" s="428"/>
      <c r="B23" s="631" t="s">
        <v>2686</v>
      </c>
      <c r="C23" s="2673" t="str">
        <f>估价对象房地状况!C9</f>
        <v>区域自然环境：；人文环境；综合评价环境状况一般</v>
      </c>
      <c r="D23" s="450">
        <v>100</v>
      </c>
      <c r="E23" s="454"/>
      <c r="F23" s="450">
        <f>SUMIF(85:85,E24,86:86)-SUMIF(85:85,C24,86:86)+100</f>
        <v>101</v>
      </c>
      <c r="G23" s="452"/>
      <c r="H23" s="450">
        <f>SUMIF(85:85,G24,86:86)-SUMIF(85:85,C24,86:86)+100</f>
        <v>100</v>
      </c>
      <c r="I23" s="452"/>
      <c r="J23" s="450">
        <f>SUMIF(85:85,I24,86:86)-SUMIF(85:85,C24,86:86)+100</f>
        <v>100</v>
      </c>
      <c r="K23" s="614">
        <v>1</v>
      </c>
      <c r="L23" s="1140"/>
      <c r="M23" s="1131"/>
      <c r="N23" s="1131"/>
      <c r="O23" s="1131"/>
      <c r="P23" s="3260"/>
      <c r="Q23" s="1809" t="str">
        <f>B23</f>
        <v>环境质量</v>
      </c>
      <c r="R23" s="774" t="s">
        <v>17</v>
      </c>
      <c r="S23" s="775">
        <f>F23</f>
        <v>101</v>
      </c>
      <c r="T23" s="774" t="s">
        <v>17</v>
      </c>
      <c r="U23" s="775">
        <f>H23</f>
        <v>100</v>
      </c>
      <c r="V23" s="774" t="s">
        <v>17</v>
      </c>
      <c r="W23" s="775">
        <f>J23</f>
        <v>100</v>
      </c>
      <c r="X23" s="1812"/>
      <c r="Y23" s="3262"/>
      <c r="Z23" s="1813" t="str">
        <f>Q23</f>
        <v>环境质量</v>
      </c>
      <c r="AA23" s="1810">
        <f t="shared" si="3"/>
        <v>0.99009900990099009</v>
      </c>
      <c r="AB23" s="1810">
        <f t="shared" si="4"/>
        <v>1</v>
      </c>
      <c r="AC23" s="2672">
        <f t="shared" si="5"/>
        <v>1</v>
      </c>
    </row>
    <row r="24" spans="1:29" ht="15.6" thickBot="1">
      <c r="A24" s="428"/>
      <c r="B24" s="633"/>
      <c r="C24" s="2604" t="s">
        <v>3568</v>
      </c>
      <c r="D24" s="448"/>
      <c r="E24" s="2604" t="s">
        <v>3567</v>
      </c>
      <c r="F24" s="448"/>
      <c r="G24" s="2604" t="s">
        <v>3568</v>
      </c>
      <c r="H24" s="448"/>
      <c r="I24" s="2604" t="s">
        <v>3568</v>
      </c>
      <c r="J24" s="448"/>
      <c r="K24" s="615"/>
      <c r="L24" s="1140"/>
      <c r="M24" s="1131"/>
      <c r="N24" s="1131"/>
      <c r="O24" s="1131"/>
      <c r="P24" s="3260"/>
      <c r="Q24" s="1809"/>
      <c r="R24" s="774"/>
      <c r="S24" s="775"/>
      <c r="T24" s="774"/>
      <c r="U24" s="775"/>
      <c r="V24" s="774"/>
      <c r="W24" s="775"/>
      <c r="X24" s="1812"/>
      <c r="Y24" s="3262"/>
      <c r="Z24" s="1813"/>
      <c r="AA24" s="1810">
        <v>1</v>
      </c>
      <c r="AB24" s="1810">
        <v>1</v>
      </c>
      <c r="AC24" s="2672">
        <v>1</v>
      </c>
    </row>
    <row r="25" spans="1:29" ht="28.8" hidden="1">
      <c r="A25" s="404"/>
      <c r="B25" s="631" t="s">
        <v>2687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60"/>
      <c r="Q25" s="1809" t="str">
        <f>B25</f>
        <v>毗邻道路的类型与等级</v>
      </c>
      <c r="R25" s="774" t="s">
        <v>17</v>
      </c>
      <c r="S25" s="775">
        <f>F25</f>
        <v>100</v>
      </c>
      <c r="T25" s="774" t="s">
        <v>17</v>
      </c>
      <c r="U25" s="775">
        <f>H25</f>
        <v>100</v>
      </c>
      <c r="V25" s="774" t="s">
        <v>17</v>
      </c>
      <c r="W25" s="775">
        <f>J25</f>
        <v>100</v>
      </c>
      <c r="X25" s="1812"/>
      <c r="Y25" s="3262"/>
      <c r="Z25" s="1813" t="str">
        <f>Q25</f>
        <v>毗邻道路的类型与等级</v>
      </c>
      <c r="AA25" s="1810">
        <f t="shared" si="3"/>
        <v>1</v>
      </c>
      <c r="AB25" s="1810">
        <f t="shared" si="4"/>
        <v>1</v>
      </c>
      <c r="AC25" s="2672">
        <f t="shared" si="5"/>
        <v>1</v>
      </c>
    </row>
    <row r="26" spans="1:29" ht="15.6" hidden="1" thickBot="1">
      <c r="A26" s="404"/>
      <c r="B26" s="632"/>
      <c r="C26" s="634"/>
      <c r="D26" s="435"/>
      <c r="E26" s="616"/>
      <c r="F26" s="435"/>
      <c r="G26" s="634"/>
      <c r="H26" s="435"/>
      <c r="I26" s="616"/>
      <c r="J26" s="435"/>
      <c r="K26" s="615"/>
      <c r="L26" s="1140"/>
      <c r="M26" s="1131"/>
      <c r="N26" s="1131"/>
      <c r="O26" s="1131"/>
      <c r="P26" s="3260"/>
      <c r="Q26" s="1809"/>
      <c r="R26" s="774"/>
      <c r="S26" s="775"/>
      <c r="T26" s="774"/>
      <c r="U26" s="775"/>
      <c r="V26" s="774"/>
      <c r="W26" s="775"/>
      <c r="X26" s="1812"/>
      <c r="Y26" s="3262"/>
      <c r="Z26" s="1813"/>
      <c r="AA26" s="1810">
        <v>1</v>
      </c>
      <c r="AB26" s="1810">
        <v>1</v>
      </c>
      <c r="AC26" s="2672">
        <v>1</v>
      </c>
    </row>
    <row r="27" spans="1:29" ht="15" hidden="1">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0"/>
      <c r="Q27" s="1809" t="str">
        <f t="shared" ref="Q27:Q47" si="11">B27</f>
        <v>楼层</v>
      </c>
      <c r="R27" s="774" t="s">
        <v>17</v>
      </c>
      <c r="S27" s="775">
        <f>F27</f>
        <v>100</v>
      </c>
      <c r="T27" s="774" t="s">
        <v>17</v>
      </c>
      <c r="U27" s="775">
        <f>H27</f>
        <v>100</v>
      </c>
      <c r="V27" s="774" t="s">
        <v>17</v>
      </c>
      <c r="W27" s="775">
        <f>J27</f>
        <v>100</v>
      </c>
      <c r="X27" s="1812"/>
      <c r="Y27" s="3262"/>
      <c r="Z27" s="1813" t="str">
        <f>Q27</f>
        <v>楼层</v>
      </c>
      <c r="AA27" s="1810">
        <f t="shared" si="3"/>
        <v>1</v>
      </c>
      <c r="AB27" s="1810">
        <f t="shared" si="4"/>
        <v>1</v>
      </c>
      <c r="AC27" s="2672">
        <f t="shared" si="5"/>
        <v>1</v>
      </c>
    </row>
    <row r="28" spans="1:29" s="117" customFormat="1" ht="15" hidden="1">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0"/>
      <c r="Q28" s="1794" t="str">
        <f t="shared" si="11"/>
        <v>朝向</v>
      </c>
      <c r="R28" s="770" t="s">
        <v>17</v>
      </c>
      <c r="S28" s="771">
        <f>F28</f>
        <v>100</v>
      </c>
      <c r="T28" s="770" t="s">
        <v>17</v>
      </c>
      <c r="U28" s="771">
        <f>H28</f>
        <v>100</v>
      </c>
      <c r="V28" s="770" t="s">
        <v>17</v>
      </c>
      <c r="W28" s="771">
        <f>J28</f>
        <v>100</v>
      </c>
      <c r="X28" s="772"/>
      <c r="Y28" s="3262"/>
      <c r="Z28" s="55" t="str">
        <f>Q28</f>
        <v>朝向</v>
      </c>
      <c r="AA28" s="1810">
        <f>D28/F28</f>
        <v>1</v>
      </c>
      <c r="AB28" s="1810">
        <f>D28/H28</f>
        <v>1</v>
      </c>
      <c r="AC28" s="2672">
        <f>D28/J28</f>
        <v>1</v>
      </c>
    </row>
    <row r="29" spans="1:29" ht="15" hidden="1">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0"/>
      <c r="Q29" s="1809">
        <f t="shared" si="11"/>
        <v>111</v>
      </c>
      <c r="R29" s="774" t="s">
        <v>17</v>
      </c>
      <c r="S29" s="775">
        <f t="shared" ref="S29:S47" si="12">F29</f>
        <v>100</v>
      </c>
      <c r="T29" s="774" t="s">
        <v>17</v>
      </c>
      <c r="U29" s="775">
        <f t="shared" ref="U29:U47" si="13">H29</f>
        <v>100</v>
      </c>
      <c r="V29" s="774" t="s">
        <v>17</v>
      </c>
      <c r="W29" s="775">
        <f t="shared" ref="W29:W47" si="14">J29</f>
        <v>100</v>
      </c>
      <c r="X29" s="1812"/>
      <c r="Y29" s="3262"/>
      <c r="Z29" s="1813">
        <f t="shared" ref="Z29:Z47" si="15">Q29</f>
        <v>111</v>
      </c>
      <c r="AA29" s="1810">
        <f t="shared" si="3"/>
        <v>1</v>
      </c>
      <c r="AB29" s="1810">
        <f t="shared" si="4"/>
        <v>1</v>
      </c>
      <c r="AC29" s="2672">
        <f t="shared" si="5"/>
        <v>1</v>
      </c>
    </row>
    <row r="30" spans="1:29" ht="15" hidden="1">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0"/>
      <c r="Q30" s="1809">
        <f t="shared" si="11"/>
        <v>111</v>
      </c>
      <c r="R30" s="774" t="s">
        <v>17</v>
      </c>
      <c r="S30" s="775">
        <f t="shared" si="12"/>
        <v>100</v>
      </c>
      <c r="T30" s="774" t="s">
        <v>17</v>
      </c>
      <c r="U30" s="775">
        <f t="shared" si="13"/>
        <v>100</v>
      </c>
      <c r="V30" s="774" t="s">
        <v>17</v>
      </c>
      <c r="W30" s="775">
        <f t="shared" si="14"/>
        <v>100</v>
      </c>
      <c r="X30" s="1812"/>
      <c r="Y30" s="3262"/>
      <c r="Z30" s="1813">
        <f t="shared" si="15"/>
        <v>111</v>
      </c>
      <c r="AA30" s="1810">
        <f t="shared" si="3"/>
        <v>1</v>
      </c>
      <c r="AB30" s="1810">
        <f t="shared" si="4"/>
        <v>1</v>
      </c>
      <c r="AC30" s="2672">
        <f t="shared" si="5"/>
        <v>1</v>
      </c>
    </row>
    <row r="31" spans="1:29" ht="15" hidden="1">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0"/>
      <c r="Q31" s="1809">
        <f t="shared" si="11"/>
        <v>111</v>
      </c>
      <c r="R31" s="774" t="s">
        <v>17</v>
      </c>
      <c r="S31" s="775">
        <f t="shared" si="12"/>
        <v>100</v>
      </c>
      <c r="T31" s="774" t="s">
        <v>17</v>
      </c>
      <c r="U31" s="775">
        <f t="shared" si="13"/>
        <v>100</v>
      </c>
      <c r="V31" s="774" t="s">
        <v>17</v>
      </c>
      <c r="W31" s="775">
        <f t="shared" si="14"/>
        <v>100</v>
      </c>
      <c r="X31" s="1812"/>
      <c r="Y31" s="3262"/>
      <c r="Z31" s="1813">
        <f t="shared" si="15"/>
        <v>111</v>
      </c>
      <c r="AA31" s="1810">
        <f t="shared" si="3"/>
        <v>1</v>
      </c>
      <c r="AB31" s="1810">
        <f t="shared" si="4"/>
        <v>1</v>
      </c>
      <c r="AC31" s="2672">
        <f t="shared" si="5"/>
        <v>1</v>
      </c>
    </row>
    <row r="32" spans="1:29" ht="15.6" hidden="1"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0"/>
      <c r="Q32" s="1809">
        <f t="shared" si="11"/>
        <v>111</v>
      </c>
      <c r="R32" s="774" t="s">
        <v>17</v>
      </c>
      <c r="S32" s="775">
        <f t="shared" si="12"/>
        <v>100</v>
      </c>
      <c r="T32" s="774" t="s">
        <v>17</v>
      </c>
      <c r="U32" s="775">
        <f t="shared" si="13"/>
        <v>100</v>
      </c>
      <c r="V32" s="774" t="s">
        <v>17</v>
      </c>
      <c r="W32" s="775">
        <f t="shared" si="14"/>
        <v>100</v>
      </c>
      <c r="X32" s="1812"/>
      <c r="Y32" s="3262"/>
      <c r="Z32" s="1813">
        <f t="shared" si="15"/>
        <v>111</v>
      </c>
      <c r="AA32" s="1810">
        <f t="shared" si="3"/>
        <v>1</v>
      </c>
      <c r="AB32" s="1810">
        <f t="shared" si="4"/>
        <v>1</v>
      </c>
      <c r="AC32" s="2672">
        <f t="shared" si="5"/>
        <v>1</v>
      </c>
    </row>
    <row r="33" spans="1:29" ht="15">
      <c r="A33" s="440" t="s">
        <v>2559</v>
      </c>
      <c r="B33" s="71" t="s">
        <v>2689</v>
      </c>
      <c r="C33" s="2677" t="s">
        <v>3110</v>
      </c>
      <c r="D33" s="467">
        <v>100</v>
      </c>
      <c r="E33" s="2677" t="s">
        <v>3110</v>
      </c>
      <c r="F33" s="461">
        <f>SUMIF(101:101,E33,102:102)-SUMIF(101:101,C33,102:102)+100</f>
        <v>100</v>
      </c>
      <c r="G33" s="2677" t="s">
        <v>3110</v>
      </c>
      <c r="H33" s="435">
        <f>SUMIF(101:101,G33,102:102)-SUMIF(101:101,C33,102:102)+100</f>
        <v>100</v>
      </c>
      <c r="I33" s="2677" t="s">
        <v>3110</v>
      </c>
      <c r="J33" s="467">
        <f>SUMIF(101:101,I33,102:102)-SUMIF(101:101,C33,102:102)+100</f>
        <v>100</v>
      </c>
      <c r="K33" s="612">
        <v>1</v>
      </c>
      <c r="L33" s="1140"/>
      <c r="M33" s="1131"/>
      <c r="N33" s="1131"/>
      <c r="O33" s="1131"/>
      <c r="P33" s="3263" t="s">
        <v>2561</v>
      </c>
      <c r="Q33" s="1809" t="str">
        <f t="shared" si="11"/>
        <v>建筑类型</v>
      </c>
      <c r="R33" s="774" t="s">
        <v>17</v>
      </c>
      <c r="S33" s="775">
        <f t="shared" si="12"/>
        <v>100</v>
      </c>
      <c r="T33" s="774" t="s">
        <v>17</v>
      </c>
      <c r="U33" s="775">
        <f t="shared" si="13"/>
        <v>100</v>
      </c>
      <c r="V33" s="774" t="s">
        <v>17</v>
      </c>
      <c r="W33" s="775">
        <f t="shared" si="14"/>
        <v>100</v>
      </c>
      <c r="X33" s="1812"/>
      <c r="Y33" s="3266" t="s">
        <v>2561</v>
      </c>
      <c r="Z33" s="1813" t="str">
        <f t="shared" si="15"/>
        <v>建筑类型</v>
      </c>
      <c r="AA33" s="1810">
        <f t="shared" si="3"/>
        <v>1</v>
      </c>
      <c r="AB33" s="1810">
        <f t="shared" si="4"/>
        <v>1</v>
      </c>
      <c r="AC33" s="2672">
        <f t="shared" si="5"/>
        <v>1</v>
      </c>
    </row>
    <row r="34" spans="1:29" s="471" customFormat="1" ht="15">
      <c r="A34" s="468"/>
      <c r="B34" s="422" t="s">
        <v>2562</v>
      </c>
      <c r="C34" s="469">
        <f>'比较法-住宅'!C33</f>
        <v>132050.17999999996</v>
      </c>
      <c r="D34" s="136">
        <v>100</v>
      </c>
      <c r="E34" s="430">
        <v>202777</v>
      </c>
      <c r="F34" s="425">
        <f>LOOKUP(E34,104:104,105:105)-LOOKUP(C34,104:104,105:105)+100</f>
        <v>100</v>
      </c>
      <c r="G34" s="429">
        <v>211004</v>
      </c>
      <c r="H34" s="136">
        <f>LOOKUP(G34,104:104,105:105)-LOOKUP(C34,104:104,105:105)+100</f>
        <v>100</v>
      </c>
      <c r="I34" s="429">
        <v>700000</v>
      </c>
      <c r="J34" s="136">
        <f>LOOKUP(I34,104:104,105:105)-LOOKUP(C34,104:104,105:105)+100</f>
        <v>101</v>
      </c>
      <c r="K34" s="613"/>
      <c r="L34" s="1138"/>
      <c r="M34" s="1141"/>
      <c r="N34" s="1141"/>
      <c r="O34" s="1141"/>
      <c r="P34" s="3264"/>
      <c r="Q34" s="776" t="str">
        <f t="shared" si="11"/>
        <v>项目建筑规模</v>
      </c>
      <c r="R34" s="777" t="s">
        <v>17</v>
      </c>
      <c r="S34" s="778">
        <f t="shared" si="12"/>
        <v>100</v>
      </c>
      <c r="T34" s="777" t="s">
        <v>17</v>
      </c>
      <c r="U34" s="778">
        <f t="shared" si="13"/>
        <v>100</v>
      </c>
      <c r="V34" s="777" t="s">
        <v>17</v>
      </c>
      <c r="W34" s="778">
        <f t="shared" si="14"/>
        <v>101</v>
      </c>
      <c r="X34" s="779"/>
      <c r="Y34" s="3266"/>
      <c r="Z34" s="780" t="str">
        <f t="shared" si="15"/>
        <v>项目建筑规模</v>
      </c>
      <c r="AA34" s="1810">
        <f t="shared" si="3"/>
        <v>1</v>
      </c>
      <c r="AB34" s="1810">
        <f t="shared" si="4"/>
        <v>1</v>
      </c>
      <c r="AC34" s="2672">
        <f t="shared" si="5"/>
        <v>0.99009900990099009</v>
      </c>
    </row>
    <row r="35" spans="1:29" ht="15">
      <c r="A35" s="472"/>
      <c r="B35" s="422" t="s">
        <v>2563</v>
      </c>
      <c r="C35" s="460" t="s">
        <v>3557</v>
      </c>
      <c r="D35" s="435">
        <v>100</v>
      </c>
      <c r="E35" s="460" t="s">
        <v>3557</v>
      </c>
      <c r="F35" s="461">
        <f>SUMIF(106:106,E35,107:107)-SUMIF(106:106,C35,107:107)+100</f>
        <v>100</v>
      </c>
      <c r="G35" s="2995" t="s">
        <v>3688</v>
      </c>
      <c r="H35" s="435">
        <f>SUMIF(106:106,G35,107:107)-SUMIF(106:106,C35,107:107)+100</f>
        <v>100</v>
      </c>
      <c r="I35" s="460" t="s">
        <v>3557</v>
      </c>
      <c r="J35" s="435">
        <f>SUMIF(106:106,I35,107:107)-SUMIF(106:106,C35,107:107)+100</f>
        <v>100</v>
      </c>
      <c r="K35" s="612">
        <v>1</v>
      </c>
      <c r="L35" s="1140"/>
      <c r="M35" s="1131"/>
      <c r="N35" s="1131"/>
      <c r="O35" s="1131"/>
      <c r="P35" s="3264"/>
      <c r="Q35" s="1809" t="str">
        <f t="shared" si="11"/>
        <v>建筑结构</v>
      </c>
      <c r="R35" s="774" t="s">
        <v>17</v>
      </c>
      <c r="S35" s="775">
        <f t="shared" si="12"/>
        <v>100</v>
      </c>
      <c r="T35" s="774" t="s">
        <v>17</v>
      </c>
      <c r="U35" s="775">
        <f t="shared" si="13"/>
        <v>100</v>
      </c>
      <c r="V35" s="774" t="s">
        <v>17</v>
      </c>
      <c r="W35" s="775">
        <f t="shared" si="14"/>
        <v>100</v>
      </c>
      <c r="X35" s="1812"/>
      <c r="Y35" s="3266"/>
      <c r="Z35" s="1813" t="str">
        <f t="shared" si="15"/>
        <v>建筑结构</v>
      </c>
      <c r="AA35" s="1810">
        <f t="shared" si="3"/>
        <v>1</v>
      </c>
      <c r="AB35" s="1810">
        <f t="shared" si="4"/>
        <v>1</v>
      </c>
      <c r="AC35" s="2672">
        <f t="shared" si="5"/>
        <v>1</v>
      </c>
    </row>
    <row r="36" spans="1:29" ht="15">
      <c r="A36" s="472"/>
      <c r="B36" s="422" t="s">
        <v>2657</v>
      </c>
      <c r="C36" s="460" t="s">
        <v>3687</v>
      </c>
      <c r="D36" s="435">
        <v>100</v>
      </c>
      <c r="E36" s="460" t="s">
        <v>3687</v>
      </c>
      <c r="F36" s="461">
        <f>SUMIF(108:108,E36,109:109)-SUMIF(108:108,C36,109:109)+100</f>
        <v>100</v>
      </c>
      <c r="G36" s="460" t="s">
        <v>3687</v>
      </c>
      <c r="H36" s="435">
        <f>SUMIF(108:108,G36,109:109)-SUMIF(108:108,C36,109:109)+100</f>
        <v>100</v>
      </c>
      <c r="I36" s="460" t="s">
        <v>3687</v>
      </c>
      <c r="J36" s="435">
        <f>SUMIF(108:108,I36,109:109)-SUMIF(108:108,C36,109:109)+100</f>
        <v>100</v>
      </c>
      <c r="K36" s="612">
        <v>1.5</v>
      </c>
      <c r="L36" s="1140"/>
      <c r="M36" s="1131"/>
      <c r="N36" s="1131"/>
      <c r="O36" s="1131"/>
      <c r="P36" s="3264"/>
      <c r="Q36" s="1809" t="str">
        <f t="shared" si="11"/>
        <v>公共部分装修</v>
      </c>
      <c r="R36" s="774" t="s">
        <v>17</v>
      </c>
      <c r="S36" s="775">
        <f t="shared" si="12"/>
        <v>100</v>
      </c>
      <c r="T36" s="774" t="s">
        <v>17</v>
      </c>
      <c r="U36" s="775">
        <f t="shared" si="13"/>
        <v>100</v>
      </c>
      <c r="V36" s="774" t="s">
        <v>17</v>
      </c>
      <c r="W36" s="775">
        <f t="shared" si="14"/>
        <v>100</v>
      </c>
      <c r="X36" s="1812"/>
      <c r="Y36" s="3266"/>
      <c r="Z36" s="1813" t="str">
        <f t="shared" si="15"/>
        <v>公共部分装修</v>
      </c>
      <c r="AA36" s="1810">
        <f t="shared" si="3"/>
        <v>1</v>
      </c>
      <c r="AB36" s="1810">
        <f t="shared" si="4"/>
        <v>1</v>
      </c>
      <c r="AC36" s="2672">
        <f t="shared" si="5"/>
        <v>1</v>
      </c>
    </row>
    <row r="37" spans="1:29" ht="15">
      <c r="A37" s="472"/>
      <c r="B37" s="422" t="s">
        <v>2658</v>
      </c>
      <c r="C37" s="474">
        <v>1</v>
      </c>
      <c r="D37" s="435">
        <v>100</v>
      </c>
      <c r="E37" s="474">
        <v>1</v>
      </c>
      <c r="F37" s="461">
        <f>LOOKUP(E37,111:111,112:112)-LOOKUP(C37,111:111,112:112)+100</f>
        <v>100</v>
      </c>
      <c r="G37" s="474">
        <v>0.98</v>
      </c>
      <c r="H37" s="461">
        <f>LOOKUP(G37,111:111,112:112)-LOOKUP(C37,111:111,112:112)+100</f>
        <v>100</v>
      </c>
      <c r="I37" s="474">
        <v>1</v>
      </c>
      <c r="J37" s="435">
        <f>LOOKUP(I37,111:111,112:112)-LOOKUP(C37,111:111,112:112)+100</f>
        <v>100</v>
      </c>
      <c r="K37" s="612">
        <v>1</v>
      </c>
      <c r="L37" s="1140"/>
      <c r="M37" s="1131"/>
      <c r="N37" s="1131"/>
      <c r="O37" s="1131"/>
      <c r="P37" s="3264"/>
      <c r="Q37" s="1809" t="str">
        <f t="shared" si="11"/>
        <v>成新度</v>
      </c>
      <c r="R37" s="774" t="s">
        <v>17</v>
      </c>
      <c r="S37" s="775">
        <f t="shared" si="12"/>
        <v>100</v>
      </c>
      <c r="T37" s="774" t="s">
        <v>17</v>
      </c>
      <c r="U37" s="775">
        <f t="shared" si="13"/>
        <v>100</v>
      </c>
      <c r="V37" s="774" t="s">
        <v>17</v>
      </c>
      <c r="W37" s="775">
        <f t="shared" si="14"/>
        <v>100</v>
      </c>
      <c r="X37" s="1812"/>
      <c r="Y37" s="3266"/>
      <c r="Z37" s="1813" t="str">
        <f t="shared" si="15"/>
        <v>成新度</v>
      </c>
      <c r="AA37" s="1810">
        <f t="shared" si="3"/>
        <v>1</v>
      </c>
      <c r="AB37" s="1810">
        <f t="shared" si="4"/>
        <v>1</v>
      </c>
      <c r="AC37" s="2672">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70" t="s">
        <v>17</v>
      </c>
      <c r="S38" s="771">
        <f t="shared" si="12"/>
        <v>100</v>
      </c>
      <c r="T38" s="770" t="s">
        <v>17</v>
      </c>
      <c r="U38" s="771">
        <f t="shared" si="13"/>
        <v>100</v>
      </c>
      <c r="V38" s="770" t="s">
        <v>17</v>
      </c>
      <c r="W38" s="771">
        <f t="shared" si="14"/>
        <v>100</v>
      </c>
      <c r="X38" s="772"/>
      <c r="Y38" s="3266"/>
      <c r="Z38" s="55" t="str">
        <f t="shared" si="15"/>
        <v>写字楼等级</v>
      </c>
      <c r="AA38" s="773">
        <f t="shared" si="3"/>
        <v>1</v>
      </c>
      <c r="AB38" s="773">
        <f t="shared" si="4"/>
        <v>1</v>
      </c>
      <c r="AC38" s="2669">
        <f t="shared" si="5"/>
        <v>1</v>
      </c>
    </row>
    <row r="39" spans="1:29" ht="15">
      <c r="A39" s="472"/>
      <c r="B39" s="422" t="s">
        <v>2691</v>
      </c>
      <c r="C39" s="460" t="s">
        <v>3567</v>
      </c>
      <c r="D39" s="435">
        <v>100</v>
      </c>
      <c r="E39" s="460" t="s">
        <v>3567</v>
      </c>
      <c r="F39" s="461">
        <f>SUMIF(115:115,E39,116:116)-SUMIF(115:115,C39,116:116)+100</f>
        <v>100</v>
      </c>
      <c r="G39" s="460" t="s">
        <v>3567</v>
      </c>
      <c r="H39" s="435">
        <f>SUMIF(115:115,G39,116:116)-SUMIF(115:115,C39,116:116)+100</f>
        <v>100</v>
      </c>
      <c r="I39" s="460" t="s">
        <v>3567</v>
      </c>
      <c r="J39" s="435">
        <f>SUMIF(115:115,I39,116:116)-SUMIF(115:115,C39,116:116)+100</f>
        <v>100</v>
      </c>
      <c r="K39" s="612">
        <v>1</v>
      </c>
      <c r="L39" s="1140"/>
      <c r="M39" s="1131"/>
      <c r="N39" s="1131"/>
      <c r="O39" s="1131"/>
      <c r="P39" s="3264" t="s">
        <v>2561</v>
      </c>
      <c r="Q39" s="1809" t="str">
        <f t="shared" si="11"/>
        <v>物业管理</v>
      </c>
      <c r="R39" s="774" t="s">
        <v>17</v>
      </c>
      <c r="S39" s="775">
        <f t="shared" si="12"/>
        <v>100</v>
      </c>
      <c r="T39" s="774" t="s">
        <v>17</v>
      </c>
      <c r="U39" s="775">
        <f t="shared" si="13"/>
        <v>100</v>
      </c>
      <c r="V39" s="774" t="s">
        <v>17</v>
      </c>
      <c r="W39" s="775">
        <f t="shared" si="14"/>
        <v>100</v>
      </c>
      <c r="X39" s="1812"/>
      <c r="Y39" s="3266" t="s">
        <v>2561</v>
      </c>
      <c r="Z39" s="1813" t="str">
        <f t="shared" si="15"/>
        <v>物业管理</v>
      </c>
      <c r="AA39" s="1810">
        <f t="shared" si="3"/>
        <v>1</v>
      </c>
      <c r="AB39" s="1810">
        <f t="shared" si="4"/>
        <v>1</v>
      </c>
      <c r="AC39" s="2672">
        <f t="shared" si="5"/>
        <v>1</v>
      </c>
    </row>
    <row r="40" spans="1:29" ht="15">
      <c r="A40" s="472"/>
      <c r="B40" s="422" t="s">
        <v>2659</v>
      </c>
      <c r="C40" s="460" t="s">
        <v>3611</v>
      </c>
      <c r="D40" s="435">
        <v>100</v>
      </c>
      <c r="E40" s="460" t="s">
        <v>3611</v>
      </c>
      <c r="F40" s="461">
        <f>SUMIF(117:117,E40,118:118)-SUMIF(117:117,C40,118:118)+100</f>
        <v>100</v>
      </c>
      <c r="G40" s="460" t="s">
        <v>3611</v>
      </c>
      <c r="H40" s="435">
        <f>SUMIF(117:117,G40,118:118)-SUMIF(117:117,C40,118:118)+100</f>
        <v>100</v>
      </c>
      <c r="I40" s="460" t="s">
        <v>3611</v>
      </c>
      <c r="J40" s="435">
        <f>SUMIF(117:117,I40,118:118)-SUMIF(117:117,C40,118:118)+100</f>
        <v>100</v>
      </c>
      <c r="K40" s="612">
        <v>1</v>
      </c>
      <c r="L40" s="1140"/>
      <c r="M40" s="1131"/>
      <c r="N40" s="1131"/>
      <c r="O40" s="1131"/>
      <c r="P40" s="3264"/>
      <c r="Q40" s="1809" t="str">
        <f t="shared" si="11"/>
        <v>市政基础设施</v>
      </c>
      <c r="R40" s="774" t="s">
        <v>17</v>
      </c>
      <c r="S40" s="775">
        <f t="shared" si="12"/>
        <v>100</v>
      </c>
      <c r="T40" s="774" t="s">
        <v>17</v>
      </c>
      <c r="U40" s="775">
        <f t="shared" si="13"/>
        <v>100</v>
      </c>
      <c r="V40" s="774" t="s">
        <v>17</v>
      </c>
      <c r="W40" s="775">
        <f t="shared" si="14"/>
        <v>100</v>
      </c>
      <c r="X40" s="1812"/>
      <c r="Y40" s="3266"/>
      <c r="Z40" s="1813" t="str">
        <f t="shared" si="15"/>
        <v>市政基础设施</v>
      </c>
      <c r="AA40" s="1810">
        <f t="shared" si="3"/>
        <v>1</v>
      </c>
      <c r="AB40" s="1810">
        <f t="shared" si="4"/>
        <v>1</v>
      </c>
      <c r="AC40" s="2672">
        <f t="shared" si="5"/>
        <v>1</v>
      </c>
    </row>
    <row r="41" spans="1:29" ht="15">
      <c r="A41" s="472"/>
      <c r="B41" s="422" t="s">
        <v>2661</v>
      </c>
      <c r="C41" s="616" t="s">
        <v>3625</v>
      </c>
      <c r="D41" s="435">
        <v>100</v>
      </c>
      <c r="E41" s="616" t="s">
        <v>3625</v>
      </c>
      <c r="F41" s="461">
        <f>SUMIF(119:119,E41,120:120)-SUMIF(119:119,C41,120:120)+100</f>
        <v>100</v>
      </c>
      <c r="G41" s="616" t="s">
        <v>3625</v>
      </c>
      <c r="H41" s="435">
        <f>SUMIF(119:119,G41,120:120)-SUMIF(119:119,C41,120:120)+100</f>
        <v>100</v>
      </c>
      <c r="I41" s="616" t="s">
        <v>3625</v>
      </c>
      <c r="J41" s="435">
        <f>SUMIF(119:119,I41,120:120)-SUMIF(119:119,C41,120:120)+100</f>
        <v>100</v>
      </c>
      <c r="K41" s="612">
        <v>2</v>
      </c>
      <c r="L41" s="1140"/>
      <c r="M41" s="1131"/>
      <c r="N41" s="1131"/>
      <c r="O41" s="1131"/>
      <c r="P41" s="3264"/>
      <c r="Q41" s="1809" t="str">
        <f t="shared" si="11"/>
        <v>层高</v>
      </c>
      <c r="R41" s="774" t="s">
        <v>17</v>
      </c>
      <c r="S41" s="775">
        <f t="shared" si="12"/>
        <v>100</v>
      </c>
      <c r="T41" s="774" t="s">
        <v>17</v>
      </c>
      <c r="U41" s="775">
        <f t="shared" si="13"/>
        <v>100</v>
      </c>
      <c r="V41" s="774" t="s">
        <v>17</v>
      </c>
      <c r="W41" s="775">
        <f t="shared" si="14"/>
        <v>100</v>
      </c>
      <c r="X41" s="1812"/>
      <c r="Y41" s="3266"/>
      <c r="Z41" s="1813" t="str">
        <f t="shared" si="15"/>
        <v>层高</v>
      </c>
      <c r="AA41" s="1810">
        <f t="shared" si="3"/>
        <v>1</v>
      </c>
      <c r="AB41" s="1810">
        <f t="shared" si="4"/>
        <v>1</v>
      </c>
      <c r="AC41" s="2672">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6" t="str">
        <f t="shared" si="11"/>
        <v>单套建筑面积</v>
      </c>
      <c r="R42" s="777" t="s">
        <v>17</v>
      </c>
      <c r="S42" s="778">
        <f t="shared" si="12"/>
        <v>100</v>
      </c>
      <c r="T42" s="777" t="s">
        <v>17</v>
      </c>
      <c r="U42" s="778">
        <f t="shared" si="13"/>
        <v>100</v>
      </c>
      <c r="V42" s="777" t="s">
        <v>17</v>
      </c>
      <c r="W42" s="778">
        <f t="shared" si="14"/>
        <v>100</v>
      </c>
      <c r="X42" s="779"/>
      <c r="Y42" s="3266"/>
      <c r="Z42" s="780" t="str">
        <f t="shared" si="15"/>
        <v>单套建筑面积</v>
      </c>
      <c r="AA42" s="1810">
        <f t="shared" si="3"/>
        <v>1</v>
      </c>
      <c r="AB42" s="1810">
        <f t="shared" si="4"/>
        <v>1</v>
      </c>
      <c r="AC42" s="2672">
        <f t="shared" si="5"/>
        <v>1</v>
      </c>
    </row>
    <row r="43" spans="1:29" ht="15">
      <c r="A43" s="472"/>
      <c r="B43" s="422" t="s">
        <v>2664</v>
      </c>
      <c r="C43" s="460" t="s">
        <v>3590</v>
      </c>
      <c r="D43" s="435">
        <v>100</v>
      </c>
      <c r="E43" s="460" t="s">
        <v>3590</v>
      </c>
      <c r="F43" s="461">
        <f>SUMIF(123:123,E43,124:124)-SUMIF(123:123,C43,124:124)+100</f>
        <v>100</v>
      </c>
      <c r="G43" s="460" t="s">
        <v>3590</v>
      </c>
      <c r="H43" s="435">
        <f>SUMIF(123:123,G43,124:124)-SUMIF(123:123,C43,124:124)+100</f>
        <v>100</v>
      </c>
      <c r="I43" s="460" t="s">
        <v>3590</v>
      </c>
      <c r="J43" s="435">
        <f>SUMIF(123:123,I43,124:124)-SUMIF(123:123,C43,124:124)+100</f>
        <v>100</v>
      </c>
      <c r="K43" s="612">
        <v>1.5</v>
      </c>
      <c r="L43" s="1140"/>
      <c r="M43" s="1131"/>
      <c r="N43" s="1131"/>
      <c r="O43" s="1131"/>
      <c r="P43" s="3264"/>
      <c r="Q43" s="1809" t="str">
        <f t="shared" si="11"/>
        <v>内部装修</v>
      </c>
      <c r="R43" s="774" t="s">
        <v>17</v>
      </c>
      <c r="S43" s="775">
        <f t="shared" si="12"/>
        <v>100</v>
      </c>
      <c r="T43" s="774" t="s">
        <v>17</v>
      </c>
      <c r="U43" s="775">
        <f t="shared" si="13"/>
        <v>100</v>
      </c>
      <c r="V43" s="774" t="s">
        <v>17</v>
      </c>
      <c r="W43" s="775">
        <f t="shared" si="14"/>
        <v>100</v>
      </c>
      <c r="X43" s="1812"/>
      <c r="Y43" s="3266"/>
      <c r="Z43" s="1813" t="str">
        <f t="shared" si="15"/>
        <v>内部装修</v>
      </c>
      <c r="AA43" s="1810">
        <f t="shared" si="3"/>
        <v>1</v>
      </c>
      <c r="AB43" s="1810">
        <f t="shared" si="4"/>
        <v>1</v>
      </c>
      <c r="AC43" s="2672">
        <f t="shared" si="5"/>
        <v>1</v>
      </c>
    </row>
    <row r="44" spans="1:29" ht="29.4" thickBot="1">
      <c r="A44" s="472"/>
      <c r="B44" s="422" t="s">
        <v>2572</v>
      </c>
      <c r="C44" s="460" t="s">
        <v>3567</v>
      </c>
      <c r="D44" s="435">
        <v>100</v>
      </c>
      <c r="E44" s="460" t="s">
        <v>3567</v>
      </c>
      <c r="F44" s="461">
        <f>SUMIF(125:125,E44,126:126)-SUMIF(125:125,C44,126:126)+100</f>
        <v>100</v>
      </c>
      <c r="G44" s="460" t="s">
        <v>3567</v>
      </c>
      <c r="H44" s="435">
        <f>SUMIF(125:125,G44,126:126)-SUMIF(125:125,C44,126:126)+100</f>
        <v>100</v>
      </c>
      <c r="I44" s="460" t="s">
        <v>3567</v>
      </c>
      <c r="J44" s="435">
        <f>SUMIF(125:125,I44,126:126)-SUMIF(125:125,C44,126:126)+100</f>
        <v>100</v>
      </c>
      <c r="K44" s="612">
        <v>2</v>
      </c>
      <c r="L44" s="1140"/>
      <c r="M44" s="1131"/>
      <c r="N44" s="1131"/>
      <c r="O44" s="1131"/>
      <c r="P44" s="3264"/>
      <c r="Q44" s="1809" t="str">
        <f t="shared" si="11"/>
        <v>内部装修维护情况</v>
      </c>
      <c r="R44" s="774" t="s">
        <v>17</v>
      </c>
      <c r="S44" s="775">
        <f t="shared" si="12"/>
        <v>100</v>
      </c>
      <c r="T44" s="774" t="s">
        <v>17</v>
      </c>
      <c r="U44" s="775">
        <f t="shared" si="13"/>
        <v>100</v>
      </c>
      <c r="V44" s="774" t="s">
        <v>17</v>
      </c>
      <c r="W44" s="775">
        <f t="shared" si="14"/>
        <v>100</v>
      </c>
      <c r="X44" s="1812"/>
      <c r="Y44" s="3266"/>
      <c r="Z44" s="1813" t="str">
        <f t="shared" si="15"/>
        <v>内部装修维护情况</v>
      </c>
      <c r="AA44" s="1810">
        <f t="shared" si="3"/>
        <v>1</v>
      </c>
      <c r="AB44" s="1810">
        <f t="shared" si="4"/>
        <v>1</v>
      </c>
      <c r="AC44" s="2672">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70" t="s">
        <v>17</v>
      </c>
      <c r="S45" s="771">
        <f t="shared" si="12"/>
        <v>100</v>
      </c>
      <c r="T45" s="770" t="s">
        <v>17</v>
      </c>
      <c r="U45" s="771">
        <f t="shared" si="13"/>
        <v>100</v>
      </c>
      <c r="V45" s="770" t="s">
        <v>17</v>
      </c>
      <c r="W45" s="771">
        <f t="shared" si="14"/>
        <v>100</v>
      </c>
      <c r="X45" s="772"/>
      <c r="Y45" s="3266"/>
      <c r="Z45" s="55">
        <f t="shared" si="15"/>
        <v>111</v>
      </c>
      <c r="AA45" s="773">
        <f t="shared" si="3"/>
        <v>1</v>
      </c>
      <c r="AB45" s="773">
        <f t="shared" si="4"/>
        <v>1</v>
      </c>
      <c r="AC45" s="2669">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2672">
        <f t="shared" si="5"/>
        <v>1</v>
      </c>
    </row>
    <row r="47" spans="1:29" ht="15.6"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4" t="s">
        <v>17</v>
      </c>
      <c r="S47" s="775">
        <f t="shared" si="12"/>
        <v>100</v>
      </c>
      <c r="T47" s="774" t="s">
        <v>17</v>
      </c>
      <c r="U47" s="775">
        <f t="shared" si="13"/>
        <v>100</v>
      </c>
      <c r="V47" s="774" t="s">
        <v>17</v>
      </c>
      <c r="W47" s="775">
        <f t="shared" si="14"/>
        <v>100</v>
      </c>
      <c r="X47" s="1812"/>
      <c r="Y47" s="3267"/>
      <c r="Z47" s="1813">
        <f t="shared" si="15"/>
        <v>111</v>
      </c>
      <c r="AA47" s="1810">
        <f t="shared" si="3"/>
        <v>1</v>
      </c>
      <c r="AB47" s="1810">
        <f t="shared" si="4"/>
        <v>1</v>
      </c>
      <c r="AC47" s="2672">
        <f t="shared" si="5"/>
        <v>1</v>
      </c>
    </row>
    <row r="48" spans="1:29" ht="14.4">
      <c r="A48" s="479" t="s">
        <v>2573</v>
      </c>
      <c r="B48" s="480"/>
      <c r="C48" s="1407" t="s">
        <v>1</v>
      </c>
      <c r="D48" s="1408"/>
      <c r="E48" s="1409">
        <v>35342</v>
      </c>
      <c r="F48" s="1410"/>
      <c r="G48" s="1411">
        <v>38000</v>
      </c>
      <c r="H48" s="1412"/>
      <c r="I48" s="1409">
        <v>36000</v>
      </c>
      <c r="J48" s="485"/>
      <c r="K48" s="783"/>
      <c r="L48" s="1143"/>
      <c r="M48" s="1131"/>
      <c r="N48" s="1131"/>
      <c r="O48" s="1131"/>
      <c r="P48" s="3245" t="str">
        <f>A48</f>
        <v>成交单价（元/平方米）</v>
      </c>
      <c r="Q48" s="3268"/>
      <c r="R48" s="3269">
        <f>E48</f>
        <v>35342</v>
      </c>
      <c r="S48" s="3269"/>
      <c r="T48" s="3269">
        <f>G48</f>
        <v>38000</v>
      </c>
      <c r="U48" s="3269"/>
      <c r="V48" s="3269">
        <f>I48</f>
        <v>36000</v>
      </c>
      <c r="W48" s="3269"/>
      <c r="X48" s="446"/>
      <c r="Y48" s="781"/>
      <c r="Z48" s="446"/>
      <c r="AA48" s="446"/>
      <c r="AB48" s="446"/>
      <c r="AC48" s="630"/>
    </row>
    <row r="49" spans="1:29" ht="15" thickBot="1">
      <c r="A49" s="486" t="s">
        <v>2665</v>
      </c>
      <c r="B49" s="487"/>
      <c r="C49" s="1413">
        <f>R50</f>
        <v>35103</v>
      </c>
      <c r="D49" s="1414"/>
      <c r="E49" s="1415">
        <f>R49</f>
        <v>33141</v>
      </c>
      <c r="F49" s="1415"/>
      <c r="G49" s="1413">
        <f>T49</f>
        <v>36524</v>
      </c>
      <c r="H49" s="1414"/>
      <c r="I49" s="1415">
        <f>V49</f>
        <v>35644</v>
      </c>
      <c r="J49" s="489"/>
      <c r="K49" s="784"/>
      <c r="L49" s="1143"/>
      <c r="M49" s="1131"/>
      <c r="N49" s="1131"/>
      <c r="O49" s="1131"/>
      <c r="P49" s="3245" t="str">
        <f>A49</f>
        <v>比较价值（元/平方米）</v>
      </c>
      <c r="Q49" s="3268"/>
      <c r="R49" s="3269">
        <f>IF(F1="售价",ROUND(PRODUCT(R48,AA7:AA47),0),ROUND(PRODUCT(R48,AA7:AA47),1))</f>
        <v>33141</v>
      </c>
      <c r="S49" s="3269"/>
      <c r="T49" s="3269">
        <f>IF(F1="售价",ROUND(PRODUCT(T48,AB7:AB47),0),ROUND(PRODUCT(T48,AB7:AB47),1))</f>
        <v>36524</v>
      </c>
      <c r="U49" s="3269"/>
      <c r="V49" s="3269">
        <f>IF(F1="售价",ROUND(PRODUCT(V48,AC7:AC47),0),ROUND(PRODUCT(V48,AC7:AC47),1))</f>
        <v>35644</v>
      </c>
      <c r="W49" s="3269"/>
      <c r="X49" s="446"/>
      <c r="Y49" s="446"/>
      <c r="Z49" s="446"/>
      <c r="AA49" s="446"/>
      <c r="AB49" s="446"/>
      <c r="AC49" s="630"/>
    </row>
    <row r="50" spans="1:29" ht="15" thickBot="1">
      <c r="A50" s="492" t="s">
        <v>2666</v>
      </c>
      <c r="B50" s="493"/>
      <c r="C50" s="1417">
        <f>R50</f>
        <v>35103</v>
      </c>
      <c r="D50" s="1417"/>
      <c r="E50" s="1417"/>
      <c r="F50" s="1417"/>
      <c r="G50" s="1417"/>
      <c r="H50" s="1417"/>
      <c r="I50" s="1417"/>
      <c r="J50" s="494"/>
      <c r="K50" s="785"/>
      <c r="L50" s="1143"/>
      <c r="M50" s="1131"/>
      <c r="N50" s="1131"/>
      <c r="O50" s="1131"/>
      <c r="P50" s="3289" t="str">
        <f>A50</f>
        <v>估价对象XX用房的比较价值（楼面单价，元/平方米）</v>
      </c>
      <c r="Q50" s="3290"/>
      <c r="R50" s="3291">
        <f>IF(F1="售价",ROUND(AVERAGE(R49:V49),0),ROUND(AVERAGE(R49:V49),1))</f>
        <v>35103</v>
      </c>
      <c r="S50" s="3291"/>
      <c r="T50" s="3291"/>
      <c r="U50" s="3291"/>
      <c r="V50" s="3291"/>
      <c r="W50" s="329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f>IF(E48&lt;E49,E49/E48-1,E48/E49-1)</f>
        <v>6.6413204188165764E-2</v>
      </c>
      <c r="F53" s="500" t="str">
        <f>IF(OR(E53&gt;=0.3,E53&lt;=-0.3),"超过30%","")</f>
        <v/>
      </c>
      <c r="G53" s="499">
        <f>IF(G48&lt;G49,G49/G48-1,G48/G49-1)</f>
        <v>4.0411784032416964E-2</v>
      </c>
      <c r="H53" s="500" t="str">
        <f>IF(OR(G53&gt;=0.3,G53&lt;=-0.3),"超过30%","")</f>
        <v/>
      </c>
      <c r="I53" s="499">
        <f>IF(I48&lt;I49,I49/I48-1,I48/I49-1)</f>
        <v>9.9876557064302318E-3</v>
      </c>
      <c r="J53" s="500" t="str">
        <f>IF(OR(I53&gt;=0.3,I53&lt;=-0.3),"超过30%","")</f>
        <v/>
      </c>
      <c r="K53" s="1105"/>
      <c r="L53" s="1106"/>
      <c r="M53" s="1144"/>
      <c r="N53" s="1144"/>
      <c r="O53" s="1144"/>
    </row>
    <row r="54" spans="1:29" ht="13.5" customHeight="1">
      <c r="A54" s="1144"/>
      <c r="B54" s="1144"/>
      <c r="C54" s="497" t="s">
        <v>2668</v>
      </c>
      <c r="D54" s="501"/>
      <c r="E54" s="499">
        <f>IF(E49&lt;G49,G49/E49-1,E49/G49-1)</f>
        <v>0.10207899580579949</v>
      </c>
      <c r="F54" s="500" t="str">
        <f>IF(OR(E54&gt;=0.2,E54&lt;=-0.2),"超过20%","")</f>
        <v/>
      </c>
      <c r="G54" s="499">
        <f>IF(G49&lt;I49,I49/G49-1,G49/I49-1)</f>
        <v>2.4688587139490625E-2</v>
      </c>
      <c r="H54" s="500" t="str">
        <f>IF(OR(G54&gt;=0.2,G54&lt;=-0.2),"超过20%","")</f>
        <v/>
      </c>
      <c r="I54" s="499">
        <f>IF(I49&lt;E49,E49/I49-1,I49/E49-1)</f>
        <v>7.5525783772366628E-2</v>
      </c>
      <c r="J54" s="500" t="str">
        <f>IF(OR(I54&gt;=0.2,I54&lt;=-0.2),"超过20%","")</f>
        <v/>
      </c>
      <c r="K54" s="1105"/>
      <c r="L54" s="1106"/>
      <c r="M54" s="1144"/>
      <c r="N54" s="1144"/>
      <c r="O54" s="1144"/>
    </row>
    <row r="55" spans="1:29" s="502" customFormat="1" ht="13.5" customHeight="1">
      <c r="A55" s="1145"/>
      <c r="B55" s="1145"/>
      <c r="C55" s="497" t="s">
        <v>2669</v>
      </c>
      <c r="D55" s="501"/>
      <c r="E55" s="499">
        <f>IF(E48&lt;G48,G48/E48-1,E48/G48-1)</f>
        <v>7.5207967856940838E-2</v>
      </c>
      <c r="F55" s="500" t="str">
        <f>IF(OR(E55&gt;=0.3,E55&lt;=-0.3),"超过30%","")</f>
        <v/>
      </c>
      <c r="G55" s="499">
        <f>IF(G48&lt;I48,I48/G48-1,G48/I48-1)</f>
        <v>5.555555555555558E-2</v>
      </c>
      <c r="H55" s="500" t="str">
        <f>IF(OR(G55&gt;=0.3,G55&lt;=-0.3),"超过30%","")</f>
        <v/>
      </c>
      <c r="I55" s="499">
        <f>IF(I48&lt;E48,E48/I48-1,I48/E48-1)</f>
        <v>1.8618074811838525E-2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2670</v>
      </c>
      <c r="B58" s="759"/>
      <c r="C58" s="764"/>
      <c r="D58" s="764"/>
      <c r="E58" s="764"/>
      <c r="F58" s="765"/>
      <c r="G58" s="765"/>
      <c r="H58" s="764"/>
      <c r="I58" s="764"/>
      <c r="J58" s="764"/>
      <c r="K58" s="766"/>
      <c r="L58" s="1161"/>
      <c r="M58" s="1159"/>
      <c r="N58" s="1159"/>
      <c r="O58" s="1159"/>
      <c r="P58" s="2679"/>
      <c r="Q58" s="504"/>
    </row>
    <row r="59" spans="1:29" s="508" customFormat="1" ht="14.4">
      <c r="A59" s="505" t="s">
        <v>2544</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c r="A60" s="509"/>
      <c r="B60" s="510"/>
      <c r="C60" s="1572">
        <v>100</v>
      </c>
      <c r="D60" s="512">
        <f>C60</f>
        <v>100</v>
      </c>
      <c r="E60" s="512">
        <f>D60</f>
        <v>100</v>
      </c>
      <c r="F60" s="512">
        <v>99</v>
      </c>
      <c r="G60" s="512">
        <f>F60</f>
        <v>99</v>
      </c>
      <c r="H60" s="512">
        <f>F60</f>
        <v>99</v>
      </c>
      <c r="I60" s="512">
        <v>98</v>
      </c>
      <c r="J60" s="512">
        <f>I60</f>
        <v>98</v>
      </c>
      <c r="K60" s="512">
        <f>I60</f>
        <v>98</v>
      </c>
      <c r="L60" s="512">
        <v>97</v>
      </c>
      <c r="M60" s="513">
        <f>L60</f>
        <v>97</v>
      </c>
      <c r="N60" s="512">
        <f>M60</f>
        <v>97</v>
      </c>
      <c r="O60" s="513">
        <v>96</v>
      </c>
      <c r="P60" s="2680"/>
    </row>
    <row r="61" spans="1:29" s="117" customFormat="1" ht="15" thickBot="1">
      <c r="A61" s="515" t="s">
        <v>2581</v>
      </c>
      <c r="B61" s="516"/>
      <c r="C61" s="517"/>
      <c r="D61" s="518"/>
      <c r="E61" s="518"/>
      <c r="F61" s="518"/>
      <c r="G61" s="518"/>
      <c r="H61" s="518"/>
      <c r="I61" s="518"/>
      <c r="J61" s="518"/>
      <c r="K61" s="518"/>
      <c r="L61" s="518"/>
      <c r="M61" s="519"/>
      <c r="N61" s="518"/>
      <c r="O61" s="519"/>
      <c r="P61" s="2680"/>
      <c r="Q61" s="504"/>
    </row>
    <row r="62" spans="1:29" s="117" customFormat="1" ht="14.4">
      <c r="A62" s="521" t="s">
        <v>2546</v>
      </c>
      <c r="B62" s="510"/>
      <c r="C62" s="522" t="s">
        <v>2648</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2584</v>
      </c>
      <c r="B64" s="528" t="s">
        <v>2550</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99.5</v>
      </c>
      <c r="E70" s="544">
        <f t="shared" si="18"/>
        <v>99</v>
      </c>
      <c r="F70" s="544">
        <f t="shared" si="18"/>
        <v>98.5</v>
      </c>
      <c r="G70" s="544">
        <f t="shared" si="18"/>
        <v>98</v>
      </c>
      <c r="H70" s="544">
        <f t="shared" si="18"/>
        <v>97.5</v>
      </c>
      <c r="I70" s="544">
        <f t="shared" si="18"/>
        <v>97</v>
      </c>
      <c r="J70" s="544">
        <f t="shared" si="18"/>
        <v>96.5</v>
      </c>
      <c r="K70" s="544">
        <f t="shared" si="18"/>
        <v>96</v>
      </c>
      <c r="L70" s="544">
        <f t="shared" si="18"/>
        <v>95.5</v>
      </c>
      <c r="M70" s="545">
        <f t="shared" si="18"/>
        <v>95</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2"/>
      <c r="O79" s="1152"/>
      <c r="P79" s="2682"/>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2"/>
      <c r="O81" s="1152"/>
      <c r="P81" s="2682"/>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 thickTop="1">
      <c r="A83" s="534"/>
      <c r="B83" s="546" t="s">
        <v>2685</v>
      </c>
      <c r="C83" s="660" t="s">
        <v>2671</v>
      </c>
      <c r="D83" s="660" t="s">
        <v>2672</v>
      </c>
      <c r="E83" s="660" t="s">
        <v>2673</v>
      </c>
      <c r="F83" s="660" t="s">
        <v>2674</v>
      </c>
      <c r="G83" s="660" t="s">
        <v>2675</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2"/>
      <c r="O85" s="1152"/>
      <c r="P85" s="2682"/>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9.4" thickTop="1">
      <c r="A87" s="579"/>
      <c r="B87" s="538" t="s">
        <v>2695</v>
      </c>
      <c r="C87" s="2973" t="s">
        <v>3628</v>
      </c>
      <c r="D87" s="2973" t="s">
        <v>3629</v>
      </c>
      <c r="E87" s="2973" t="s">
        <v>3631</v>
      </c>
      <c r="F87" s="2973" t="s">
        <v>3632</v>
      </c>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2559</v>
      </c>
      <c r="B101" s="528" t="s">
        <v>2608</v>
      </c>
      <c r="C101" s="2972" t="s">
        <v>3627</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2609</v>
      </c>
      <c r="C103" s="578" t="str">
        <f>C104&amp;"(含)"&amp;"-"&amp;D104</f>
        <v>0(含)-300000</v>
      </c>
      <c r="D103" s="578" t="str">
        <f t="shared" ref="D103:L103" si="23">D104&amp;"(含)"&amp;"-"&amp;E104</f>
        <v>300000(含)-600000</v>
      </c>
      <c r="E103" s="578" t="str">
        <f t="shared" si="23"/>
        <v>600000(含)-900000</v>
      </c>
      <c r="F103" s="578" t="str">
        <f t="shared" si="23"/>
        <v>900000(含)-1200000</v>
      </c>
      <c r="G103" s="578" t="str">
        <f t="shared" si="23"/>
        <v>1200000(含)-1500000</v>
      </c>
      <c r="H103" s="578" t="str">
        <f t="shared" si="23"/>
        <v>1500000(含)-1800000</v>
      </c>
      <c r="I103" s="578" t="str">
        <f t="shared" si="23"/>
        <v>1800000(含)-2100000</v>
      </c>
      <c r="J103" s="578" t="str">
        <f t="shared" si="23"/>
        <v>2100000(含)-2400000</v>
      </c>
      <c r="K103" s="578" t="str">
        <f t="shared" si="23"/>
        <v>2400000(含)-</v>
      </c>
      <c r="L103" s="578" t="str">
        <f t="shared" si="23"/>
        <v>(含)-</v>
      </c>
      <c r="M103" s="622" t="str">
        <f>M104&amp;"(含)"&amp;"-"&amp;P104</f>
        <v>(含)-</v>
      </c>
      <c r="N103" s="1151"/>
      <c r="O103" s="1151"/>
      <c r="P103" s="2682"/>
      <c r="Q103" s="504"/>
    </row>
    <row r="104" spans="1:17" s="471" customFormat="1">
      <c r="A104" s="593"/>
      <c r="B104" s="594"/>
      <c r="C104" s="595">
        <v>0</v>
      </c>
      <c r="D104" s="595">
        <v>300000</v>
      </c>
      <c r="E104" s="595">
        <f>D104+$D$104</f>
        <v>600000</v>
      </c>
      <c r="F104" s="595">
        <f t="shared" ref="F104:I104" si="24">E104+$D$104</f>
        <v>900000</v>
      </c>
      <c r="G104" s="595">
        <f t="shared" si="24"/>
        <v>1200000</v>
      </c>
      <c r="H104" s="595">
        <f t="shared" si="24"/>
        <v>1500000</v>
      </c>
      <c r="I104" s="595">
        <f t="shared" si="24"/>
        <v>1800000</v>
      </c>
      <c r="J104" s="595">
        <f>I104+$D$104</f>
        <v>2100000</v>
      </c>
      <c r="K104" s="595">
        <f>J104+$D$104</f>
        <v>2400000</v>
      </c>
      <c r="L104" s="597"/>
      <c r="M104" s="598"/>
      <c r="N104" s="1154"/>
      <c r="O104" s="1154"/>
      <c r="P104" s="2683"/>
      <c r="Q104" s="559"/>
    </row>
    <row r="105" spans="1:17" s="471" customFormat="1" ht="14.4" thickBot="1">
      <c r="A105" s="553"/>
      <c r="B105" s="543"/>
      <c r="C105" s="560">
        <v>100</v>
      </c>
      <c r="D105" s="536">
        <f>C105+0.5</f>
        <v>100.5</v>
      </c>
      <c r="E105" s="536">
        <f t="shared" ref="E105:K105" si="25">D105+0.5</f>
        <v>101</v>
      </c>
      <c r="F105" s="536">
        <f t="shared" si="25"/>
        <v>101.5</v>
      </c>
      <c r="G105" s="536">
        <f t="shared" si="25"/>
        <v>102</v>
      </c>
      <c r="H105" s="536">
        <f t="shared" si="25"/>
        <v>102.5</v>
      </c>
      <c r="I105" s="536">
        <f t="shared" si="25"/>
        <v>103</v>
      </c>
      <c r="J105" s="536">
        <f t="shared" si="25"/>
        <v>103.5</v>
      </c>
      <c r="K105" s="536">
        <f t="shared" si="25"/>
        <v>104</v>
      </c>
      <c r="L105" s="536"/>
      <c r="M105" s="537"/>
      <c r="N105" s="1153"/>
      <c r="O105" s="1153"/>
      <c r="P105" s="2683"/>
      <c r="Q105" s="559"/>
    </row>
    <row r="106" spans="1:17" ht="15" thickTop="1">
      <c r="A106" s="599"/>
      <c r="B106" s="538" t="s">
        <v>2610</v>
      </c>
      <c r="C106" s="2973" t="s">
        <v>3563</v>
      </c>
      <c r="D106" s="2973" t="s">
        <v>3564</v>
      </c>
      <c r="E106" s="2974" t="s">
        <v>3565</v>
      </c>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2"/>
      <c r="Q107" s="504"/>
    </row>
    <row r="108" spans="1:17" ht="15" thickTop="1">
      <c r="A108" s="599"/>
      <c r="B108" s="538" t="s">
        <v>2612</v>
      </c>
      <c r="C108" s="2973" t="s">
        <v>3571</v>
      </c>
      <c r="D108" s="2973" t="s">
        <v>3572</v>
      </c>
      <c r="E108" s="2973" t="s">
        <v>3573</v>
      </c>
      <c r="F108" s="2974" t="s">
        <v>3574</v>
      </c>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98.5</v>
      </c>
      <c r="E109" s="544">
        <f t="shared" si="27"/>
        <v>97</v>
      </c>
      <c r="F109" s="544">
        <f t="shared" si="27"/>
        <v>95.5</v>
      </c>
      <c r="G109" s="544">
        <f t="shared" si="27"/>
        <v>94</v>
      </c>
      <c r="H109" s="544">
        <f t="shared" si="27"/>
        <v>92.5</v>
      </c>
      <c r="I109" s="544">
        <f t="shared" si="27"/>
        <v>91</v>
      </c>
      <c r="J109" s="544">
        <f t="shared" si="27"/>
        <v>89.5</v>
      </c>
      <c r="K109" s="544">
        <f t="shared" si="27"/>
        <v>88</v>
      </c>
      <c r="L109" s="544">
        <f t="shared" si="27"/>
        <v>86.5</v>
      </c>
      <c r="M109" s="545">
        <f t="shared" si="27"/>
        <v>85</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2696</v>
      </c>
      <c r="C113" s="2973"/>
      <c r="D113" s="2973"/>
      <c r="E113" s="2973"/>
      <c r="F113" s="297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2613</v>
      </c>
      <c r="C115" s="583" t="s">
        <v>3566</v>
      </c>
      <c r="D115" s="583" t="s">
        <v>3567</v>
      </c>
      <c r="E115" s="583" t="s">
        <v>3568</v>
      </c>
      <c r="F115" s="583" t="s">
        <v>3569</v>
      </c>
      <c r="G115" s="583" t="s">
        <v>3570</v>
      </c>
      <c r="H115" s="583"/>
      <c r="I115" s="583"/>
      <c r="J115" s="583"/>
      <c r="K115" s="584"/>
      <c r="L115" s="585"/>
      <c r="M115" s="586"/>
      <c r="N115" s="1152"/>
      <c r="O115" s="1152"/>
      <c r="P115" s="2682"/>
      <c r="Q115" s="504"/>
    </row>
    <row r="116" spans="1:17" ht="14.4"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2"/>
      <c r="Q116" s="504"/>
    </row>
    <row r="117" spans="1:17" ht="15" thickTop="1">
      <c r="A117" s="599"/>
      <c r="B117" s="538" t="s">
        <v>2614</v>
      </c>
      <c r="C117" s="2981" t="s">
        <v>2671</v>
      </c>
      <c r="D117" s="2981" t="s">
        <v>2672</v>
      </c>
      <c r="E117" s="2981" t="s">
        <v>2673</v>
      </c>
      <c r="F117" s="2981" t="s">
        <v>2674</v>
      </c>
      <c r="G117" s="2981" t="s">
        <v>2675</v>
      </c>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2697</v>
      </c>
      <c r="C119" s="2974" t="s">
        <v>3626</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2"/>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2616</v>
      </c>
      <c r="C123" s="2973" t="s">
        <v>3571</v>
      </c>
      <c r="D123" s="2973" t="s">
        <v>3572</v>
      </c>
      <c r="E123" s="2973" t="s">
        <v>3573</v>
      </c>
      <c r="F123" s="2974" t="s">
        <v>3574</v>
      </c>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98.5</v>
      </c>
      <c r="E124" s="544">
        <f t="shared" si="32"/>
        <v>97</v>
      </c>
      <c r="F124" s="544">
        <f t="shared" si="32"/>
        <v>95.5</v>
      </c>
      <c r="G124" s="544">
        <f t="shared" si="32"/>
        <v>94</v>
      </c>
      <c r="H124" s="544">
        <f t="shared" si="32"/>
        <v>92.5</v>
      </c>
      <c r="I124" s="544">
        <f t="shared" si="32"/>
        <v>91</v>
      </c>
      <c r="J124" s="544">
        <f t="shared" si="32"/>
        <v>89.5</v>
      </c>
      <c r="K124" s="544">
        <f t="shared" si="32"/>
        <v>88</v>
      </c>
      <c r="L124" s="544">
        <f t="shared" si="32"/>
        <v>86.5</v>
      </c>
      <c r="M124" s="545">
        <f t="shared" si="32"/>
        <v>85</v>
      </c>
      <c r="N124" s="1153"/>
      <c r="O124" s="1153"/>
      <c r="P124" s="2682"/>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3"/>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67" t="s">
        <v>2698</v>
      </c>
      <c r="C1" s="1619" t="s">
        <v>2526</v>
      </c>
      <c r="D1" s="1620"/>
      <c r="E1" s="1629"/>
      <c r="F1" s="2585"/>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112033.45000000001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46" t="s">
        <v>2642</v>
      </c>
      <c r="D4" s="3247"/>
      <c r="E4" s="3248" t="s">
        <v>2643</v>
      </c>
      <c r="F4" s="3249"/>
      <c r="G4" s="3246" t="s">
        <v>2644</v>
      </c>
      <c r="H4" s="3247"/>
      <c r="I4" s="3246" t="s">
        <v>2645</v>
      </c>
      <c r="J4" s="3247"/>
      <c r="K4" s="610" t="s">
        <v>2646</v>
      </c>
      <c r="L4" s="1130"/>
      <c r="M4" s="1131"/>
      <c r="N4" s="1131"/>
      <c r="O4" s="1131"/>
      <c r="P4" s="3250" t="s">
        <v>2647</v>
      </c>
      <c r="Q4" s="3251"/>
      <c r="R4" s="3233" t="s">
        <v>2643</v>
      </c>
      <c r="S4" s="3234"/>
      <c r="T4" s="3233" t="s">
        <v>2644</v>
      </c>
      <c r="U4" s="3234"/>
      <c r="V4" s="3230" t="s">
        <v>2645</v>
      </c>
      <c r="W4" s="3230"/>
      <c r="X4" s="1812"/>
      <c r="Y4" s="3233" t="s">
        <v>2647</v>
      </c>
      <c r="Z4" s="3234"/>
      <c r="AA4" s="3227" t="s">
        <v>2643</v>
      </c>
      <c r="AB4" s="3228" t="s">
        <v>2644</v>
      </c>
      <c r="AC4" s="3227" t="s">
        <v>2645</v>
      </c>
    </row>
    <row r="5" spans="1:29">
      <c r="A5" s="404"/>
      <c r="B5" s="405"/>
      <c r="C5" s="3239" t="s">
        <v>2538</v>
      </c>
      <c r="D5" s="3240"/>
      <c r="E5" s="3237" t="s">
        <v>2539</v>
      </c>
      <c r="F5" s="3238"/>
      <c r="G5" s="3239" t="s">
        <v>2540</v>
      </c>
      <c r="H5" s="3240"/>
      <c r="I5" s="3239" t="s">
        <v>2541</v>
      </c>
      <c r="J5" s="3240"/>
      <c r="K5" s="610"/>
      <c r="L5" s="1130"/>
      <c r="M5" s="1131"/>
      <c r="N5" s="1131"/>
      <c r="O5" s="1131"/>
      <c r="P5" s="3252"/>
      <c r="Q5" s="3253"/>
      <c r="R5" s="3235"/>
      <c r="S5" s="3236"/>
      <c r="T5" s="3235"/>
      <c r="U5" s="3236"/>
      <c r="V5" s="3230"/>
      <c r="W5" s="3230"/>
      <c r="X5" s="1812"/>
      <c r="Y5" s="3235"/>
      <c r="Z5" s="3236"/>
      <c r="AA5" s="3228"/>
      <c r="AB5" s="3228"/>
      <c r="AC5" s="3228"/>
    </row>
    <row r="6" spans="1:29" ht="15" thickBot="1">
      <c r="A6" s="406"/>
      <c r="B6" s="407"/>
      <c r="C6" s="3241" t="s">
        <v>2542</v>
      </c>
      <c r="D6" s="3242"/>
      <c r="E6" s="3243" t="s">
        <v>2542</v>
      </c>
      <c r="F6" s="3244"/>
      <c r="G6" s="3241" t="s">
        <v>2542</v>
      </c>
      <c r="H6" s="3242"/>
      <c r="I6" s="3241" t="s">
        <v>2542</v>
      </c>
      <c r="J6" s="3242"/>
      <c r="K6" s="610" t="s">
        <v>2543</v>
      </c>
      <c r="L6" s="1130"/>
      <c r="M6" s="1131"/>
      <c r="N6" s="1131"/>
      <c r="O6" s="1131"/>
      <c r="P6" s="3254"/>
      <c r="Q6" s="3255"/>
      <c r="R6" s="3235"/>
      <c r="S6" s="3236"/>
      <c r="T6" s="3256"/>
      <c r="U6" s="3257"/>
      <c r="V6" s="3230"/>
      <c r="W6" s="3230"/>
      <c r="X6" s="1812"/>
      <c r="Y6" s="3256"/>
      <c r="Z6" s="3257"/>
      <c r="AA6" s="3229"/>
      <c r="AB6" s="3229"/>
      <c r="AC6" s="3229"/>
    </row>
    <row r="7" spans="1:29" s="117" customFormat="1" ht="15" thickBot="1">
      <c r="A7" s="408" t="s">
        <v>2544</v>
      </c>
      <c r="B7" s="409"/>
      <c r="C7" s="410">
        <f>'数据-取费表'!B2</f>
        <v>43616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1" t="s">
        <v>2545</v>
      </c>
      <c r="Q7" s="3258"/>
      <c r="R7" s="770" t="s">
        <v>17</v>
      </c>
      <c r="S7" s="771">
        <f t="shared" ref="S7:S15" si="0">F7</f>
        <v>0</v>
      </c>
      <c r="T7" s="770" t="s">
        <v>17</v>
      </c>
      <c r="U7" s="771">
        <f t="shared" ref="U7:U15" si="1">H7</f>
        <v>0</v>
      </c>
      <c r="V7" s="770" t="s">
        <v>17</v>
      </c>
      <c r="W7" s="771">
        <f t="shared" ref="W7:W15" si="2">J7</f>
        <v>0</v>
      </c>
      <c r="X7" s="772"/>
      <c r="Y7" s="3231" t="s">
        <v>2545</v>
      </c>
      <c r="Z7" s="3232"/>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1" t="s">
        <v>2548</v>
      </c>
      <c r="Q8" s="3232"/>
      <c r="R8" s="770" t="s">
        <v>17</v>
      </c>
      <c r="S8" s="771">
        <f t="shared" si="0"/>
        <v>0</v>
      </c>
      <c r="T8" s="770" t="s">
        <v>17</v>
      </c>
      <c r="U8" s="771">
        <f t="shared" si="1"/>
        <v>0</v>
      </c>
      <c r="V8" s="770" t="s">
        <v>17</v>
      </c>
      <c r="W8" s="771">
        <f t="shared" si="2"/>
        <v>0</v>
      </c>
      <c r="X8" s="772"/>
      <c r="Y8" s="3231" t="s">
        <v>2548</v>
      </c>
      <c r="Z8" s="3232"/>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8" t="s">
        <v>2551</v>
      </c>
      <c r="Q9" s="1794" t="str">
        <f t="shared" ref="Q9:Q15" si="6">B9</f>
        <v>用途</v>
      </c>
      <c r="R9" s="770" t="s">
        <v>17</v>
      </c>
      <c r="S9" s="771">
        <f t="shared" si="0"/>
        <v>100</v>
      </c>
      <c r="T9" s="770" t="s">
        <v>17</v>
      </c>
      <c r="U9" s="771">
        <f t="shared" si="1"/>
        <v>100</v>
      </c>
      <c r="V9" s="770" t="s">
        <v>17</v>
      </c>
      <c r="W9" s="771">
        <f t="shared" si="2"/>
        <v>100</v>
      </c>
      <c r="X9" s="772"/>
      <c r="Y9" s="3070"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8"/>
      <c r="Q10" s="1794"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69">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1" t="s">
        <v>2556</v>
      </c>
      <c r="Q15" s="1809" t="str">
        <f t="shared" si="6"/>
        <v>产业集聚程度</v>
      </c>
      <c r="R15" s="774" t="s">
        <v>17</v>
      </c>
      <c r="S15" s="775">
        <f t="shared" si="0"/>
        <v>100</v>
      </c>
      <c r="T15" s="774" t="s">
        <v>17</v>
      </c>
      <c r="U15" s="775">
        <f t="shared" si="1"/>
        <v>100</v>
      </c>
      <c r="V15" s="774" t="s">
        <v>17</v>
      </c>
      <c r="W15" s="775">
        <f t="shared" si="2"/>
        <v>100</v>
      </c>
      <c r="X15" s="1812"/>
      <c r="Y15" s="3261"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2"/>
      <c r="Q16" s="1809"/>
      <c r="R16" s="774"/>
      <c r="S16" s="775"/>
      <c r="T16" s="774"/>
      <c r="U16" s="775"/>
      <c r="V16" s="774"/>
      <c r="W16" s="775"/>
      <c r="X16" s="1812"/>
      <c r="Y16" s="3262"/>
      <c r="Z16" s="1813"/>
      <c r="AA16" s="1810">
        <v>1</v>
      </c>
      <c r="AB16" s="1810">
        <v>1</v>
      </c>
      <c r="AC16" s="1810">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2"/>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62"/>
      <c r="Q18" s="1809"/>
      <c r="R18" s="774"/>
      <c r="S18" s="775"/>
      <c r="T18" s="774"/>
      <c r="U18" s="775"/>
      <c r="V18" s="774"/>
      <c r="W18" s="775"/>
      <c r="X18" s="1812"/>
      <c r="Y18" s="3262"/>
      <c r="Z18" s="1813"/>
      <c r="AA18" s="1810">
        <v>1</v>
      </c>
      <c r="AB18" s="1810">
        <v>1</v>
      </c>
      <c r="AC18" s="1810">
        <v>1</v>
      </c>
    </row>
    <row r="19" spans="1:29" ht="41.4">
      <c r="A19" s="428"/>
      <c r="B19" s="451" t="s">
        <v>2684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2"/>
      <c r="Q19" s="1809" t="str">
        <f>B19</f>
        <v>公共配套设施</v>
      </c>
      <c r="R19" s="774" t="s">
        <v>17</v>
      </c>
      <c r="S19" s="775">
        <f>F19</f>
        <v>100</v>
      </c>
      <c r="T19" s="774" t="s">
        <v>17</v>
      </c>
      <c r="U19" s="775">
        <f>H19</f>
        <v>100</v>
      </c>
      <c r="V19" s="774" t="s">
        <v>17</v>
      </c>
      <c r="W19" s="775">
        <f>J19</f>
        <v>100</v>
      </c>
      <c r="X19" s="1812"/>
      <c r="Y19" s="326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62"/>
      <c r="Q20" s="1809"/>
      <c r="R20" s="774"/>
      <c r="S20" s="775"/>
      <c r="T20" s="774"/>
      <c r="U20" s="775"/>
      <c r="V20" s="774"/>
      <c r="W20" s="775"/>
      <c r="X20" s="1812"/>
      <c r="Y20" s="3262"/>
      <c r="Z20" s="1813"/>
      <c r="AA20" s="1810">
        <v>1</v>
      </c>
      <c r="AB20" s="1810">
        <v>1</v>
      </c>
      <c r="AC20" s="1810">
        <v>1</v>
      </c>
    </row>
    <row r="21" spans="1:29" ht="41.4">
      <c r="A21" s="428"/>
      <c r="B21" s="1384" t="s">
        <v>2685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2"/>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62"/>
      <c r="Q22" s="1809"/>
      <c r="R22" s="774"/>
      <c r="S22" s="775"/>
      <c r="T22" s="774"/>
      <c r="U22" s="775"/>
      <c r="V22" s="774"/>
      <c r="W22" s="775"/>
      <c r="X22" s="1812"/>
      <c r="Y22" s="3262"/>
      <c r="Z22" s="1813"/>
      <c r="AA22" s="1810">
        <v>1</v>
      </c>
      <c r="AB22" s="1810">
        <v>1</v>
      </c>
      <c r="AC22" s="1810">
        <v>1</v>
      </c>
    </row>
    <row r="23" spans="1:29" ht="82.8">
      <c r="A23" s="428"/>
      <c r="B23" s="451" t="s">
        <v>2686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2"/>
      <c r="Q23" s="1809" t="str">
        <f>B23</f>
        <v>环境质量</v>
      </c>
      <c r="R23" s="774" t="s">
        <v>17</v>
      </c>
      <c r="S23" s="775">
        <f>F23</f>
        <v>100</v>
      </c>
      <c r="T23" s="774" t="s">
        <v>17</v>
      </c>
      <c r="U23" s="775">
        <f>H23</f>
        <v>100</v>
      </c>
      <c r="V23" s="774" t="s">
        <v>17</v>
      </c>
      <c r="W23" s="775">
        <f>J23</f>
        <v>100</v>
      </c>
      <c r="X23" s="1812"/>
      <c r="Y23" s="3262"/>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62"/>
      <c r="Q24" s="1809"/>
      <c r="R24" s="774"/>
      <c r="S24" s="775"/>
      <c r="T24" s="774"/>
      <c r="U24" s="775"/>
      <c r="V24" s="774"/>
      <c r="W24" s="775"/>
      <c r="X24" s="1812"/>
      <c r="Y24" s="326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2"/>
      <c r="Q25" s="1809">
        <f>B25</f>
        <v>111</v>
      </c>
      <c r="R25" s="774" t="s">
        <v>17</v>
      </c>
      <c r="S25" s="775">
        <f>F25</f>
        <v>100</v>
      </c>
      <c r="T25" s="774" t="s">
        <v>17</v>
      </c>
      <c r="U25" s="775">
        <f>H25</f>
        <v>100</v>
      </c>
      <c r="V25" s="774" t="s">
        <v>17</v>
      </c>
      <c r="W25" s="775">
        <f>J25</f>
        <v>100</v>
      </c>
      <c r="X25" s="1812"/>
      <c r="Y25" s="326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2"/>
      <c r="Q26" s="1809">
        <f t="shared" ref="Q26:Q40" si="11">B26</f>
        <v>111</v>
      </c>
      <c r="R26" s="774" t="s">
        <v>17</v>
      </c>
      <c r="S26" s="775">
        <f>F26</f>
        <v>100</v>
      </c>
      <c r="T26" s="774" t="s">
        <v>17</v>
      </c>
      <c r="U26" s="775">
        <f>H26</f>
        <v>100</v>
      </c>
      <c r="V26" s="774" t="s">
        <v>17</v>
      </c>
      <c r="W26" s="775">
        <f>J26</f>
        <v>100</v>
      </c>
      <c r="X26" s="1812"/>
      <c r="Y26" s="326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2"/>
      <c r="Q27" s="1794">
        <f t="shared" si="11"/>
        <v>111</v>
      </c>
      <c r="R27" s="770" t="s">
        <v>17</v>
      </c>
      <c r="S27" s="771">
        <f>F27</f>
        <v>100</v>
      </c>
      <c r="T27" s="770" t="s">
        <v>17</v>
      </c>
      <c r="U27" s="771">
        <f>H27</f>
        <v>100</v>
      </c>
      <c r="V27" s="770" t="s">
        <v>17</v>
      </c>
      <c r="W27" s="771">
        <f>J27</f>
        <v>100</v>
      </c>
      <c r="X27" s="772"/>
      <c r="Y27" s="3262"/>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2"/>
      <c r="Q28" s="1809">
        <f t="shared" si="11"/>
        <v>111</v>
      </c>
      <c r="R28" s="774" t="s">
        <v>17</v>
      </c>
      <c r="S28" s="775">
        <f t="shared" ref="S28:S40" si="12">F28</f>
        <v>100</v>
      </c>
      <c r="T28" s="774" t="s">
        <v>17</v>
      </c>
      <c r="U28" s="775">
        <f t="shared" ref="U28:U40" si="13">H28</f>
        <v>100</v>
      </c>
      <c r="V28" s="774" t="s">
        <v>17</v>
      </c>
      <c r="W28" s="775">
        <f t="shared" ref="W28:W40" si="14">J28</f>
        <v>100</v>
      </c>
      <c r="X28" s="1812"/>
      <c r="Y28" s="3262"/>
      <c r="Z28" s="1813">
        <f t="shared" ref="Z28:Z40" si="15">Q28</f>
        <v>111</v>
      </c>
      <c r="AA28" s="1810">
        <f t="shared" si="3"/>
        <v>1</v>
      </c>
      <c r="AB28" s="1810">
        <f t="shared" si="4"/>
        <v>1</v>
      </c>
      <c r="AC28" s="1810">
        <f t="shared" si="5"/>
        <v>1</v>
      </c>
    </row>
    <row r="29" spans="1:29" ht="30">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92" t="s">
        <v>2561</v>
      </c>
      <c r="Q29" s="1809" t="str">
        <f t="shared" si="11"/>
        <v>建筑类型</v>
      </c>
      <c r="R29" s="774" t="s">
        <v>17</v>
      </c>
      <c r="S29" s="775">
        <f t="shared" si="12"/>
        <v>100</v>
      </c>
      <c r="T29" s="774" t="s">
        <v>17</v>
      </c>
      <c r="U29" s="775">
        <f t="shared" si="13"/>
        <v>100</v>
      </c>
      <c r="V29" s="774" t="s">
        <v>17</v>
      </c>
      <c r="W29" s="775">
        <f t="shared" si="14"/>
        <v>100</v>
      </c>
      <c r="X29" s="1812"/>
      <c r="Y29" s="3266"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6"/>
      <c r="Q30" s="776" t="str">
        <f t="shared" si="11"/>
        <v>项目建筑规模</v>
      </c>
      <c r="R30" s="777" t="s">
        <v>17</v>
      </c>
      <c r="S30" s="778" t="e">
        <f t="shared" si="12"/>
        <v>#N/A</v>
      </c>
      <c r="T30" s="777" t="s">
        <v>17</v>
      </c>
      <c r="U30" s="778" t="e">
        <f t="shared" si="13"/>
        <v>#N/A</v>
      </c>
      <c r="V30" s="777" t="s">
        <v>17</v>
      </c>
      <c r="W30" s="778" t="e">
        <f t="shared" si="14"/>
        <v>#N/A</v>
      </c>
      <c r="X30" s="779"/>
      <c r="Y30" s="3266"/>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6"/>
      <c r="Q31" s="1809" t="str">
        <f t="shared" si="11"/>
        <v>建筑结构</v>
      </c>
      <c r="R31" s="774" t="s">
        <v>17</v>
      </c>
      <c r="S31" s="775">
        <f t="shared" si="12"/>
        <v>100</v>
      </c>
      <c r="T31" s="774" t="s">
        <v>17</v>
      </c>
      <c r="U31" s="775">
        <f t="shared" si="13"/>
        <v>100</v>
      </c>
      <c r="V31" s="774" t="s">
        <v>17</v>
      </c>
      <c r="W31" s="775">
        <f t="shared" si="14"/>
        <v>100</v>
      </c>
      <c r="X31" s="1812"/>
      <c r="Y31" s="3266"/>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6"/>
      <c r="Q32" s="1809" t="str">
        <f t="shared" si="11"/>
        <v>公共部分装修</v>
      </c>
      <c r="R32" s="774" t="s">
        <v>17</v>
      </c>
      <c r="S32" s="775">
        <f t="shared" si="12"/>
        <v>100</v>
      </c>
      <c r="T32" s="774" t="s">
        <v>17</v>
      </c>
      <c r="U32" s="775">
        <f t="shared" si="13"/>
        <v>100</v>
      </c>
      <c r="V32" s="774" t="s">
        <v>17</v>
      </c>
      <c r="W32" s="775">
        <f t="shared" si="14"/>
        <v>100</v>
      </c>
      <c r="X32" s="1812"/>
      <c r="Y32" s="3266"/>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6"/>
      <c r="Q33" s="1809" t="str">
        <f t="shared" si="11"/>
        <v>成新度</v>
      </c>
      <c r="R33" s="774" t="s">
        <v>17</v>
      </c>
      <c r="S33" s="775" t="e">
        <f t="shared" si="12"/>
        <v>#N/A</v>
      </c>
      <c r="T33" s="774" t="s">
        <v>17</v>
      </c>
      <c r="U33" s="775" t="e">
        <f t="shared" si="13"/>
        <v>#N/A</v>
      </c>
      <c r="V33" s="774" t="s">
        <v>17</v>
      </c>
      <c r="W33" s="775" t="e">
        <f t="shared" si="14"/>
        <v>#N/A</v>
      </c>
      <c r="X33" s="1812"/>
      <c r="Y33" s="3266"/>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6"/>
      <c r="Q34" s="1794" t="str">
        <f t="shared" si="11"/>
        <v>物业管理</v>
      </c>
      <c r="R34" s="770" t="s">
        <v>17</v>
      </c>
      <c r="S34" s="771">
        <f t="shared" si="12"/>
        <v>100</v>
      </c>
      <c r="T34" s="770" t="s">
        <v>17</v>
      </c>
      <c r="U34" s="771">
        <f t="shared" si="13"/>
        <v>100</v>
      </c>
      <c r="V34" s="770" t="s">
        <v>17</v>
      </c>
      <c r="W34" s="771">
        <f t="shared" si="14"/>
        <v>100</v>
      </c>
      <c r="X34" s="772"/>
      <c r="Y34" s="3266"/>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6" t="s">
        <v>2561</v>
      </c>
      <c r="Q35" s="1809" t="str">
        <f t="shared" si="11"/>
        <v>市政基础设施</v>
      </c>
      <c r="R35" s="774" t="s">
        <v>17</v>
      </c>
      <c r="S35" s="775">
        <f t="shared" si="12"/>
        <v>100</v>
      </c>
      <c r="T35" s="774" t="s">
        <v>17</v>
      </c>
      <c r="U35" s="775">
        <f t="shared" si="13"/>
        <v>100</v>
      </c>
      <c r="V35" s="774" t="s">
        <v>17</v>
      </c>
      <c r="W35" s="775">
        <f t="shared" si="14"/>
        <v>100</v>
      </c>
      <c r="X35" s="1812"/>
      <c r="Y35" s="3266"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6"/>
      <c r="Q36" s="1809" t="str">
        <f t="shared" si="11"/>
        <v>内部装修</v>
      </c>
      <c r="R36" s="774" t="s">
        <v>17</v>
      </c>
      <c r="S36" s="775">
        <f t="shared" si="12"/>
        <v>100</v>
      </c>
      <c r="T36" s="774" t="s">
        <v>17</v>
      </c>
      <c r="U36" s="775">
        <f t="shared" si="13"/>
        <v>100</v>
      </c>
      <c r="V36" s="774" t="s">
        <v>17</v>
      </c>
      <c r="W36" s="775">
        <f t="shared" si="14"/>
        <v>100</v>
      </c>
      <c r="X36" s="1812"/>
      <c r="Y36" s="3266"/>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6"/>
      <c r="Q37" s="1809" t="str">
        <f t="shared" si="11"/>
        <v>内部装修状况</v>
      </c>
      <c r="R37" s="774" t="s">
        <v>17</v>
      </c>
      <c r="S37" s="775">
        <f t="shared" si="12"/>
        <v>100</v>
      </c>
      <c r="T37" s="774" t="s">
        <v>17</v>
      </c>
      <c r="U37" s="775">
        <f t="shared" si="13"/>
        <v>100</v>
      </c>
      <c r="V37" s="774" t="s">
        <v>17</v>
      </c>
      <c r="W37" s="775">
        <f t="shared" si="14"/>
        <v>100</v>
      </c>
      <c r="X37" s="1812"/>
      <c r="Y37" s="326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6"/>
      <c r="Q38" s="776">
        <f t="shared" si="11"/>
        <v>111</v>
      </c>
      <c r="R38" s="777" t="s">
        <v>17</v>
      </c>
      <c r="S38" s="778">
        <f t="shared" si="12"/>
        <v>100</v>
      </c>
      <c r="T38" s="777" t="s">
        <v>17</v>
      </c>
      <c r="U38" s="778">
        <f t="shared" si="13"/>
        <v>100</v>
      </c>
      <c r="V38" s="777" t="s">
        <v>17</v>
      </c>
      <c r="W38" s="778">
        <f t="shared" si="14"/>
        <v>100</v>
      </c>
      <c r="X38" s="779"/>
      <c r="Y38" s="326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6"/>
      <c r="Q39" s="1809">
        <f t="shared" si="11"/>
        <v>111</v>
      </c>
      <c r="R39" s="774" t="s">
        <v>17</v>
      </c>
      <c r="S39" s="775">
        <f t="shared" si="12"/>
        <v>100</v>
      </c>
      <c r="T39" s="774" t="s">
        <v>17</v>
      </c>
      <c r="U39" s="775">
        <f t="shared" si="13"/>
        <v>100</v>
      </c>
      <c r="V39" s="774" t="s">
        <v>17</v>
      </c>
      <c r="W39" s="775">
        <f t="shared" si="14"/>
        <v>100</v>
      </c>
      <c r="X39" s="1812"/>
      <c r="Y39" s="3266"/>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7"/>
      <c r="Q40" s="1809">
        <f t="shared" si="11"/>
        <v>111</v>
      </c>
      <c r="R40" s="774" t="s">
        <v>17</v>
      </c>
      <c r="S40" s="775">
        <f t="shared" si="12"/>
        <v>100</v>
      </c>
      <c r="T40" s="774" t="s">
        <v>17</v>
      </c>
      <c r="U40" s="775">
        <f t="shared" si="13"/>
        <v>100</v>
      </c>
      <c r="V40" s="774" t="s">
        <v>17</v>
      </c>
      <c r="W40" s="775">
        <f t="shared" si="14"/>
        <v>100</v>
      </c>
      <c r="X40" s="1812"/>
      <c r="Y40" s="3267"/>
      <c r="Z40" s="1813">
        <f t="shared" si="15"/>
        <v>111</v>
      </c>
      <c r="AA40" s="1810">
        <f t="shared" si="3"/>
        <v>1</v>
      </c>
      <c r="AB40" s="1810">
        <f t="shared" si="4"/>
        <v>1</v>
      </c>
      <c r="AC40" s="1810">
        <f t="shared" si="5"/>
        <v>1</v>
      </c>
    </row>
    <row r="41" spans="1:29" ht="14.4">
      <c r="A41" s="479" t="s">
        <v>2573</v>
      </c>
      <c r="B41" s="480"/>
      <c r="C41" s="1407" t="s">
        <v>1</v>
      </c>
      <c r="D41" s="1408"/>
      <c r="E41" s="1409"/>
      <c r="F41" s="1410"/>
      <c r="G41" s="1411"/>
      <c r="H41" s="1412"/>
      <c r="I41" s="1409"/>
      <c r="J41" s="1412"/>
      <c r="K41" s="783"/>
      <c r="L41" s="1143"/>
      <c r="M41" s="1144"/>
      <c r="N41" s="1131"/>
      <c r="O41" s="1144"/>
      <c r="P41" s="3268" t="str">
        <f>A41</f>
        <v>成交单价（元/平方米）</v>
      </c>
      <c r="Q41" s="3268"/>
      <c r="R41" s="3269">
        <f>E41</f>
        <v>0</v>
      </c>
      <c r="S41" s="3269"/>
      <c r="T41" s="3269">
        <f>G41</f>
        <v>0</v>
      </c>
      <c r="U41" s="3269"/>
      <c r="V41" s="3269">
        <f>I41</f>
        <v>0</v>
      </c>
      <c r="W41" s="3269"/>
      <c r="X41" s="759"/>
      <c r="Y41" s="781"/>
      <c r="Z41" s="759"/>
      <c r="AA41" s="759"/>
      <c r="AB41" s="759"/>
      <c r="AC41" s="759"/>
    </row>
    <row r="42" spans="1:29" ht="1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9"/>
      <c r="Y42" s="759"/>
      <c r="Z42" s="759"/>
      <c r="AA42" s="759"/>
      <c r="AB42" s="759"/>
      <c r="AC42" s="759"/>
    </row>
    <row r="43" spans="1:29" ht="15" thickBot="1">
      <c r="A43" s="492" t="s">
        <v>2666</v>
      </c>
      <c r="B43" s="493"/>
      <c r="C43" s="1417" t="e">
        <f>R43</f>
        <v>#DIV/0!</v>
      </c>
      <c r="D43" s="1417"/>
      <c r="E43" s="1417"/>
      <c r="F43" s="1417"/>
      <c r="G43" s="1417"/>
      <c r="H43" s="1417"/>
      <c r="I43" s="1417"/>
      <c r="J43" s="1417"/>
      <c r="K43" s="785"/>
      <c r="L43" s="1143"/>
      <c r="M43" s="1144"/>
      <c r="N43" s="1144"/>
      <c r="O43" s="1144"/>
      <c r="P43" s="3270" t="str">
        <f>A43</f>
        <v>估价对象XX用房的比较价值（楼面单价，元/平方米）</v>
      </c>
      <c r="Q43" s="3271"/>
      <c r="R43" s="3272" t="e">
        <f>IF(F1="售价",ROUND(AVERAGE(R42:V42),0),ROUND(AVERAGE(R42:V42),1))</f>
        <v>#DIV/0!</v>
      </c>
      <c r="S43" s="3272"/>
      <c r="T43" s="3272"/>
      <c r="U43" s="3272"/>
      <c r="V43" s="3272"/>
      <c r="W43" s="327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2670</v>
      </c>
      <c r="B51" s="759"/>
      <c r="C51" s="764"/>
      <c r="D51" s="764"/>
      <c r="E51" s="764"/>
      <c r="F51" s="765"/>
      <c r="G51" s="765"/>
      <c r="H51" s="764"/>
      <c r="I51" s="764"/>
      <c r="J51" s="764"/>
      <c r="K51" s="1160"/>
      <c r="L51" s="1161"/>
      <c r="M51" s="1159"/>
      <c r="N51" s="1159"/>
      <c r="O51" s="1159"/>
      <c r="P51" s="503"/>
      <c r="Q51" s="504"/>
    </row>
    <row r="52" spans="1:17" s="508" customFormat="1" ht="14.4">
      <c r="A52" s="505" t="s">
        <v>2544</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2584</v>
      </c>
      <c r="B57" s="528" t="s">
        <v>2550</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2559</v>
      </c>
      <c r="B88" s="528" t="s">
        <v>2608</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1"/>
      <c r="F1" s="2585"/>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2641</v>
      </c>
      <c r="B4" s="402"/>
      <c r="C4" s="3246" t="s">
        <v>2642</v>
      </c>
      <c r="D4" s="3247"/>
      <c r="E4" s="3248" t="s">
        <v>2643</v>
      </c>
      <c r="F4" s="3249"/>
      <c r="G4" s="3246" t="s">
        <v>2644</v>
      </c>
      <c r="H4" s="3247"/>
      <c r="I4" s="3246" t="s">
        <v>2645</v>
      </c>
      <c r="J4" s="3247"/>
      <c r="K4" s="610" t="s">
        <v>2646</v>
      </c>
      <c r="L4" s="1130"/>
      <c r="M4" s="1131"/>
      <c r="N4" s="1131"/>
      <c r="O4" s="1131"/>
      <c r="P4" s="3250" t="s">
        <v>2647</v>
      </c>
      <c r="Q4" s="3251"/>
      <c r="R4" s="3233" t="s">
        <v>2643</v>
      </c>
      <c r="S4" s="3234"/>
      <c r="T4" s="3233" t="s">
        <v>2644</v>
      </c>
      <c r="U4" s="3234"/>
      <c r="V4" s="3230" t="s">
        <v>2645</v>
      </c>
      <c r="W4" s="3230"/>
      <c r="X4" s="1812"/>
      <c r="Y4" s="3233" t="s">
        <v>2647</v>
      </c>
      <c r="Z4" s="3234"/>
      <c r="AA4" s="3227" t="s">
        <v>2643</v>
      </c>
      <c r="AB4" s="3228" t="s">
        <v>2644</v>
      </c>
      <c r="AC4" s="3227" t="s">
        <v>2645</v>
      </c>
    </row>
    <row r="5" spans="1:29">
      <c r="A5" s="404"/>
      <c r="B5" s="405"/>
      <c r="C5" s="3239" t="s">
        <v>2538</v>
      </c>
      <c r="D5" s="3240"/>
      <c r="E5" s="3237" t="s">
        <v>2539</v>
      </c>
      <c r="F5" s="3238"/>
      <c r="G5" s="3239" t="s">
        <v>2540</v>
      </c>
      <c r="H5" s="3240"/>
      <c r="I5" s="3239" t="s">
        <v>2541</v>
      </c>
      <c r="J5" s="3240"/>
      <c r="K5" s="610"/>
      <c r="L5" s="1130"/>
      <c r="M5" s="1131"/>
      <c r="N5" s="1131"/>
      <c r="O5" s="1131"/>
      <c r="P5" s="3252"/>
      <c r="Q5" s="3253"/>
      <c r="R5" s="3235"/>
      <c r="S5" s="3236"/>
      <c r="T5" s="3235"/>
      <c r="U5" s="3236"/>
      <c r="V5" s="3230"/>
      <c r="W5" s="3230"/>
      <c r="X5" s="1812"/>
      <c r="Y5" s="3235"/>
      <c r="Z5" s="3236"/>
      <c r="AA5" s="3228"/>
      <c r="AB5" s="3228"/>
      <c r="AC5" s="3228"/>
    </row>
    <row r="6" spans="1:29" ht="15" thickBot="1">
      <c r="A6" s="406"/>
      <c r="B6" s="407"/>
      <c r="C6" s="3241" t="s">
        <v>2542</v>
      </c>
      <c r="D6" s="3242"/>
      <c r="E6" s="3243" t="s">
        <v>2542</v>
      </c>
      <c r="F6" s="3244"/>
      <c r="G6" s="3241" t="s">
        <v>2542</v>
      </c>
      <c r="H6" s="3242"/>
      <c r="I6" s="3241" t="s">
        <v>2542</v>
      </c>
      <c r="J6" s="3242"/>
      <c r="K6" s="610" t="s">
        <v>2543</v>
      </c>
      <c r="L6" s="1130"/>
      <c r="M6" s="1131"/>
      <c r="N6" s="1131"/>
      <c r="O6" s="1131"/>
      <c r="P6" s="3254"/>
      <c r="Q6" s="3255"/>
      <c r="R6" s="3235"/>
      <c r="S6" s="3236"/>
      <c r="T6" s="3256"/>
      <c r="U6" s="3257"/>
      <c r="V6" s="3230"/>
      <c r="W6" s="3230"/>
      <c r="X6" s="1812"/>
      <c r="Y6" s="3256"/>
      <c r="Z6" s="3257"/>
      <c r="AA6" s="3229"/>
      <c r="AB6" s="3229"/>
      <c r="AC6" s="3229"/>
    </row>
    <row r="7" spans="1:29" s="117" customFormat="1" ht="15" thickBot="1">
      <c r="A7" s="408" t="s">
        <v>2544</v>
      </c>
      <c r="B7" s="409"/>
      <c r="C7" s="410">
        <f>'数据-取费表'!B2</f>
        <v>43616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1" t="s">
        <v>2545</v>
      </c>
      <c r="Q7" s="3258"/>
      <c r="R7" s="770" t="s">
        <v>17</v>
      </c>
      <c r="S7" s="771">
        <f t="shared" ref="S7:S14" si="0">F7</f>
        <v>0</v>
      </c>
      <c r="T7" s="770" t="s">
        <v>17</v>
      </c>
      <c r="U7" s="771">
        <f t="shared" ref="U7:U14" si="1">H7</f>
        <v>0</v>
      </c>
      <c r="V7" s="770" t="s">
        <v>17</v>
      </c>
      <c r="W7" s="771">
        <f t="shared" ref="W7:W14" si="2">J7</f>
        <v>0</v>
      </c>
      <c r="X7" s="772"/>
      <c r="Y7" s="3231" t="s">
        <v>2545</v>
      </c>
      <c r="Z7" s="3232"/>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1" t="s">
        <v>2548</v>
      </c>
      <c r="Q8" s="3232"/>
      <c r="R8" s="770" t="s">
        <v>17</v>
      </c>
      <c r="S8" s="771">
        <f t="shared" si="0"/>
        <v>0</v>
      </c>
      <c r="T8" s="770" t="s">
        <v>17</v>
      </c>
      <c r="U8" s="771">
        <f t="shared" si="1"/>
        <v>0</v>
      </c>
      <c r="V8" s="770" t="s">
        <v>17</v>
      </c>
      <c r="W8" s="771">
        <f t="shared" si="2"/>
        <v>0</v>
      </c>
      <c r="X8" s="772"/>
      <c r="Y8" s="3231" t="s">
        <v>2548</v>
      </c>
      <c r="Z8" s="3232"/>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8" t="s">
        <v>2551</v>
      </c>
      <c r="Q9" s="1794" t="str">
        <f t="shared" ref="Q9:Q14" si="6">B9</f>
        <v>用途</v>
      </c>
      <c r="R9" s="770" t="s">
        <v>17</v>
      </c>
      <c r="S9" s="771">
        <f t="shared" si="0"/>
        <v>100</v>
      </c>
      <c r="T9" s="770" t="s">
        <v>17</v>
      </c>
      <c r="U9" s="771">
        <f t="shared" si="1"/>
        <v>100</v>
      </c>
      <c r="V9" s="770" t="s">
        <v>17</v>
      </c>
      <c r="W9" s="771">
        <f t="shared" si="2"/>
        <v>100</v>
      </c>
      <c r="X9" s="772"/>
      <c r="Y9" s="3070"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8"/>
      <c r="Q10" s="1794"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8"/>
      <c r="Q11" s="1794">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8"/>
      <c r="Q12" s="1794">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8"/>
      <c r="Q13" s="1794">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96.6">
      <c r="A14" s="401" t="s">
        <v>2555</v>
      </c>
      <c r="B14" s="629" t="s">
        <v>2705</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1" t="s">
        <v>2556</v>
      </c>
      <c r="Q14" s="1809" t="str">
        <f t="shared" si="6"/>
        <v>交通便捷度</v>
      </c>
      <c r="R14" s="774" t="s">
        <v>17</v>
      </c>
      <c r="S14" s="775">
        <f t="shared" si="0"/>
        <v>100</v>
      </c>
      <c r="T14" s="774" t="s">
        <v>17</v>
      </c>
      <c r="U14" s="775">
        <f t="shared" si="1"/>
        <v>100</v>
      </c>
      <c r="V14" s="774" t="s">
        <v>17</v>
      </c>
      <c r="W14" s="775">
        <f t="shared" si="2"/>
        <v>100</v>
      </c>
      <c r="X14" s="1812"/>
      <c r="Y14" s="3261"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2"/>
      <c r="Q15" s="1809"/>
      <c r="R15" s="774"/>
      <c r="S15" s="775"/>
      <c r="T15" s="774"/>
      <c r="U15" s="775"/>
      <c r="V15" s="774"/>
      <c r="W15" s="775"/>
      <c r="X15" s="1812"/>
      <c r="Y15" s="3262"/>
      <c r="Z15" s="1813"/>
      <c r="AA15" s="1810">
        <v>1</v>
      </c>
      <c r="AB15" s="1810">
        <v>1</v>
      </c>
      <c r="AC15" s="1810">
        <v>1</v>
      </c>
    </row>
    <row r="16" spans="1:29" ht="41.4">
      <c r="A16" s="404"/>
      <c r="B16" s="631" t="s">
        <v>2684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2"/>
      <c r="Q16" s="1809" t="str">
        <f>B16</f>
        <v>公共配套设施</v>
      </c>
      <c r="R16" s="774" t="s">
        <v>17</v>
      </c>
      <c r="S16" s="775">
        <f>F16</f>
        <v>100</v>
      </c>
      <c r="T16" s="774" t="s">
        <v>17</v>
      </c>
      <c r="U16" s="775">
        <f>H16</f>
        <v>100</v>
      </c>
      <c r="V16" s="774" t="s">
        <v>17</v>
      </c>
      <c r="W16" s="775">
        <f>J16</f>
        <v>100</v>
      </c>
      <c r="X16" s="1812"/>
      <c r="Y16" s="3262"/>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62"/>
      <c r="Q17" s="1809"/>
      <c r="R17" s="774"/>
      <c r="S17" s="775"/>
      <c r="T17" s="774"/>
      <c r="U17" s="775"/>
      <c r="V17" s="774"/>
      <c r="W17" s="775"/>
      <c r="X17" s="1812"/>
      <c r="Y17" s="3262"/>
      <c r="Z17" s="1813"/>
      <c r="AA17" s="1810">
        <v>1</v>
      </c>
      <c r="AB17" s="1810">
        <v>1</v>
      </c>
      <c r="AC17" s="1810">
        <v>1</v>
      </c>
    </row>
    <row r="18" spans="1:29" ht="41.4">
      <c r="A18" s="404"/>
      <c r="B18" s="633" t="s">
        <v>2685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2"/>
      <c r="Q18" s="1809" t="str">
        <f>B18</f>
        <v>基础设施水平</v>
      </c>
      <c r="R18" s="774" t="s">
        <v>17</v>
      </c>
      <c r="S18" s="775">
        <f>F18</f>
        <v>100</v>
      </c>
      <c r="T18" s="774" t="s">
        <v>17</v>
      </c>
      <c r="U18" s="775">
        <f>H18</f>
        <v>100</v>
      </c>
      <c r="V18" s="774" t="s">
        <v>17</v>
      </c>
      <c r="W18" s="775">
        <f>J18</f>
        <v>100</v>
      </c>
      <c r="X18" s="1812"/>
      <c r="Y18" s="3262"/>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62"/>
      <c r="Q19" s="1809"/>
      <c r="R19" s="774"/>
      <c r="S19" s="775"/>
      <c r="T19" s="774"/>
      <c r="U19" s="775"/>
      <c r="V19" s="774"/>
      <c r="W19" s="775"/>
      <c r="X19" s="1812"/>
      <c r="Y19" s="3262"/>
      <c r="Z19" s="1813"/>
      <c r="AA19" s="1810">
        <v>1</v>
      </c>
      <c r="AB19" s="1810">
        <v>1</v>
      </c>
      <c r="AC19" s="1810">
        <v>1</v>
      </c>
    </row>
    <row r="20" spans="1:29" ht="55.2">
      <c r="A20" s="404"/>
      <c r="B20" s="631" t="s">
        <v>2706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2"/>
      <c r="Q20" s="1809" t="str">
        <f>B20</f>
        <v>自然及人文环境</v>
      </c>
      <c r="R20" s="774" t="s">
        <v>17</v>
      </c>
      <c r="S20" s="775">
        <f>F20</f>
        <v>100</v>
      </c>
      <c r="T20" s="774" t="s">
        <v>17</v>
      </c>
      <c r="U20" s="775">
        <f>H20</f>
        <v>100</v>
      </c>
      <c r="V20" s="774" t="s">
        <v>17</v>
      </c>
      <c r="W20" s="775">
        <f>J20</f>
        <v>100</v>
      </c>
      <c r="X20" s="1812"/>
      <c r="Y20" s="326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2"/>
      <c r="Q21" s="1809"/>
      <c r="R21" s="774"/>
      <c r="S21" s="775"/>
      <c r="T21" s="774"/>
      <c r="U21" s="775"/>
      <c r="V21" s="774"/>
      <c r="W21" s="775"/>
      <c r="X21" s="1812"/>
      <c r="Y21" s="3262"/>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2"/>
      <c r="Q22" s="1809" t="str">
        <f>B22</f>
        <v>楼层</v>
      </c>
      <c r="R22" s="774" t="s">
        <v>17</v>
      </c>
      <c r="S22" s="775">
        <f>F22</f>
        <v>100</v>
      </c>
      <c r="T22" s="774" t="s">
        <v>17</v>
      </c>
      <c r="U22" s="775">
        <f>H22</f>
        <v>100</v>
      </c>
      <c r="V22" s="774" t="s">
        <v>17</v>
      </c>
      <c r="W22" s="775">
        <f>J22</f>
        <v>100</v>
      </c>
      <c r="X22" s="1812"/>
      <c r="Y22" s="326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2"/>
      <c r="Q23" s="1809">
        <f>B23</f>
        <v>111</v>
      </c>
      <c r="R23" s="774" t="s">
        <v>17</v>
      </c>
      <c r="S23" s="775">
        <f>F23</f>
        <v>100</v>
      </c>
      <c r="T23" s="774" t="s">
        <v>17</v>
      </c>
      <c r="U23" s="775">
        <f>H23</f>
        <v>100</v>
      </c>
      <c r="V23" s="774" t="s">
        <v>17</v>
      </c>
      <c r="W23" s="775">
        <f>J23</f>
        <v>100</v>
      </c>
      <c r="X23" s="1812"/>
      <c r="Y23" s="326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2"/>
      <c r="Q24" s="1809">
        <f t="shared" ref="Q24:Q36" si="11">B24</f>
        <v>111</v>
      </c>
      <c r="R24" s="774" t="s">
        <v>17</v>
      </c>
      <c r="S24" s="775">
        <f>F24</f>
        <v>100</v>
      </c>
      <c r="T24" s="774" t="s">
        <v>17</v>
      </c>
      <c r="U24" s="775">
        <f>H24</f>
        <v>100</v>
      </c>
      <c r="V24" s="774" t="s">
        <v>17</v>
      </c>
      <c r="W24" s="775">
        <f>J24</f>
        <v>100</v>
      </c>
      <c r="X24" s="1812"/>
      <c r="Y24" s="3262"/>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2"/>
      <c r="Q25" s="1794">
        <f t="shared" si="11"/>
        <v>111</v>
      </c>
      <c r="R25" s="770" t="s">
        <v>17</v>
      </c>
      <c r="S25" s="771">
        <f>F25</f>
        <v>100</v>
      </c>
      <c r="T25" s="770" t="s">
        <v>17</v>
      </c>
      <c r="U25" s="771">
        <f>H25</f>
        <v>100</v>
      </c>
      <c r="V25" s="770" t="s">
        <v>17</v>
      </c>
      <c r="W25" s="771">
        <f>J25</f>
        <v>100</v>
      </c>
      <c r="X25" s="772"/>
      <c r="Y25" s="3262"/>
      <c r="Z25" s="55">
        <f>Q25</f>
        <v>111</v>
      </c>
      <c r="AA25" s="1810">
        <f>D25/F25</f>
        <v>1</v>
      </c>
      <c r="AB25" s="1810">
        <f>D25/H25</f>
        <v>1</v>
      </c>
      <c r="AC25" s="1810">
        <f>D25/J25</f>
        <v>1</v>
      </c>
    </row>
    <row r="26" spans="1:29" ht="30">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2"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6"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6"/>
      <c r="Q27" s="776" t="str">
        <f t="shared" si="11"/>
        <v>项目停车位配比</v>
      </c>
      <c r="R27" s="777" t="s">
        <v>17</v>
      </c>
      <c r="S27" s="778">
        <f t="shared" si="12"/>
        <v>100</v>
      </c>
      <c r="T27" s="777" t="s">
        <v>17</v>
      </c>
      <c r="U27" s="778">
        <f t="shared" si="13"/>
        <v>100</v>
      </c>
      <c r="V27" s="777" t="s">
        <v>17</v>
      </c>
      <c r="W27" s="778">
        <f t="shared" si="14"/>
        <v>100</v>
      </c>
      <c r="X27" s="779"/>
      <c r="Y27" s="3266"/>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6"/>
      <c r="Q28" s="1809" t="str">
        <f t="shared" si="11"/>
        <v>公共部分装修</v>
      </c>
      <c r="R28" s="774" t="s">
        <v>17</v>
      </c>
      <c r="S28" s="775">
        <f t="shared" si="12"/>
        <v>100</v>
      </c>
      <c r="T28" s="774" t="s">
        <v>17</v>
      </c>
      <c r="U28" s="775">
        <f t="shared" si="13"/>
        <v>100</v>
      </c>
      <c r="V28" s="774" t="s">
        <v>17</v>
      </c>
      <c r="W28" s="775">
        <f t="shared" si="14"/>
        <v>100</v>
      </c>
      <c r="X28" s="1812"/>
      <c r="Y28" s="3266"/>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6"/>
      <c r="Q29" s="1809" t="str">
        <f t="shared" si="11"/>
        <v>成新率</v>
      </c>
      <c r="R29" s="774" t="s">
        <v>17</v>
      </c>
      <c r="S29" s="775" t="e">
        <f t="shared" si="12"/>
        <v>#N/A</v>
      </c>
      <c r="T29" s="774" t="s">
        <v>17</v>
      </c>
      <c r="U29" s="775" t="e">
        <f t="shared" si="13"/>
        <v>#N/A</v>
      </c>
      <c r="V29" s="774" t="s">
        <v>17</v>
      </c>
      <c r="W29" s="775" t="e">
        <f t="shared" si="14"/>
        <v>#N/A</v>
      </c>
      <c r="X29" s="1812"/>
      <c r="Y29" s="3266"/>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6"/>
      <c r="Q30" s="1809" t="str">
        <f t="shared" si="11"/>
        <v>物业等级</v>
      </c>
      <c r="R30" s="774" t="s">
        <v>17</v>
      </c>
      <c r="S30" s="775">
        <f t="shared" si="12"/>
        <v>100</v>
      </c>
      <c r="T30" s="774" t="s">
        <v>17</v>
      </c>
      <c r="U30" s="775">
        <f t="shared" si="13"/>
        <v>100</v>
      </c>
      <c r="V30" s="774" t="s">
        <v>17</v>
      </c>
      <c r="W30" s="775">
        <f t="shared" si="14"/>
        <v>100</v>
      </c>
      <c r="X30" s="1812"/>
      <c r="Y30" s="3266"/>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6"/>
      <c r="Q31" s="1794" t="str">
        <f t="shared" si="11"/>
        <v>停车位面积</v>
      </c>
      <c r="R31" s="770" t="s">
        <v>17</v>
      </c>
      <c r="S31" s="771" t="e">
        <f t="shared" si="12"/>
        <v>#N/A</v>
      </c>
      <c r="T31" s="770" t="s">
        <v>17</v>
      </c>
      <c r="U31" s="771" t="e">
        <f t="shared" si="13"/>
        <v>#N/A</v>
      </c>
      <c r="V31" s="770" t="s">
        <v>17</v>
      </c>
      <c r="W31" s="771" t="e">
        <f t="shared" si="14"/>
        <v>#N/A</v>
      </c>
      <c r="X31" s="772"/>
      <c r="Y31" s="3266"/>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6" t="s">
        <v>2561</v>
      </c>
      <c r="Q32" s="1809" t="str">
        <f t="shared" si="11"/>
        <v>车位类型</v>
      </c>
      <c r="R32" s="774" t="s">
        <v>17</v>
      </c>
      <c r="S32" s="775">
        <f t="shared" si="12"/>
        <v>100</v>
      </c>
      <c r="T32" s="774" t="s">
        <v>17</v>
      </c>
      <c r="U32" s="775">
        <f t="shared" si="13"/>
        <v>100</v>
      </c>
      <c r="V32" s="774" t="s">
        <v>17</v>
      </c>
      <c r="W32" s="775">
        <f t="shared" si="14"/>
        <v>100</v>
      </c>
      <c r="X32" s="1812"/>
      <c r="Y32" s="3266"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6"/>
      <c r="Q33" s="1809" t="str">
        <f t="shared" si="11"/>
        <v>是否直接入户</v>
      </c>
      <c r="R33" s="774" t="s">
        <v>17</v>
      </c>
      <c r="S33" s="775">
        <f t="shared" si="12"/>
        <v>100</v>
      </c>
      <c r="T33" s="774" t="s">
        <v>17</v>
      </c>
      <c r="U33" s="775">
        <f t="shared" si="13"/>
        <v>100</v>
      </c>
      <c r="V33" s="774" t="s">
        <v>17</v>
      </c>
      <c r="W33" s="775">
        <f t="shared" si="14"/>
        <v>100</v>
      </c>
      <c r="X33" s="1812"/>
      <c r="Y33" s="326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6"/>
      <c r="Q34" s="1809">
        <f t="shared" si="11"/>
        <v>111</v>
      </c>
      <c r="R34" s="774" t="s">
        <v>17</v>
      </c>
      <c r="S34" s="775">
        <f t="shared" si="12"/>
        <v>100</v>
      </c>
      <c r="T34" s="774" t="s">
        <v>17</v>
      </c>
      <c r="U34" s="775">
        <f t="shared" si="13"/>
        <v>100</v>
      </c>
      <c r="V34" s="774" t="s">
        <v>17</v>
      </c>
      <c r="W34" s="775">
        <f t="shared" si="14"/>
        <v>100</v>
      </c>
      <c r="X34" s="1812"/>
      <c r="Y34" s="326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6"/>
      <c r="Q35" s="776">
        <f t="shared" si="11"/>
        <v>111</v>
      </c>
      <c r="R35" s="777" t="s">
        <v>17</v>
      </c>
      <c r="S35" s="778">
        <f t="shared" si="12"/>
        <v>100</v>
      </c>
      <c r="T35" s="777" t="s">
        <v>17</v>
      </c>
      <c r="U35" s="778">
        <f t="shared" si="13"/>
        <v>100</v>
      </c>
      <c r="V35" s="777" t="s">
        <v>17</v>
      </c>
      <c r="W35" s="778">
        <f t="shared" si="14"/>
        <v>100</v>
      </c>
      <c r="X35" s="779"/>
      <c r="Y35" s="3266"/>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6"/>
      <c r="Q36" s="1809">
        <f t="shared" si="11"/>
        <v>111</v>
      </c>
      <c r="R36" s="774" t="s">
        <v>17</v>
      </c>
      <c r="S36" s="775">
        <f t="shared" si="12"/>
        <v>100</v>
      </c>
      <c r="T36" s="774" t="s">
        <v>17</v>
      </c>
      <c r="U36" s="775">
        <f t="shared" si="13"/>
        <v>100</v>
      </c>
      <c r="V36" s="774" t="s">
        <v>17</v>
      </c>
      <c r="W36" s="775">
        <f t="shared" si="14"/>
        <v>100</v>
      </c>
      <c r="X36" s="1812"/>
      <c r="Y36" s="3266"/>
      <c r="Z36" s="1813">
        <f t="shared" si="15"/>
        <v>111</v>
      </c>
      <c r="AA36" s="1810">
        <f t="shared" si="3"/>
        <v>1</v>
      </c>
      <c r="AB36" s="1810">
        <f t="shared" si="4"/>
        <v>1</v>
      </c>
      <c r="AC36" s="1810">
        <f t="shared" si="5"/>
        <v>1</v>
      </c>
    </row>
    <row r="37" spans="1:29" ht="14.4">
      <c r="A37" s="479" t="s">
        <v>2716</v>
      </c>
      <c r="B37" s="2693" t="s">
        <v>2717</v>
      </c>
      <c r="C37" s="1407" t="s">
        <v>1</v>
      </c>
      <c r="D37" s="1408"/>
      <c r="E37" s="1409"/>
      <c r="F37" s="1410"/>
      <c r="G37" s="1411"/>
      <c r="H37" s="1412"/>
      <c r="I37" s="1409"/>
      <c r="J37" s="1412"/>
      <c r="K37" s="619"/>
      <c r="L37" s="1143"/>
      <c r="M37" s="1144"/>
      <c r="N37" s="1131"/>
      <c r="O37" s="1144"/>
      <c r="P37" s="3268" t="str">
        <f>A37</f>
        <v>成交单价</v>
      </c>
      <c r="Q37" s="3268"/>
      <c r="R37" s="3269">
        <f>E37</f>
        <v>0</v>
      </c>
      <c r="S37" s="3269"/>
      <c r="T37" s="3269">
        <f>G37</f>
        <v>0</v>
      </c>
      <c r="U37" s="3269"/>
      <c r="V37" s="3269">
        <f>I37</f>
        <v>0</v>
      </c>
      <c r="W37" s="3269"/>
      <c r="X37" s="759"/>
      <c r="Y37" s="781"/>
      <c r="Z37" s="759"/>
      <c r="AA37" s="759"/>
      <c r="AB37" s="759"/>
      <c r="AC37" s="759"/>
    </row>
    <row r="38" spans="1:29" ht="1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9"/>
      <c r="Y38" s="759"/>
      <c r="Z38" s="759"/>
      <c r="AA38" s="759"/>
      <c r="AB38" s="759"/>
      <c r="AC38" s="759"/>
    </row>
    <row r="39" spans="1:29" ht="15" thickBot="1">
      <c r="A39" s="492" t="s">
        <v>2719</v>
      </c>
      <c r="B39" s="493"/>
      <c r="C39" s="1417" t="e">
        <f>R39</f>
        <v>#DIV/0!</v>
      </c>
      <c r="D39" s="1417"/>
      <c r="E39" s="1417"/>
      <c r="F39" s="1417"/>
      <c r="G39" s="1417"/>
      <c r="H39" s="1417"/>
      <c r="I39" s="1417"/>
      <c r="J39" s="1417"/>
      <c r="K39" s="621"/>
      <c r="L39" s="1143"/>
      <c r="M39" s="1144"/>
      <c r="N39" s="1144"/>
      <c r="O39" s="1144"/>
      <c r="P39" s="3270" t="str">
        <f>A39</f>
        <v>估价对象XX用房的比较价值（楼面单价，元/平方米）</v>
      </c>
      <c r="Q39" s="3271"/>
      <c r="R39" s="3272" t="e">
        <f>IF(F1="售价",ROUND(AVERAGE(R38:V38),0),ROUND(AVERAGE(R38:V38),1))</f>
        <v>#DIV/0!</v>
      </c>
      <c r="S39" s="3272"/>
      <c r="T39" s="3272"/>
      <c r="U39" s="3272"/>
      <c r="V39" s="3272"/>
      <c r="W39" s="327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2724</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9"/>
      <c r="F1" s="2585"/>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46" t="s">
        <v>2642</v>
      </c>
      <c r="D4" s="3247"/>
      <c r="E4" s="3248" t="s">
        <v>2643</v>
      </c>
      <c r="F4" s="3249"/>
      <c r="G4" s="3246" t="s">
        <v>2644</v>
      </c>
      <c r="H4" s="3247"/>
      <c r="I4" s="3246" t="s">
        <v>2645</v>
      </c>
      <c r="J4" s="3247"/>
      <c r="K4" s="610" t="s">
        <v>2646</v>
      </c>
      <c r="L4" s="1130"/>
      <c r="M4" s="1131"/>
      <c r="N4" s="1131"/>
      <c r="O4" s="1131"/>
      <c r="P4" s="3250" t="s">
        <v>2647</v>
      </c>
      <c r="Q4" s="3251"/>
      <c r="R4" s="3233" t="s">
        <v>2643</v>
      </c>
      <c r="S4" s="3234"/>
      <c r="T4" s="3233" t="s">
        <v>2644</v>
      </c>
      <c r="U4" s="3234"/>
      <c r="V4" s="3230" t="s">
        <v>2645</v>
      </c>
      <c r="W4" s="3230"/>
      <c r="X4" s="1812"/>
      <c r="Y4" s="3233" t="s">
        <v>2647</v>
      </c>
      <c r="Z4" s="3234"/>
      <c r="AA4" s="3227" t="s">
        <v>2643</v>
      </c>
      <c r="AB4" s="3228" t="s">
        <v>2644</v>
      </c>
      <c r="AC4" s="3227" t="s">
        <v>2645</v>
      </c>
    </row>
    <row r="5" spans="1:29">
      <c r="A5" s="404"/>
      <c r="B5" s="405"/>
      <c r="C5" s="3239" t="s">
        <v>2538</v>
      </c>
      <c r="D5" s="3240"/>
      <c r="E5" s="3237" t="s">
        <v>2539</v>
      </c>
      <c r="F5" s="3238"/>
      <c r="G5" s="3239" t="s">
        <v>2540</v>
      </c>
      <c r="H5" s="3240"/>
      <c r="I5" s="3239" t="s">
        <v>2541</v>
      </c>
      <c r="J5" s="3240"/>
      <c r="K5" s="610"/>
      <c r="L5" s="1130"/>
      <c r="M5" s="1131"/>
      <c r="N5" s="1131"/>
      <c r="O5" s="1131"/>
      <c r="P5" s="3252"/>
      <c r="Q5" s="3253"/>
      <c r="R5" s="3235"/>
      <c r="S5" s="3236"/>
      <c r="T5" s="3235"/>
      <c r="U5" s="3236"/>
      <c r="V5" s="3230"/>
      <c r="W5" s="3230"/>
      <c r="X5" s="1812"/>
      <c r="Y5" s="3235"/>
      <c r="Z5" s="3236"/>
      <c r="AA5" s="3228"/>
      <c r="AB5" s="3228"/>
      <c r="AC5" s="3228"/>
    </row>
    <row r="6" spans="1:29" ht="15" thickBot="1">
      <c r="A6" s="406"/>
      <c r="B6" s="407"/>
      <c r="C6" s="3241" t="s">
        <v>2542</v>
      </c>
      <c r="D6" s="3242"/>
      <c r="E6" s="3243" t="s">
        <v>2542</v>
      </c>
      <c r="F6" s="3244"/>
      <c r="G6" s="3241" t="s">
        <v>2542</v>
      </c>
      <c r="H6" s="3242"/>
      <c r="I6" s="3241" t="s">
        <v>2542</v>
      </c>
      <c r="J6" s="3242"/>
      <c r="K6" s="610" t="s">
        <v>2543</v>
      </c>
      <c r="L6" s="1130"/>
      <c r="M6" s="1131"/>
      <c r="N6" s="1131"/>
      <c r="O6" s="1131"/>
      <c r="P6" s="3254"/>
      <c r="Q6" s="3255"/>
      <c r="R6" s="3235"/>
      <c r="S6" s="3236"/>
      <c r="T6" s="3256"/>
      <c r="U6" s="3257"/>
      <c r="V6" s="3230"/>
      <c r="W6" s="3230"/>
      <c r="X6" s="1812"/>
      <c r="Y6" s="3256"/>
      <c r="Z6" s="3257"/>
      <c r="AA6" s="3229"/>
      <c r="AB6" s="3229"/>
      <c r="AC6" s="3229"/>
    </row>
    <row r="7" spans="1:29" s="117" customFormat="1" ht="15" thickBot="1">
      <c r="A7" s="408" t="s">
        <v>2544</v>
      </c>
      <c r="B7" s="409"/>
      <c r="C7" s="410">
        <f>'数据-取费表'!B2</f>
        <v>43616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31" t="s">
        <v>2545</v>
      </c>
      <c r="Q7" s="3258"/>
      <c r="R7" s="770" t="s">
        <v>17</v>
      </c>
      <c r="S7" s="771">
        <f t="shared" ref="S7:S14" si="0">F7</f>
        <v>0</v>
      </c>
      <c r="T7" s="770" t="s">
        <v>17</v>
      </c>
      <c r="U7" s="771">
        <f t="shared" ref="U7:U14" si="1">H7</f>
        <v>0</v>
      </c>
      <c r="V7" s="770" t="s">
        <v>17</v>
      </c>
      <c r="W7" s="771">
        <f t="shared" ref="W7:W14" si="2">J7</f>
        <v>0</v>
      </c>
      <c r="X7" s="772"/>
      <c r="Y7" s="3231" t="s">
        <v>2545</v>
      </c>
      <c r="Z7" s="3232"/>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1" t="s">
        <v>2548</v>
      </c>
      <c r="Q8" s="3232"/>
      <c r="R8" s="770" t="s">
        <v>17</v>
      </c>
      <c r="S8" s="771">
        <f t="shared" si="0"/>
        <v>0</v>
      </c>
      <c r="T8" s="770" t="s">
        <v>17</v>
      </c>
      <c r="U8" s="771">
        <f t="shared" si="1"/>
        <v>0</v>
      </c>
      <c r="V8" s="770" t="s">
        <v>17</v>
      </c>
      <c r="W8" s="771">
        <f t="shared" si="2"/>
        <v>0</v>
      </c>
      <c r="X8" s="772"/>
      <c r="Y8" s="3231" t="s">
        <v>2548</v>
      </c>
      <c r="Z8" s="3232"/>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8" t="s">
        <v>2551</v>
      </c>
      <c r="Q9" s="1794" t="str">
        <f t="shared" ref="Q9:Q14" si="6">B9</f>
        <v>用途</v>
      </c>
      <c r="R9" s="770" t="s">
        <v>17</v>
      </c>
      <c r="S9" s="771">
        <f t="shared" si="0"/>
        <v>100</v>
      </c>
      <c r="T9" s="770" t="s">
        <v>17</v>
      </c>
      <c r="U9" s="771">
        <f t="shared" si="1"/>
        <v>100</v>
      </c>
      <c r="V9" s="770" t="s">
        <v>17</v>
      </c>
      <c r="W9" s="771">
        <f t="shared" si="2"/>
        <v>100</v>
      </c>
      <c r="X9" s="772"/>
      <c r="Y9" s="3070"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8"/>
      <c r="Q10" s="1794"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8"/>
      <c r="Q11" s="1794">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96.6">
      <c r="A14" s="440" t="s">
        <v>2555</v>
      </c>
      <c r="B14" s="69" t="s">
        <v>2705</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1" t="s">
        <v>2556</v>
      </c>
      <c r="Q14" s="1809" t="str">
        <f t="shared" si="6"/>
        <v>交通便捷度</v>
      </c>
      <c r="R14" s="774" t="s">
        <v>17</v>
      </c>
      <c r="S14" s="775">
        <f t="shared" si="0"/>
        <v>100</v>
      </c>
      <c r="T14" s="774" t="s">
        <v>17</v>
      </c>
      <c r="U14" s="775">
        <f t="shared" si="1"/>
        <v>100</v>
      </c>
      <c r="V14" s="774" t="s">
        <v>17</v>
      </c>
      <c r="W14" s="775">
        <f t="shared" si="2"/>
        <v>100</v>
      </c>
      <c r="X14" s="1812"/>
      <c r="Y14" s="3261"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2"/>
      <c r="Q15" s="1809"/>
      <c r="R15" s="774"/>
      <c r="S15" s="775"/>
      <c r="T15" s="774"/>
      <c r="U15" s="775"/>
      <c r="V15" s="774"/>
      <c r="W15" s="775"/>
      <c r="X15" s="1812"/>
      <c r="Y15" s="3262"/>
      <c r="Z15" s="1813"/>
      <c r="AA15" s="1810">
        <v>1</v>
      </c>
      <c r="AB15" s="1810">
        <v>1</v>
      </c>
      <c r="AC15" s="1810">
        <v>1</v>
      </c>
    </row>
    <row r="16" spans="1:29" ht="41.4">
      <c r="A16" s="428"/>
      <c r="B16" s="451" t="s">
        <v>2684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2"/>
      <c r="Q16" s="1809" t="str">
        <f>B16</f>
        <v>公共配套设施</v>
      </c>
      <c r="R16" s="774" t="s">
        <v>17</v>
      </c>
      <c r="S16" s="775">
        <f>F16</f>
        <v>100</v>
      </c>
      <c r="T16" s="774" t="s">
        <v>17</v>
      </c>
      <c r="U16" s="775">
        <f>H16</f>
        <v>100</v>
      </c>
      <c r="V16" s="774" t="s">
        <v>17</v>
      </c>
      <c r="W16" s="775">
        <f>J16</f>
        <v>100</v>
      </c>
      <c r="X16" s="1812"/>
      <c r="Y16" s="3262"/>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62"/>
      <c r="Q17" s="1809"/>
      <c r="R17" s="774"/>
      <c r="S17" s="775"/>
      <c r="T17" s="774"/>
      <c r="U17" s="775"/>
      <c r="V17" s="774"/>
      <c r="W17" s="775"/>
      <c r="X17" s="1812"/>
      <c r="Y17" s="3262"/>
      <c r="Z17" s="1813"/>
      <c r="AA17" s="1810">
        <v>1</v>
      </c>
      <c r="AB17" s="1810">
        <v>1</v>
      </c>
      <c r="AC17" s="1810">
        <v>1</v>
      </c>
    </row>
    <row r="18" spans="1:29" ht="41.4">
      <c r="A18" s="428"/>
      <c r="B18" s="1384" t="s">
        <v>2685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2"/>
      <c r="Q18" s="1809" t="str">
        <f>B18</f>
        <v>基础设施水平</v>
      </c>
      <c r="R18" s="774" t="s">
        <v>17</v>
      </c>
      <c r="S18" s="775">
        <f>F18</f>
        <v>100</v>
      </c>
      <c r="T18" s="774" t="s">
        <v>17</v>
      </c>
      <c r="U18" s="775">
        <f>H18</f>
        <v>100</v>
      </c>
      <c r="V18" s="774" t="s">
        <v>17</v>
      </c>
      <c r="W18" s="775">
        <f>J18</f>
        <v>100</v>
      </c>
      <c r="X18" s="1812"/>
      <c r="Y18" s="3262"/>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62"/>
      <c r="Q19" s="1809"/>
      <c r="R19" s="774"/>
      <c r="S19" s="775"/>
      <c r="T19" s="774"/>
      <c r="U19" s="775"/>
      <c r="V19" s="774"/>
      <c r="W19" s="775"/>
      <c r="X19" s="1812"/>
      <c r="Y19" s="3262"/>
      <c r="Z19" s="1813"/>
      <c r="AA19" s="1810">
        <v>1</v>
      </c>
      <c r="AB19" s="1810">
        <v>1</v>
      </c>
      <c r="AC19" s="1810">
        <v>1</v>
      </c>
    </row>
    <row r="20" spans="1:29" ht="55.2">
      <c r="A20" s="428"/>
      <c r="B20" s="451" t="s">
        <v>2706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2"/>
      <c r="Q20" s="1809" t="str">
        <f>B20</f>
        <v>自然及人文环境</v>
      </c>
      <c r="R20" s="774" t="s">
        <v>17</v>
      </c>
      <c r="S20" s="775">
        <f>F20</f>
        <v>100</v>
      </c>
      <c r="T20" s="774" t="s">
        <v>17</v>
      </c>
      <c r="U20" s="775">
        <f>H20</f>
        <v>100</v>
      </c>
      <c r="V20" s="774" t="s">
        <v>17</v>
      </c>
      <c r="W20" s="775">
        <f>J20</f>
        <v>100</v>
      </c>
      <c r="X20" s="1812"/>
      <c r="Y20" s="326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2"/>
      <c r="Q21" s="1809"/>
      <c r="R21" s="774"/>
      <c r="S21" s="775"/>
      <c r="T21" s="774"/>
      <c r="U21" s="775"/>
      <c r="V21" s="774"/>
      <c r="W21" s="775"/>
      <c r="X21" s="1812"/>
      <c r="Y21" s="3262"/>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2"/>
      <c r="Q22" s="1809" t="str">
        <f>B22</f>
        <v>楼层</v>
      </c>
      <c r="R22" s="774" t="s">
        <v>17</v>
      </c>
      <c r="S22" s="775">
        <f>F22</f>
        <v>100</v>
      </c>
      <c r="T22" s="774" t="s">
        <v>17</v>
      </c>
      <c r="U22" s="775">
        <f>H22</f>
        <v>100</v>
      </c>
      <c r="V22" s="774" t="s">
        <v>17</v>
      </c>
      <c r="W22" s="775">
        <f>J22</f>
        <v>100</v>
      </c>
      <c r="X22" s="1812"/>
      <c r="Y22" s="3262"/>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2"/>
      <c r="Q23" s="1809">
        <f>B23</f>
        <v>111</v>
      </c>
      <c r="R23" s="774" t="s">
        <v>17</v>
      </c>
      <c r="S23" s="775">
        <f>F23</f>
        <v>100</v>
      </c>
      <c r="T23" s="774" t="s">
        <v>17</v>
      </c>
      <c r="U23" s="775">
        <f>H23</f>
        <v>100</v>
      </c>
      <c r="V23" s="774" t="s">
        <v>17</v>
      </c>
      <c r="W23" s="775">
        <f>J23</f>
        <v>100</v>
      </c>
      <c r="X23" s="1812"/>
      <c r="Y23" s="3262"/>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2"/>
      <c r="Q24" s="1809">
        <f t="shared" ref="Q24:Q34" si="11">B24</f>
        <v>111</v>
      </c>
      <c r="R24" s="774" t="s">
        <v>17</v>
      </c>
      <c r="S24" s="775">
        <f>F24</f>
        <v>100</v>
      </c>
      <c r="T24" s="774" t="s">
        <v>17</v>
      </c>
      <c r="U24" s="775">
        <f>H24</f>
        <v>100</v>
      </c>
      <c r="V24" s="774" t="s">
        <v>17</v>
      </c>
      <c r="W24" s="775">
        <f>J24</f>
        <v>100</v>
      </c>
      <c r="X24" s="1812"/>
      <c r="Y24" s="3262"/>
      <c r="Z24" s="1813">
        <f>Q24</f>
        <v>111</v>
      </c>
      <c r="AA24" s="1810">
        <f t="shared" si="3"/>
        <v>1</v>
      </c>
      <c r="AB24" s="1810">
        <f t="shared" si="4"/>
        <v>1</v>
      </c>
      <c r="AC24" s="1810">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62"/>
      <c r="Q25" s="1794">
        <f t="shared" si="11"/>
        <v>111</v>
      </c>
      <c r="R25" s="770" t="s">
        <v>17</v>
      </c>
      <c r="S25" s="771">
        <f>F25</f>
        <v>100</v>
      </c>
      <c r="T25" s="770" t="s">
        <v>17</v>
      </c>
      <c r="U25" s="771">
        <f>H25</f>
        <v>100</v>
      </c>
      <c r="V25" s="770" t="s">
        <v>17</v>
      </c>
      <c r="W25" s="771">
        <f>J25</f>
        <v>100</v>
      </c>
      <c r="X25" s="772"/>
      <c r="Y25" s="3262"/>
      <c r="Z25" s="55">
        <f>Q25</f>
        <v>111</v>
      </c>
      <c r="AA25" s="1810">
        <f>D25/F25</f>
        <v>1</v>
      </c>
      <c r="AB25" s="1810">
        <f>D25/H25</f>
        <v>1</v>
      </c>
      <c r="AC25" s="1810">
        <f>D25/J25</f>
        <v>1</v>
      </c>
    </row>
    <row r="26" spans="1:29" ht="30">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92"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6"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6"/>
      <c r="Q27" s="776" t="str">
        <f t="shared" si="11"/>
        <v>成新率</v>
      </c>
      <c r="R27" s="777" t="s">
        <v>17</v>
      </c>
      <c r="S27" s="778" t="e">
        <f t="shared" si="12"/>
        <v>#N/A</v>
      </c>
      <c r="T27" s="777" t="s">
        <v>17</v>
      </c>
      <c r="U27" s="778" t="e">
        <f t="shared" si="13"/>
        <v>#N/A</v>
      </c>
      <c r="V27" s="777" t="s">
        <v>17</v>
      </c>
      <c r="W27" s="778" t="e">
        <f t="shared" si="14"/>
        <v>#N/A</v>
      </c>
      <c r="X27" s="779"/>
      <c r="Y27" s="3266"/>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6"/>
      <c r="Q28" s="1809" t="str">
        <f t="shared" si="11"/>
        <v>物业等级</v>
      </c>
      <c r="R28" s="774" t="s">
        <v>17</v>
      </c>
      <c r="S28" s="775">
        <f t="shared" si="12"/>
        <v>100</v>
      </c>
      <c r="T28" s="774" t="s">
        <v>17</v>
      </c>
      <c r="U28" s="775">
        <f t="shared" si="13"/>
        <v>100</v>
      </c>
      <c r="V28" s="774" t="s">
        <v>17</v>
      </c>
      <c r="W28" s="775">
        <f t="shared" si="14"/>
        <v>100</v>
      </c>
      <c r="X28" s="1812"/>
      <c r="Y28" s="3266"/>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6"/>
      <c r="Q29" s="1809" t="str">
        <f t="shared" si="11"/>
        <v>有无电梯</v>
      </c>
      <c r="R29" s="774" t="s">
        <v>17</v>
      </c>
      <c r="S29" s="775">
        <f t="shared" si="12"/>
        <v>100</v>
      </c>
      <c r="T29" s="774" t="s">
        <v>17</v>
      </c>
      <c r="U29" s="775">
        <f t="shared" si="13"/>
        <v>100</v>
      </c>
      <c r="V29" s="774" t="s">
        <v>17</v>
      </c>
      <c r="W29" s="775">
        <f t="shared" si="14"/>
        <v>100</v>
      </c>
      <c r="X29" s="1812"/>
      <c r="Y29" s="3266"/>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6"/>
      <c r="Q30" s="1809" t="str">
        <f t="shared" si="11"/>
        <v>建筑面积</v>
      </c>
      <c r="R30" s="774" t="s">
        <v>17</v>
      </c>
      <c r="S30" s="775" t="e">
        <f t="shared" si="12"/>
        <v>#N/A</v>
      </c>
      <c r="T30" s="774" t="s">
        <v>17</v>
      </c>
      <c r="U30" s="775" t="e">
        <f t="shared" si="13"/>
        <v>#N/A</v>
      </c>
      <c r="V30" s="774" t="s">
        <v>17</v>
      </c>
      <c r="W30" s="775" t="e">
        <f t="shared" si="14"/>
        <v>#N/A</v>
      </c>
      <c r="X30" s="1812"/>
      <c r="Y30" s="3266"/>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6"/>
      <c r="Q31" s="1794" t="str">
        <f t="shared" si="11"/>
        <v>是否封闭</v>
      </c>
      <c r="R31" s="770" t="s">
        <v>17</v>
      </c>
      <c r="S31" s="771">
        <f t="shared" si="12"/>
        <v>100</v>
      </c>
      <c r="T31" s="770" t="s">
        <v>17</v>
      </c>
      <c r="U31" s="771">
        <f t="shared" si="13"/>
        <v>100</v>
      </c>
      <c r="V31" s="770" t="s">
        <v>17</v>
      </c>
      <c r="W31" s="771">
        <f t="shared" si="14"/>
        <v>100</v>
      </c>
      <c r="X31" s="772"/>
      <c r="Y31" s="326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6" t="s">
        <v>2561</v>
      </c>
      <c r="Q32" s="1809">
        <f t="shared" si="11"/>
        <v>111</v>
      </c>
      <c r="R32" s="774" t="s">
        <v>17</v>
      </c>
      <c r="S32" s="775">
        <f t="shared" si="12"/>
        <v>100</v>
      </c>
      <c r="T32" s="774" t="s">
        <v>17</v>
      </c>
      <c r="U32" s="775">
        <f t="shared" si="13"/>
        <v>100</v>
      </c>
      <c r="V32" s="774" t="s">
        <v>17</v>
      </c>
      <c r="W32" s="775">
        <f t="shared" si="14"/>
        <v>100</v>
      </c>
      <c r="X32" s="1812"/>
      <c r="Y32" s="3266" t="s">
        <v>2561</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6"/>
      <c r="Q33" s="1809">
        <f t="shared" si="11"/>
        <v>111</v>
      </c>
      <c r="R33" s="774" t="s">
        <v>17</v>
      </c>
      <c r="S33" s="775">
        <f t="shared" si="12"/>
        <v>100</v>
      </c>
      <c r="T33" s="774" t="s">
        <v>17</v>
      </c>
      <c r="U33" s="775">
        <f t="shared" si="13"/>
        <v>100</v>
      </c>
      <c r="V33" s="774" t="s">
        <v>17</v>
      </c>
      <c r="W33" s="775">
        <f t="shared" si="14"/>
        <v>100</v>
      </c>
      <c r="X33" s="1812"/>
      <c r="Y33" s="3266"/>
      <c r="Z33" s="1813">
        <f t="shared" si="15"/>
        <v>111</v>
      </c>
      <c r="AA33" s="1810">
        <f t="shared" si="3"/>
        <v>1</v>
      </c>
      <c r="AB33" s="1810">
        <f t="shared" si="4"/>
        <v>1</v>
      </c>
      <c r="AC33" s="1810">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66"/>
      <c r="Q34" s="1809">
        <f t="shared" si="11"/>
        <v>111</v>
      </c>
      <c r="R34" s="774" t="s">
        <v>17</v>
      </c>
      <c r="S34" s="775">
        <f t="shared" si="12"/>
        <v>100</v>
      </c>
      <c r="T34" s="774" t="s">
        <v>17</v>
      </c>
      <c r="U34" s="775">
        <f t="shared" si="13"/>
        <v>100</v>
      </c>
      <c r="V34" s="774" t="s">
        <v>17</v>
      </c>
      <c r="W34" s="775">
        <f t="shared" si="14"/>
        <v>100</v>
      </c>
      <c r="X34" s="1812"/>
      <c r="Y34" s="3266"/>
      <c r="Z34" s="1813">
        <f t="shared" si="15"/>
        <v>111</v>
      </c>
      <c r="AA34" s="1810">
        <f t="shared" si="3"/>
        <v>1</v>
      </c>
      <c r="AB34" s="1810">
        <f t="shared" si="4"/>
        <v>1</v>
      </c>
      <c r="AC34" s="1810">
        <f t="shared" si="5"/>
        <v>1</v>
      </c>
    </row>
    <row r="35" spans="1:29" ht="14.4">
      <c r="A35" s="479" t="s">
        <v>2573</v>
      </c>
      <c r="B35" s="480"/>
      <c r="C35" s="1407" t="s">
        <v>1</v>
      </c>
      <c r="D35" s="1408"/>
      <c r="E35" s="1409"/>
      <c r="F35" s="1410"/>
      <c r="G35" s="1411"/>
      <c r="H35" s="1412"/>
      <c r="I35" s="1409"/>
      <c r="J35" s="1412"/>
      <c r="K35" s="783"/>
      <c r="L35" s="1143"/>
      <c r="M35" s="1144"/>
      <c r="N35" s="1131"/>
      <c r="O35" s="1144"/>
      <c r="P35" s="3268" t="str">
        <f>A35</f>
        <v>成交单价（元/平方米）</v>
      </c>
      <c r="Q35" s="3268"/>
      <c r="R35" s="3269">
        <f>E35</f>
        <v>0</v>
      </c>
      <c r="S35" s="3269"/>
      <c r="T35" s="3269">
        <f>G35</f>
        <v>0</v>
      </c>
      <c r="U35" s="3269"/>
      <c r="V35" s="3269">
        <f>I35</f>
        <v>0</v>
      </c>
      <c r="W35" s="3269"/>
      <c r="X35" s="759"/>
      <c r="Y35" s="781"/>
      <c r="Z35" s="759"/>
      <c r="AA35" s="759"/>
      <c r="AB35" s="759"/>
      <c r="AC35" s="759"/>
    </row>
    <row r="36" spans="1:29" ht="1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9"/>
      <c r="Y36" s="759"/>
      <c r="Z36" s="759"/>
      <c r="AA36" s="759"/>
      <c r="AB36" s="759"/>
      <c r="AC36" s="759"/>
    </row>
    <row r="37" spans="1:29" ht="15" thickBot="1">
      <c r="A37" s="492" t="s">
        <v>2666</v>
      </c>
      <c r="B37" s="493"/>
      <c r="C37" s="1417" t="e">
        <f>R37</f>
        <v>#DIV/0!</v>
      </c>
      <c r="D37" s="1417"/>
      <c r="E37" s="1417"/>
      <c r="F37" s="1417"/>
      <c r="G37" s="1417"/>
      <c r="H37" s="1417"/>
      <c r="I37" s="1417"/>
      <c r="J37" s="1417"/>
      <c r="K37" s="785"/>
      <c r="L37" s="1143"/>
      <c r="M37" s="1144"/>
      <c r="N37" s="1144"/>
      <c r="O37" s="1144"/>
      <c r="P37" s="3270" t="str">
        <f>A37</f>
        <v>估价对象XX用房的比较价值（楼面单价，元/平方米）</v>
      </c>
      <c r="Q37" s="3271"/>
      <c r="R37" s="3272" t="e">
        <f>IF(F1="售价",ROUND(AVERAGE(R36:V36),0),ROUND(AVERAGE(R36:V36),1))</f>
        <v>#DIV/0!</v>
      </c>
      <c r="S37" s="3272"/>
      <c r="T37" s="3272"/>
      <c r="U37" s="3272"/>
      <c r="V37" s="3272"/>
      <c r="W37" s="327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2584</v>
      </c>
      <c r="B51" s="528" t="s">
        <v>2550</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B1" zoomScale="70" zoomScaleNormal="70" workbookViewId="0">
      <selection activeCell="E65" sqref="E65"/>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8.664062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F67</f>
        <v>130472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11646</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2641</v>
      </c>
      <c r="B4" s="402"/>
      <c r="C4" s="3246" t="s">
        <v>2642</v>
      </c>
      <c r="D4" s="3247"/>
      <c r="E4" s="3248" t="s">
        <v>2643</v>
      </c>
      <c r="F4" s="3249"/>
      <c r="G4" s="3246" t="s">
        <v>2644</v>
      </c>
      <c r="H4" s="3247"/>
      <c r="I4" s="3246" t="s">
        <v>2645</v>
      </c>
      <c r="J4" s="3247"/>
      <c r="K4" s="610" t="s">
        <v>2646</v>
      </c>
      <c r="L4" s="1130"/>
      <c r="M4" s="1131"/>
      <c r="N4" s="1131"/>
      <c r="O4" s="1131"/>
      <c r="P4" s="3250" t="s">
        <v>2647</v>
      </c>
      <c r="Q4" s="3251"/>
      <c r="R4" s="3233" t="s">
        <v>2643</v>
      </c>
      <c r="S4" s="3234"/>
      <c r="T4" s="3233" t="s">
        <v>2644</v>
      </c>
      <c r="U4" s="3234"/>
      <c r="V4" s="3230" t="s">
        <v>2645</v>
      </c>
      <c r="W4" s="3230"/>
      <c r="X4" s="1812"/>
      <c r="Y4" s="3233" t="s">
        <v>2647</v>
      </c>
      <c r="Z4" s="3234"/>
      <c r="AA4" s="3227" t="s">
        <v>2643</v>
      </c>
      <c r="AB4" s="3228" t="s">
        <v>2644</v>
      </c>
      <c r="AC4" s="3227" t="s">
        <v>2645</v>
      </c>
    </row>
    <row r="5" spans="1:30" ht="109.2" customHeight="1">
      <c r="A5" s="404"/>
      <c r="B5" s="405"/>
      <c r="C5" s="3295" t="s">
        <v>3595</v>
      </c>
      <c r="D5" s="3296"/>
      <c r="E5" s="3293" t="str">
        <f>土地案例!A4</f>
        <v>北京市昌平区北七家镇未来科学城南区CP07-0600-0052、0063、C-18地块F2公建混合住宅用地、R2二类居住用地</v>
      </c>
      <c r="F5" s="3294"/>
      <c r="G5" s="3299" t="str">
        <f>土地案例!A5</f>
        <v>北京市昌平区沙河镇七里渠南北村土地一级开发项目CP00-1600-0016、CP00-1804-0007地块F2公建混合住宅用地</v>
      </c>
      <c r="H5" s="3296"/>
      <c r="I5" s="3299" t="str">
        <f>土地案例!A11</f>
        <v>昌平区北七家镇003、CP07-0204-0001、010、013地块B4综合性商业金融服务业用地、A61机构养老设施用地、R2二类居住用地、A33基础教育用地</v>
      </c>
      <c r="J5" s="3296"/>
      <c r="K5" s="610"/>
      <c r="L5" s="1130"/>
      <c r="M5" s="1131"/>
      <c r="N5" s="1131"/>
      <c r="O5" s="1131"/>
      <c r="P5" s="3252"/>
      <c r="Q5" s="3253"/>
      <c r="R5" s="3235"/>
      <c r="S5" s="3236"/>
      <c r="T5" s="3235"/>
      <c r="U5" s="3236"/>
      <c r="V5" s="3230"/>
      <c r="W5" s="3230"/>
      <c r="X5" s="1812"/>
      <c r="Y5" s="3235"/>
      <c r="Z5" s="3236"/>
      <c r="AA5" s="3228"/>
      <c r="AB5" s="3228"/>
      <c r="AC5" s="3228"/>
    </row>
    <row r="6" spans="1:30" ht="15" thickBot="1">
      <c r="A6" s="406"/>
      <c r="B6" s="407"/>
      <c r="C6" s="3297" t="s">
        <v>3596</v>
      </c>
      <c r="D6" s="3298"/>
      <c r="E6" s="3297" t="s">
        <v>3596</v>
      </c>
      <c r="F6" s="3298"/>
      <c r="G6" s="3297" t="s">
        <v>3597</v>
      </c>
      <c r="H6" s="3298"/>
      <c r="I6" s="3297" t="s">
        <v>3596</v>
      </c>
      <c r="J6" s="3298"/>
      <c r="K6" s="610" t="s">
        <v>2543</v>
      </c>
      <c r="L6" s="1130"/>
      <c r="M6" s="1131"/>
      <c r="N6" s="1131"/>
      <c r="O6" s="1131"/>
      <c r="P6" s="3254"/>
      <c r="Q6" s="3255"/>
      <c r="R6" s="3235"/>
      <c r="S6" s="3236"/>
      <c r="T6" s="3256"/>
      <c r="U6" s="3257"/>
      <c r="V6" s="3230"/>
      <c r="W6" s="3230"/>
      <c r="X6" s="1812"/>
      <c r="Y6" s="3256"/>
      <c r="Z6" s="3257"/>
      <c r="AA6" s="3229"/>
      <c r="AB6" s="3229"/>
      <c r="AC6" s="3229"/>
    </row>
    <row r="7" spans="1:30" s="117" customFormat="1" ht="15" thickBot="1">
      <c r="A7" s="408" t="s">
        <v>2544</v>
      </c>
      <c r="B7" s="409"/>
      <c r="C7" s="410">
        <f>'数据-取费表'!B2</f>
        <v>43616</v>
      </c>
      <c r="D7" s="411">
        <v>100</v>
      </c>
      <c r="E7" s="412" t="str">
        <f>土地案例!AA4</f>
        <v>2018-11-26</v>
      </c>
      <c r="F7" s="413">
        <f>SUMIF(71:71,YEAR(E7)&amp;"-"&amp;INT((MONTH(E7)+2)/3),72:72)</f>
        <v>99</v>
      </c>
      <c r="G7" s="2694" t="str">
        <f>土地案例!AA5</f>
        <v>2018-11-05</v>
      </c>
      <c r="H7" s="411">
        <f>SUMIF(71:71,YEAR(G7)&amp;"-"&amp;INT((MONTH(G7)+2)/3),72:72)</f>
        <v>99</v>
      </c>
      <c r="I7" s="2694" t="str">
        <f>土地案例!AA11</f>
        <v>2017-07-27</v>
      </c>
      <c r="J7" s="411">
        <f>SUMIF(71:71,YEAR(I7)&amp;"-"&amp;INT((MONTH(I7)+2)/3),72:72)</f>
        <v>96.5</v>
      </c>
      <c r="K7" s="611"/>
      <c r="L7" s="1132"/>
      <c r="M7" s="1133"/>
      <c r="N7" s="1133"/>
      <c r="O7" s="1133"/>
      <c r="P7" s="3231" t="s">
        <v>2545</v>
      </c>
      <c r="Q7" s="3258"/>
      <c r="R7" s="770" t="s">
        <v>17</v>
      </c>
      <c r="S7" s="771">
        <f t="shared" ref="S7:S16" si="0">F7</f>
        <v>99</v>
      </c>
      <c r="T7" s="770" t="s">
        <v>17</v>
      </c>
      <c r="U7" s="771">
        <f t="shared" ref="U7:U16" si="1">H7</f>
        <v>99</v>
      </c>
      <c r="V7" s="770" t="s">
        <v>17</v>
      </c>
      <c r="W7" s="771">
        <f t="shared" ref="W7:W16" si="2">J7</f>
        <v>96.5</v>
      </c>
      <c r="X7" s="772"/>
      <c r="Y7" s="3231" t="s">
        <v>2545</v>
      </c>
      <c r="Z7" s="3232"/>
      <c r="AA7" s="773">
        <f>D7/F7</f>
        <v>1.0101010101010102</v>
      </c>
      <c r="AB7" s="773">
        <f>D7/H7</f>
        <v>1.0101010101010102</v>
      </c>
      <c r="AC7" s="773">
        <f>D7/J7</f>
        <v>1.0362694300518134</v>
      </c>
    </row>
    <row r="8" spans="1:30" s="117" customFormat="1" ht="15" thickBot="1">
      <c r="A8" s="408" t="s">
        <v>2546</v>
      </c>
      <c r="B8" s="409"/>
      <c r="C8" s="414" t="s">
        <v>2547</v>
      </c>
      <c r="D8" s="411">
        <v>100</v>
      </c>
      <c r="E8" s="414" t="s">
        <v>2547</v>
      </c>
      <c r="F8" s="413">
        <f>SUMIF(74:74,E8,75:75)-SUMIF(74:74,C8,75:75)+100</f>
        <v>100</v>
      </c>
      <c r="G8" s="414" t="s">
        <v>2547</v>
      </c>
      <c r="H8" s="411">
        <f>SUMIF(74:74,G8,75:75)-SUMIF(74:74,C8,75:75)+100</f>
        <v>100</v>
      </c>
      <c r="I8" s="414" t="s">
        <v>2547</v>
      </c>
      <c r="J8" s="411">
        <f>SUMIF(74:74,I8,75:75)-SUMIF(74:74,C8,75:75)+100</f>
        <v>100</v>
      </c>
      <c r="K8" s="611"/>
      <c r="L8" s="1132"/>
      <c r="M8" s="1133"/>
      <c r="N8" s="1133"/>
      <c r="O8" s="1133"/>
      <c r="P8" s="3231" t="s">
        <v>2548</v>
      </c>
      <c r="Q8" s="3232"/>
      <c r="R8" s="770" t="s">
        <v>17</v>
      </c>
      <c r="S8" s="771">
        <f t="shared" si="0"/>
        <v>100</v>
      </c>
      <c r="T8" s="770" t="s">
        <v>17</v>
      </c>
      <c r="U8" s="771">
        <f t="shared" si="1"/>
        <v>100</v>
      </c>
      <c r="V8" s="770" t="s">
        <v>17</v>
      </c>
      <c r="W8" s="771">
        <f t="shared" si="2"/>
        <v>100</v>
      </c>
      <c r="X8" s="772"/>
      <c r="Y8" s="3231" t="s">
        <v>2548</v>
      </c>
      <c r="Z8" s="3232"/>
      <c r="AA8" s="773">
        <f t="shared" ref="AA8:AA46" si="3">D8/F8</f>
        <v>1</v>
      </c>
      <c r="AB8" s="773">
        <f t="shared" ref="AB8:AB46" si="4">D8/H8</f>
        <v>1</v>
      </c>
      <c r="AC8" s="773">
        <f t="shared" ref="AC8:AC46" si="5">D8/J8</f>
        <v>1</v>
      </c>
    </row>
    <row r="9" spans="1:30" s="117" customFormat="1" ht="27.6">
      <c r="A9" s="415" t="s">
        <v>2549</v>
      </c>
      <c r="B9" s="71" t="s">
        <v>2550</v>
      </c>
      <c r="C9" s="2697" t="s">
        <v>3176</v>
      </c>
      <c r="D9" s="135">
        <v>100</v>
      </c>
      <c r="E9" s="2697" t="s">
        <v>3176</v>
      </c>
      <c r="F9" s="135">
        <f>SUMIF(76:76,E9,77:77)-SUMIF(76:76,C9,77:77)+100</f>
        <v>100</v>
      </c>
      <c r="G9" s="2697" t="s">
        <v>3176</v>
      </c>
      <c r="H9" s="135">
        <f>SUMIF(76:76,G9,77:77)-SUMIF(76:76,C9,77:77)+100</f>
        <v>100</v>
      </c>
      <c r="I9" s="2697" t="s">
        <v>3176</v>
      </c>
      <c r="J9" s="135">
        <f>SUMIF(76:76,I9,77:77)-SUMIF(76:76,C9,77:77)+100</f>
        <v>100</v>
      </c>
      <c r="K9" s="611"/>
      <c r="L9" s="1132"/>
      <c r="M9" s="1133"/>
      <c r="N9" s="1133"/>
      <c r="O9" s="1134"/>
      <c r="P9" s="3268" t="s">
        <v>2551</v>
      </c>
      <c r="Q9" s="1794" t="str">
        <f t="shared" ref="Q9:Q16" si="6">B9</f>
        <v>用途</v>
      </c>
      <c r="R9" s="770" t="s">
        <v>17</v>
      </c>
      <c r="S9" s="771">
        <f t="shared" si="0"/>
        <v>100</v>
      </c>
      <c r="T9" s="770" t="s">
        <v>17</v>
      </c>
      <c r="U9" s="771">
        <f t="shared" si="1"/>
        <v>100</v>
      </c>
      <c r="V9" s="770" t="s">
        <v>17</v>
      </c>
      <c r="W9" s="771">
        <f t="shared" si="2"/>
        <v>100</v>
      </c>
      <c r="X9" s="772"/>
      <c r="Y9" s="3070" t="s">
        <v>2552</v>
      </c>
      <c r="Z9" s="55" t="str">
        <f t="shared" ref="Z9:Z16"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68"/>
      <c r="Q10" s="1794" t="str">
        <f t="shared" si="6"/>
        <v>土地使用年限（年）</v>
      </c>
      <c r="R10" s="770" t="s">
        <v>17</v>
      </c>
      <c r="S10" s="771">
        <f t="shared" si="0"/>
        <v>102</v>
      </c>
      <c r="T10" s="770" t="s">
        <v>17</v>
      </c>
      <c r="U10" s="771">
        <f t="shared" si="1"/>
        <v>102</v>
      </c>
      <c r="V10" s="770" t="s">
        <v>17</v>
      </c>
      <c r="W10" s="771">
        <f t="shared" si="2"/>
        <v>102</v>
      </c>
      <c r="X10" s="772"/>
      <c r="Y10" s="3070"/>
      <c r="Z10" s="55" t="str">
        <f t="shared" si="7"/>
        <v>土地使用年限（年）</v>
      </c>
      <c r="AA10" s="773">
        <f t="shared" si="3"/>
        <v>0.98039215686274506</v>
      </c>
      <c r="AB10" s="773">
        <f t="shared" si="4"/>
        <v>0.98039215686274506</v>
      </c>
      <c r="AC10" s="773">
        <f t="shared" si="5"/>
        <v>0.98039215686274506</v>
      </c>
    </row>
    <row r="11" spans="1:30" ht="15">
      <c r="A11" s="428"/>
      <c r="B11" s="422" t="s">
        <v>2554</v>
      </c>
      <c r="C11" s="429">
        <f>'数据-汇总表'!I4</f>
        <v>3.78</v>
      </c>
      <c r="D11" s="136">
        <v>100</v>
      </c>
      <c r="E11" s="429">
        <v>2</v>
      </c>
      <c r="F11" s="136">
        <f>LOOKUP(E11,81:81,82:82)-LOOKUP(C11,81:81,82:82)+100</f>
        <v>103</v>
      </c>
      <c r="G11" s="430">
        <v>2.93</v>
      </c>
      <c r="H11" s="136">
        <f>LOOKUP(G11,81:81,82:82)-LOOKUP(C11,81:81,82:82)+100</f>
        <v>103</v>
      </c>
      <c r="I11" s="429">
        <v>2</v>
      </c>
      <c r="J11" s="136">
        <f>LOOKUP(I11,81:81,82:82)-LOOKUP(C11,81:81,82:82)+100</f>
        <v>103</v>
      </c>
      <c r="K11" s="673">
        <v>3</v>
      </c>
      <c r="L11" s="1138"/>
      <c r="M11" s="1131"/>
      <c r="N11" s="1131"/>
      <c r="O11" s="1139"/>
      <c r="P11" s="3268"/>
      <c r="Q11" s="1794" t="str">
        <f t="shared" si="6"/>
        <v>容积率</v>
      </c>
      <c r="R11" s="770" t="s">
        <v>17</v>
      </c>
      <c r="S11" s="771">
        <f t="shared" si="0"/>
        <v>103</v>
      </c>
      <c r="T11" s="770" t="s">
        <v>17</v>
      </c>
      <c r="U11" s="771">
        <f t="shared" si="1"/>
        <v>103</v>
      </c>
      <c r="V11" s="770" t="s">
        <v>17</v>
      </c>
      <c r="W11" s="771">
        <f t="shared" si="2"/>
        <v>103</v>
      </c>
      <c r="X11" s="772"/>
      <c r="Y11" s="3070"/>
      <c r="Z11" s="55" t="str">
        <f t="shared" si="7"/>
        <v>容积率</v>
      </c>
      <c r="AA11" s="773">
        <f t="shared" si="3"/>
        <v>0.970873786407767</v>
      </c>
      <c r="AB11" s="773">
        <f t="shared" si="4"/>
        <v>0.970873786407767</v>
      </c>
      <c r="AC11" s="773">
        <f t="shared" si="5"/>
        <v>0.970873786407767</v>
      </c>
    </row>
    <row r="12" spans="1:30" ht="15">
      <c r="A12" s="428"/>
      <c r="B12" s="2976" t="s">
        <v>3633</v>
      </c>
      <c r="C12" s="2979" t="s">
        <v>3634</v>
      </c>
      <c r="D12" s="433">
        <v>100</v>
      </c>
      <c r="E12" s="2979" t="s">
        <v>3635</v>
      </c>
      <c r="F12" s="136">
        <v>95</v>
      </c>
      <c r="G12" s="2979" t="s">
        <v>3635</v>
      </c>
      <c r="H12" s="136">
        <v>95</v>
      </c>
      <c r="I12" s="2980" t="s">
        <v>3636</v>
      </c>
      <c r="J12" s="136">
        <v>95</v>
      </c>
      <c r="K12" s="673">
        <v>5</v>
      </c>
      <c r="L12" s="1138"/>
      <c r="M12" s="1131"/>
      <c r="N12" s="1131"/>
      <c r="O12" s="1139"/>
      <c r="P12" s="3268"/>
      <c r="Q12" s="2969" t="str">
        <f t="shared" si="6"/>
        <v>是否限价</v>
      </c>
      <c r="R12" s="770" t="s">
        <v>17</v>
      </c>
      <c r="S12" s="771">
        <f t="shared" si="0"/>
        <v>95</v>
      </c>
      <c r="T12" s="770" t="s">
        <v>17</v>
      </c>
      <c r="U12" s="771">
        <f t="shared" si="1"/>
        <v>95</v>
      </c>
      <c r="V12" s="770" t="s">
        <v>17</v>
      </c>
      <c r="W12" s="771">
        <f t="shared" si="2"/>
        <v>95</v>
      </c>
      <c r="X12" s="772"/>
      <c r="Y12" s="3070"/>
      <c r="Z12" s="2970" t="str">
        <f t="shared" si="7"/>
        <v>是否限价</v>
      </c>
      <c r="AA12" s="773">
        <f t="shared" si="3"/>
        <v>1.0526315789473684</v>
      </c>
      <c r="AB12" s="773">
        <f t="shared" si="4"/>
        <v>1.0526315789473684</v>
      </c>
      <c r="AC12" s="773">
        <f t="shared" si="5"/>
        <v>1.0526315789473684</v>
      </c>
    </row>
    <row r="13" spans="1:30" s="117" customFormat="1" ht="15">
      <c r="A13" s="431"/>
      <c r="B13" s="2600" t="s">
        <v>2743</v>
      </c>
      <c r="C13" s="2979" t="s">
        <v>3617</v>
      </c>
      <c r="D13" s="433">
        <v>100</v>
      </c>
      <c r="E13" s="2980" t="s">
        <v>3618</v>
      </c>
      <c r="F13" s="136">
        <f>SUMIF(83:83,E13,84:84)-SUMIF(83:83,C13,84:84)+100</f>
        <v>105</v>
      </c>
      <c r="G13" s="2980" t="s">
        <v>3618</v>
      </c>
      <c r="H13" s="136">
        <f>SUMIF(83:83,G13,84:84)-SUMIF(83:83,C13,84:84)+100</f>
        <v>105</v>
      </c>
      <c r="I13" s="2980" t="s">
        <v>3618</v>
      </c>
      <c r="J13" s="136">
        <f>SUMIF(83:83,I13,84:84)-SUMIF(83:83,C13,84:84)+100</f>
        <v>105</v>
      </c>
      <c r="K13" s="672"/>
      <c r="L13" s="1132"/>
      <c r="M13" s="1133"/>
      <c r="N13" s="1133"/>
      <c r="O13" s="1134"/>
      <c r="P13" s="3268"/>
      <c r="Q13" s="1794" t="str">
        <f t="shared" si="6"/>
        <v>配建</v>
      </c>
      <c r="R13" s="770" t="s">
        <v>17</v>
      </c>
      <c r="S13" s="771">
        <f t="shared" si="0"/>
        <v>105</v>
      </c>
      <c r="T13" s="770" t="s">
        <v>17</v>
      </c>
      <c r="U13" s="771">
        <f t="shared" si="1"/>
        <v>105</v>
      </c>
      <c r="V13" s="770" t="s">
        <v>17</v>
      </c>
      <c r="W13" s="771">
        <f t="shared" si="2"/>
        <v>105</v>
      </c>
      <c r="X13" s="772"/>
      <c r="Y13" s="3070"/>
      <c r="Z13" s="55" t="str">
        <f t="shared" si="7"/>
        <v>配建</v>
      </c>
      <c r="AA13" s="773">
        <f>D13/F13</f>
        <v>0.95238095238095233</v>
      </c>
      <c r="AB13" s="773">
        <f>D13/H13</f>
        <v>0.95238095238095233</v>
      </c>
      <c r="AC13" s="773">
        <f>D13/J13</f>
        <v>0.95238095238095233</v>
      </c>
    </row>
    <row r="14" spans="1:30" ht="15">
      <c r="A14" s="428"/>
      <c r="B14" s="2976" t="s">
        <v>3593</v>
      </c>
      <c r="C14" s="523" t="s">
        <v>3619</v>
      </c>
      <c r="D14" s="435">
        <v>100</v>
      </c>
      <c r="E14" s="2983" t="s">
        <v>3638</v>
      </c>
      <c r="F14" s="136">
        <f>SUMIF(85:85,E14,86:86)-SUMIF(85:85,C14,86:86)+100</f>
        <v>105</v>
      </c>
      <c r="G14" s="523" t="s">
        <v>3619</v>
      </c>
      <c r="H14" s="435">
        <f>SUMIF(85:85,G14,86:86)-SUMIF(85:85,C14,86:86)+100</f>
        <v>100</v>
      </c>
      <c r="I14" s="523" t="s">
        <v>3619</v>
      </c>
      <c r="J14" s="435">
        <f>SUMIF(85:85,I14,86:86)-SUMIF(85:85,C14,86:86)+100</f>
        <v>100</v>
      </c>
      <c r="K14" s="672"/>
      <c r="L14" s="1140"/>
      <c r="M14" s="1131"/>
      <c r="N14" s="1131"/>
      <c r="O14" s="1139"/>
      <c r="P14" s="3268"/>
      <c r="Q14" s="1794" t="str">
        <f t="shared" si="6"/>
        <v>自持比例</v>
      </c>
      <c r="R14" s="770" t="s">
        <v>17</v>
      </c>
      <c r="S14" s="771">
        <f t="shared" si="0"/>
        <v>105</v>
      </c>
      <c r="T14" s="770" t="s">
        <v>17</v>
      </c>
      <c r="U14" s="771">
        <f t="shared" si="1"/>
        <v>100</v>
      </c>
      <c r="V14" s="770" t="s">
        <v>17</v>
      </c>
      <c r="W14" s="771">
        <f t="shared" si="2"/>
        <v>100</v>
      </c>
      <c r="X14" s="772"/>
      <c r="Y14" s="3070"/>
      <c r="Z14" s="55" t="str">
        <f t="shared" si="7"/>
        <v>自持比例</v>
      </c>
      <c r="AA14" s="773">
        <f>D14/F14</f>
        <v>0.95238095238095233</v>
      </c>
      <c r="AB14" s="773">
        <f>D14/H14</f>
        <v>1</v>
      </c>
      <c r="AC14" s="773">
        <f>D14/J14</f>
        <v>1</v>
      </c>
    </row>
    <row r="15" spans="1:30" ht="15.6" thickBot="1">
      <c r="A15" s="436"/>
      <c r="B15" s="2977" t="s">
        <v>3594</v>
      </c>
      <c r="C15" s="523" t="s">
        <v>3619</v>
      </c>
      <c r="D15" s="438">
        <v>100</v>
      </c>
      <c r="E15" s="523" t="s">
        <v>3621</v>
      </c>
      <c r="F15" s="438">
        <f>SUMIF(87:87,E15,88:88)-SUMIF(87:87,C15,88:88)+100</f>
        <v>114</v>
      </c>
      <c r="G15" s="523" t="s">
        <v>3619</v>
      </c>
      <c r="H15" s="438">
        <f>SUMIF(87:87,G15,88:88)-SUMIF(87:87,C15,88:88)+100</f>
        <v>100</v>
      </c>
      <c r="I15" s="523" t="s">
        <v>3620</v>
      </c>
      <c r="J15" s="438">
        <f>SUMIF(87:87,I15,88:88)-SUMIF(87:87,C15,88:88)+100</f>
        <v>107</v>
      </c>
      <c r="K15" s="672"/>
      <c r="L15" s="1140"/>
      <c r="M15" s="1131"/>
      <c r="N15" s="1131"/>
      <c r="O15" s="1139"/>
      <c r="P15" s="3268"/>
      <c r="Q15" s="1794" t="str">
        <f t="shared" si="6"/>
        <v>住宅配比</v>
      </c>
      <c r="R15" s="770" t="s">
        <v>17</v>
      </c>
      <c r="S15" s="771">
        <f t="shared" si="0"/>
        <v>114</v>
      </c>
      <c r="T15" s="770" t="s">
        <v>17</v>
      </c>
      <c r="U15" s="771">
        <f t="shared" si="1"/>
        <v>100</v>
      </c>
      <c r="V15" s="770" t="s">
        <v>17</v>
      </c>
      <c r="W15" s="771">
        <f t="shared" si="2"/>
        <v>107</v>
      </c>
      <c r="X15" s="772"/>
      <c r="Y15" s="3070"/>
      <c r="Z15" s="55" t="str">
        <f t="shared" si="7"/>
        <v>住宅配比</v>
      </c>
      <c r="AA15" s="773">
        <f>D15/F15</f>
        <v>0.8771929824561403</v>
      </c>
      <c r="AB15" s="773">
        <f>D15/H15</f>
        <v>1</v>
      </c>
      <c r="AC15" s="773">
        <f>D15/J15</f>
        <v>0.93457943925233644</v>
      </c>
    </row>
    <row r="16" spans="1:30" ht="96.6">
      <c r="A16" s="440" t="s">
        <v>2555</v>
      </c>
      <c r="B16" s="69" t="s">
        <v>2084</v>
      </c>
      <c r="C16" s="2603" t="str">
        <f>估价对象房地状况!C15</f>
        <v>估价对象周边居住用地比例、居住小区规模和社区发展完善程度，综合评价居住社区成熟度一般</v>
      </c>
      <c r="D16" s="441">
        <v>100</v>
      </c>
      <c r="E16" s="442"/>
      <c r="F16" s="441">
        <f>SUMIF(89:89,E17,90:90)-SUMIF(89:89,C17,90:90)+100</f>
        <v>100</v>
      </c>
      <c r="G16" s="442"/>
      <c r="H16" s="441">
        <f>SUMIF(89:89,G17,90:90)-SUMIF(89:89,C17,90:90)+100</f>
        <v>100</v>
      </c>
      <c r="I16" s="444"/>
      <c r="J16" s="441">
        <f>SUMIF(89:89,I17,90:90)-SUMIF(89:89,C17,90:90)+100</f>
        <v>100</v>
      </c>
      <c r="K16" s="673">
        <v>2</v>
      </c>
      <c r="L16" s="1140"/>
      <c r="M16" s="1131"/>
      <c r="N16" s="1131"/>
      <c r="O16" s="1139"/>
      <c r="P16" s="3261" t="s">
        <v>2556</v>
      </c>
      <c r="Q16" s="1809" t="str">
        <f t="shared" si="6"/>
        <v>居住社区成熟度</v>
      </c>
      <c r="R16" s="774" t="s">
        <v>17</v>
      </c>
      <c r="S16" s="775">
        <f t="shared" si="0"/>
        <v>100</v>
      </c>
      <c r="T16" s="774" t="s">
        <v>17</v>
      </c>
      <c r="U16" s="775">
        <f t="shared" si="1"/>
        <v>100</v>
      </c>
      <c r="V16" s="774" t="s">
        <v>17</v>
      </c>
      <c r="W16" s="775">
        <f t="shared" si="2"/>
        <v>100</v>
      </c>
      <c r="X16" s="1812"/>
      <c r="Y16" s="3261" t="s">
        <v>2556</v>
      </c>
      <c r="Z16" s="1813" t="str">
        <f t="shared" si="7"/>
        <v>居住社区成熟度</v>
      </c>
      <c r="AA16" s="1810">
        <f t="shared" si="3"/>
        <v>1</v>
      </c>
      <c r="AB16" s="1810">
        <f t="shared" si="4"/>
        <v>1</v>
      </c>
      <c r="AC16" s="1810">
        <f t="shared" si="5"/>
        <v>1</v>
      </c>
    </row>
    <row r="17" spans="1:29" ht="15">
      <c r="A17" s="428"/>
      <c r="B17" s="446"/>
      <c r="C17" s="447" t="s">
        <v>3567</v>
      </c>
      <c r="D17" s="448"/>
      <c r="E17" s="447" t="s">
        <v>3567</v>
      </c>
      <c r="F17" s="448"/>
      <c r="G17" s="447" t="s">
        <v>3567</v>
      </c>
      <c r="H17" s="450"/>
      <c r="I17" s="447" t="s">
        <v>3567</v>
      </c>
      <c r="J17" s="448"/>
      <c r="K17" s="672"/>
      <c r="L17" s="1140"/>
      <c r="M17" s="1131"/>
      <c r="N17" s="1131"/>
      <c r="O17" s="1139"/>
      <c r="P17" s="3262"/>
      <c r="Q17" s="1809"/>
      <c r="R17" s="774"/>
      <c r="S17" s="775"/>
      <c r="T17" s="774"/>
      <c r="U17" s="775"/>
      <c r="V17" s="774"/>
      <c r="W17" s="775"/>
      <c r="X17" s="1812"/>
      <c r="Y17" s="3262"/>
      <c r="Z17" s="1813"/>
      <c r="AA17" s="1810">
        <v>1</v>
      </c>
      <c r="AB17" s="1810">
        <v>1</v>
      </c>
      <c r="AC17" s="1810">
        <v>1</v>
      </c>
    </row>
    <row r="18" spans="1:29" ht="69">
      <c r="A18" s="428"/>
      <c r="B18" s="451" t="s">
        <v>2649</v>
      </c>
      <c r="C18" s="2662" t="str">
        <f>估价对象房地状况!C16</f>
        <v>估价对象位于XX商圈，周边商业氛围成熟，人流量大，商业繁华度好</v>
      </c>
      <c r="D18" s="450">
        <v>100</v>
      </c>
      <c r="E18" s="452"/>
      <c r="F18" s="450">
        <f>SUMIF(91:91,E19,92:92)-SUMIF(91:91,C19,92:92)+100</f>
        <v>100</v>
      </c>
      <c r="G18" s="452"/>
      <c r="H18" s="455">
        <f>SUMIF(91:91,G19,92:92)-SUMIF(91:91,C19,92:92)+100</f>
        <v>100</v>
      </c>
      <c r="I18" s="454"/>
      <c r="J18" s="455">
        <f>SUMIF(91:91,I19,92:92)-SUMIF(91:91,C19,92:92)+100</f>
        <v>100</v>
      </c>
      <c r="K18" s="673">
        <v>2</v>
      </c>
      <c r="L18" s="1140"/>
      <c r="M18" s="1131"/>
      <c r="N18" s="1131"/>
      <c r="O18" s="1139"/>
      <c r="P18" s="3262"/>
      <c r="Q18" s="1809" t="str">
        <f>B18</f>
        <v>商业繁华度</v>
      </c>
      <c r="R18" s="774" t="s">
        <v>17</v>
      </c>
      <c r="S18" s="775">
        <f>F18</f>
        <v>100</v>
      </c>
      <c r="T18" s="774" t="s">
        <v>17</v>
      </c>
      <c r="U18" s="775">
        <f>H18</f>
        <v>100</v>
      </c>
      <c r="V18" s="774" t="s">
        <v>17</v>
      </c>
      <c r="W18" s="775">
        <f>J18</f>
        <v>100</v>
      </c>
      <c r="X18" s="1812"/>
      <c r="Y18" s="3262"/>
      <c r="Z18" s="1813" t="str">
        <f>Q18</f>
        <v>商业繁华度</v>
      </c>
      <c r="AA18" s="1810">
        <f t="shared" si="3"/>
        <v>1</v>
      </c>
      <c r="AB18" s="1810">
        <f t="shared" si="4"/>
        <v>1</v>
      </c>
      <c r="AC18" s="1810">
        <f t="shared" si="5"/>
        <v>1</v>
      </c>
    </row>
    <row r="19" spans="1:29" ht="15">
      <c r="A19" s="428"/>
      <c r="B19" s="456"/>
      <c r="C19" s="2608" t="s">
        <v>3568</v>
      </c>
      <c r="D19" s="450"/>
      <c r="E19" s="2608" t="s">
        <v>3568</v>
      </c>
      <c r="F19" s="450"/>
      <c r="G19" s="2608" t="s">
        <v>3568</v>
      </c>
      <c r="H19" s="448"/>
      <c r="I19" s="2608" t="s">
        <v>3568</v>
      </c>
      <c r="J19" s="448"/>
      <c r="K19" s="672"/>
      <c r="L19" s="1140"/>
      <c r="M19" s="1131"/>
      <c r="N19" s="1131"/>
      <c r="O19" s="1139"/>
      <c r="P19" s="3262"/>
      <c r="Q19" s="1809"/>
      <c r="R19" s="774"/>
      <c r="S19" s="775"/>
      <c r="T19" s="774"/>
      <c r="U19" s="775"/>
      <c r="V19" s="774"/>
      <c r="W19" s="775"/>
      <c r="X19" s="1812"/>
      <c r="Y19" s="3262"/>
      <c r="Z19" s="1813"/>
      <c r="AA19" s="1810">
        <v>1</v>
      </c>
      <c r="AB19" s="1810">
        <v>1</v>
      </c>
      <c r="AC19" s="1810">
        <v>1</v>
      </c>
    </row>
    <row r="20" spans="1:29" ht="69">
      <c r="A20" s="428"/>
      <c r="B20" s="451" t="s">
        <v>2683</v>
      </c>
      <c r="C20" s="2662" t="str">
        <f>估价对象房地状况!C17</f>
        <v>估价对象位于XX商圈，周边办公楼项目较多，入驻率高，办公集聚程度较好</v>
      </c>
      <c r="D20" s="455">
        <v>100</v>
      </c>
      <c r="E20" s="457"/>
      <c r="F20" s="455">
        <f>SUMIF(93:93,E21,94:94)-SUMIF(93:93,C21,94:94)+100</f>
        <v>100</v>
      </c>
      <c r="G20" s="457"/>
      <c r="H20" s="450">
        <f>SUMIF(93:93,G21,94:94)-SUMIF(93:93,C21,94:94)+100</f>
        <v>100</v>
      </c>
      <c r="I20" s="459"/>
      <c r="J20" s="450">
        <f>SUMIF(93:93,I21,94:94)-SUMIF(93:93,C21,94:94)+100</f>
        <v>98</v>
      </c>
      <c r="K20" s="673">
        <v>2</v>
      </c>
      <c r="L20" s="1140"/>
      <c r="M20" s="1131"/>
      <c r="N20" s="1131"/>
      <c r="O20" s="1139"/>
      <c r="P20" s="3262"/>
      <c r="Q20" s="1809" t="str">
        <f>B20</f>
        <v>办公集聚程度</v>
      </c>
      <c r="R20" s="774" t="s">
        <v>17</v>
      </c>
      <c r="S20" s="775">
        <f>F20</f>
        <v>100</v>
      </c>
      <c r="T20" s="774" t="s">
        <v>17</v>
      </c>
      <c r="U20" s="775">
        <f>H20</f>
        <v>100</v>
      </c>
      <c r="V20" s="774" t="s">
        <v>17</v>
      </c>
      <c r="W20" s="775">
        <f>J20</f>
        <v>98</v>
      </c>
      <c r="X20" s="1812"/>
      <c r="Y20" s="3262"/>
      <c r="Z20" s="1813" t="str">
        <f>Q20</f>
        <v>办公集聚程度</v>
      </c>
      <c r="AA20" s="1810">
        <f t="shared" si="3"/>
        <v>1</v>
      </c>
      <c r="AB20" s="1810">
        <f t="shared" si="4"/>
        <v>1</v>
      </c>
      <c r="AC20" s="1810">
        <f t="shared" si="5"/>
        <v>1.0204081632653061</v>
      </c>
    </row>
    <row r="21" spans="1:29" ht="15">
      <c r="A21" s="428"/>
      <c r="B21" s="456"/>
      <c r="C21" s="447" t="s">
        <v>3568</v>
      </c>
      <c r="D21" s="448"/>
      <c r="E21" s="447" t="s">
        <v>3568</v>
      </c>
      <c r="F21" s="448"/>
      <c r="G21" s="447" t="s">
        <v>3568</v>
      </c>
      <c r="H21" s="448"/>
      <c r="I21" s="447" t="s">
        <v>3569</v>
      </c>
      <c r="J21" s="448"/>
      <c r="K21" s="672"/>
      <c r="L21" s="1140"/>
      <c r="M21" s="1131"/>
      <c r="N21" s="1131"/>
      <c r="O21" s="1139"/>
      <c r="P21" s="3262"/>
      <c r="Q21" s="1809"/>
      <c r="R21" s="774"/>
      <c r="S21" s="775"/>
      <c r="T21" s="774"/>
      <c r="U21" s="775"/>
      <c r="V21" s="774"/>
      <c r="W21" s="775"/>
      <c r="X21" s="1812"/>
      <c r="Y21" s="3262"/>
      <c r="Z21" s="1813"/>
      <c r="AA21" s="1810">
        <v>1</v>
      </c>
      <c r="AB21" s="1810">
        <v>1</v>
      </c>
      <c r="AC21" s="1810">
        <v>1</v>
      </c>
    </row>
    <row r="22" spans="1:29" ht="82.8">
      <c r="A22" s="428"/>
      <c r="B22" s="451" t="s">
        <v>2705</v>
      </c>
      <c r="C22" s="2607" t="str">
        <f>估价对象房地状况!C18</f>
        <v>估价对象周边道路状况、公共交通通达情况、停车便捷程度，综合评价交通便捷度较好</v>
      </c>
      <c r="D22" s="450">
        <v>100</v>
      </c>
      <c r="E22" s="452"/>
      <c r="F22" s="455">
        <f>SUMIF(95:95,E23,96:96)-SUMIF(95:95,C23,96:96)+100</f>
        <v>100</v>
      </c>
      <c r="G22" s="452"/>
      <c r="H22" s="450">
        <f>SUMIF(95:95,G23,96:96)-SUMIF(95:95,C23,96:96)+100</f>
        <v>102</v>
      </c>
      <c r="I22" s="454"/>
      <c r="J22" s="450">
        <f>SUMIF(95:95,I23,96:96)-SUMIF(95:95,C23,96:96)+100</f>
        <v>100</v>
      </c>
      <c r="K22" s="673">
        <v>2</v>
      </c>
      <c r="L22" s="1140"/>
      <c r="M22" s="1131"/>
      <c r="N22" s="1131"/>
      <c r="O22" s="1139"/>
      <c r="P22" s="3262"/>
      <c r="Q22" s="1809" t="str">
        <f>B22</f>
        <v>交通便捷度</v>
      </c>
      <c r="R22" s="774" t="s">
        <v>17</v>
      </c>
      <c r="S22" s="775">
        <f>F22</f>
        <v>100</v>
      </c>
      <c r="T22" s="774" t="s">
        <v>17</v>
      </c>
      <c r="U22" s="775">
        <f>H22</f>
        <v>102</v>
      </c>
      <c r="V22" s="774" t="s">
        <v>17</v>
      </c>
      <c r="W22" s="775">
        <f>J22</f>
        <v>100</v>
      </c>
      <c r="X22" s="1812"/>
      <c r="Y22" s="3262"/>
      <c r="Z22" s="1813" t="str">
        <f>Q22</f>
        <v>交通便捷度</v>
      </c>
      <c r="AA22" s="1810">
        <f t="shared" si="3"/>
        <v>1</v>
      </c>
      <c r="AB22" s="1810">
        <f t="shared" si="4"/>
        <v>0.98039215686274506</v>
      </c>
      <c r="AC22" s="1810">
        <f t="shared" si="5"/>
        <v>1</v>
      </c>
    </row>
    <row r="23" spans="1:29" ht="15">
      <c r="A23" s="428"/>
      <c r="B23" s="1384"/>
      <c r="C23" s="447" t="s">
        <v>3568</v>
      </c>
      <c r="D23" s="450"/>
      <c r="E23" s="447" t="s">
        <v>3568</v>
      </c>
      <c r="F23" s="448"/>
      <c r="G23" s="2605" t="s">
        <v>3567</v>
      </c>
      <c r="H23" s="448"/>
      <c r="I23" s="447" t="s">
        <v>3568</v>
      </c>
      <c r="J23" s="448"/>
      <c r="K23" s="672"/>
      <c r="L23" s="1140"/>
      <c r="M23" s="1131"/>
      <c r="N23" s="1131"/>
      <c r="O23" s="1139"/>
      <c r="P23" s="3262"/>
      <c r="Q23" s="1809"/>
      <c r="R23" s="774"/>
      <c r="S23" s="775"/>
      <c r="T23" s="774"/>
      <c r="U23" s="775"/>
      <c r="V23" s="774"/>
      <c r="W23" s="775"/>
      <c r="X23" s="1812"/>
      <c r="Y23" s="3262"/>
      <c r="Z23" s="1813"/>
      <c r="AA23" s="1810">
        <v>1</v>
      </c>
      <c r="AB23" s="1810">
        <v>1</v>
      </c>
      <c r="AC23" s="1810">
        <v>1</v>
      </c>
    </row>
    <row r="24" spans="1:29" ht="28.8">
      <c r="A24" s="404"/>
      <c r="B24" s="451" t="s">
        <v>2744</v>
      </c>
      <c r="C24" s="1389">
        <f>估价对象房地状况!C19</f>
        <v>0</v>
      </c>
      <c r="D24" s="455">
        <v>100</v>
      </c>
      <c r="E24" s="452"/>
      <c r="F24" s="455">
        <f>SUMIF(97:97,E25,98:98)-SUMIF(97:97,C25,98:98)+100</f>
        <v>100</v>
      </c>
      <c r="G24" s="454"/>
      <c r="H24" s="455">
        <f>SUMIF(97:97,G25,98:98)-SUMIF(97:97,C25,98:98)+100</f>
        <v>100</v>
      </c>
      <c r="I24" s="454"/>
      <c r="J24" s="455">
        <f>SUMIF(97:97,I25,98:98)-SUMIF(97:97,C25,98:98)+100</f>
        <v>100</v>
      </c>
      <c r="K24" s="673">
        <v>2</v>
      </c>
      <c r="L24" s="1140"/>
      <c r="M24" s="1131"/>
      <c r="N24" s="1131"/>
      <c r="O24" s="1139"/>
      <c r="P24" s="3262"/>
      <c r="Q24" s="1809" t="str">
        <f t="shared" ref="Q24:Q38" si="8">B24</f>
        <v>区域土地利用方向</v>
      </c>
      <c r="R24" s="774" t="s">
        <v>17</v>
      </c>
      <c r="S24" s="775">
        <f>F24</f>
        <v>100</v>
      </c>
      <c r="T24" s="774" t="s">
        <v>17</v>
      </c>
      <c r="U24" s="775">
        <f>H24</f>
        <v>100</v>
      </c>
      <c r="V24" s="774" t="s">
        <v>17</v>
      </c>
      <c r="W24" s="775">
        <f>J24</f>
        <v>100</v>
      </c>
      <c r="X24" s="1812"/>
      <c r="Y24" s="3262"/>
      <c r="Z24" s="1813" t="str">
        <f>Q24</f>
        <v>区域土地利用方向</v>
      </c>
      <c r="AA24" s="1810">
        <f t="shared" si="3"/>
        <v>1</v>
      </c>
      <c r="AB24" s="1810">
        <f t="shared" si="4"/>
        <v>1</v>
      </c>
      <c r="AC24" s="1810">
        <f t="shared" si="5"/>
        <v>1</v>
      </c>
    </row>
    <row r="25" spans="1:29" ht="15">
      <c r="A25" s="404"/>
      <c r="B25" s="456"/>
      <c r="C25" s="616" t="s">
        <v>3567</v>
      </c>
      <c r="D25" s="448"/>
      <c r="E25" s="616" t="s">
        <v>3567</v>
      </c>
      <c r="F25" s="448"/>
      <c r="G25" s="616" t="s">
        <v>3567</v>
      </c>
      <c r="H25" s="448"/>
      <c r="I25" s="616" t="s">
        <v>3567</v>
      </c>
      <c r="J25" s="448"/>
      <c r="K25" s="812"/>
      <c r="L25" s="1140"/>
      <c r="M25" s="1131"/>
      <c r="N25" s="1131"/>
      <c r="O25" s="1139"/>
      <c r="P25" s="3262"/>
      <c r="Q25" s="1809"/>
      <c r="R25" s="774"/>
      <c r="S25" s="775"/>
      <c r="T25" s="774"/>
      <c r="U25" s="775"/>
      <c r="V25" s="774"/>
      <c r="W25" s="775"/>
      <c r="X25" s="1812"/>
      <c r="Y25" s="3262"/>
      <c r="Z25" s="1813"/>
      <c r="AA25" s="1810"/>
      <c r="AB25" s="1810"/>
      <c r="AC25" s="1810"/>
    </row>
    <row r="26" spans="1:29" ht="55.2">
      <c r="A26" s="404"/>
      <c r="B26" s="1384" t="s">
        <v>2745</v>
      </c>
      <c r="C26" s="2662" t="str">
        <f>估价对象房地状况!C20</f>
        <v>区域自然环境：；人文环境；综合评价环境状况一般</v>
      </c>
      <c r="D26" s="450">
        <v>100</v>
      </c>
      <c r="E26" s="452"/>
      <c r="F26" s="450">
        <f>SUMIF(99:99,E27,100:100)-SUMIF(99:99,C27,100:100)+100</f>
        <v>100</v>
      </c>
      <c r="G26" s="452"/>
      <c r="H26" s="450">
        <f>SUMIF(99:99,G27,100:100)-SUMIF(99:99,C27,100:100)+100</f>
        <v>102</v>
      </c>
      <c r="I26" s="454"/>
      <c r="J26" s="450">
        <f>SUMIF(99:99,I27,100:100)-SUMIF(99:99,C27,100:100)+100</f>
        <v>100</v>
      </c>
      <c r="K26" s="673">
        <v>2</v>
      </c>
      <c r="L26" s="1140"/>
      <c r="M26" s="1131"/>
      <c r="N26" s="1131"/>
      <c r="O26" s="1139"/>
      <c r="P26" s="3262"/>
      <c r="Q26" s="1809" t="str">
        <f t="shared" si="8"/>
        <v>自然及人文环境状况</v>
      </c>
      <c r="R26" s="774" t="s">
        <v>17</v>
      </c>
      <c r="S26" s="775">
        <f>F26</f>
        <v>100</v>
      </c>
      <c r="T26" s="774" t="s">
        <v>17</v>
      </c>
      <c r="U26" s="775">
        <f>H26</f>
        <v>102</v>
      </c>
      <c r="V26" s="774" t="s">
        <v>17</v>
      </c>
      <c r="W26" s="775">
        <f>J26</f>
        <v>100</v>
      </c>
      <c r="X26" s="1812"/>
      <c r="Y26" s="3262"/>
      <c r="Z26" s="1813" t="str">
        <f>Q26</f>
        <v>自然及人文环境状况</v>
      </c>
      <c r="AA26" s="1810">
        <f t="shared" si="3"/>
        <v>1</v>
      </c>
      <c r="AB26" s="1810">
        <f t="shared" si="4"/>
        <v>0.98039215686274506</v>
      </c>
      <c r="AC26" s="1810">
        <f t="shared" si="5"/>
        <v>1</v>
      </c>
    </row>
    <row r="27" spans="1:29" ht="15">
      <c r="A27" s="404"/>
      <c r="B27" s="456"/>
      <c r="C27" s="447" t="s">
        <v>3568</v>
      </c>
      <c r="D27" s="448"/>
      <c r="E27" s="447" t="s">
        <v>3568</v>
      </c>
      <c r="F27" s="448"/>
      <c r="G27" s="447" t="s">
        <v>3567</v>
      </c>
      <c r="H27" s="448"/>
      <c r="I27" s="447" t="s">
        <v>3568</v>
      </c>
      <c r="J27" s="448"/>
      <c r="K27" s="672"/>
      <c r="L27" s="1140"/>
      <c r="M27" s="1131"/>
      <c r="N27" s="1131"/>
      <c r="O27" s="1139"/>
      <c r="P27" s="3262"/>
      <c r="Q27" s="1809"/>
      <c r="R27" s="774"/>
      <c r="S27" s="775"/>
      <c r="T27" s="774"/>
      <c r="U27" s="775"/>
      <c r="V27" s="774"/>
      <c r="W27" s="775"/>
      <c r="X27" s="1812"/>
      <c r="Y27" s="3262"/>
      <c r="Z27" s="1813"/>
      <c r="AA27" s="1810">
        <v>1</v>
      </c>
      <c r="AB27" s="1810">
        <v>1</v>
      </c>
      <c r="AC27" s="1810">
        <v>1</v>
      </c>
    </row>
    <row r="28" spans="1:29" s="117" customFormat="1" ht="41.4">
      <c r="A28" s="649"/>
      <c r="B28" s="1384" t="s">
        <v>2650</v>
      </c>
      <c r="C28" s="2607" t="str">
        <f>估价对象房地状况!C21</f>
        <v>估价对象所在区域公共配套设施齐备情况</v>
      </c>
      <c r="D28" s="450">
        <v>100</v>
      </c>
      <c r="E28" s="452"/>
      <c r="F28" s="450">
        <f>SUMIF(101:101,E29,102:102)-SUMIF(101:101,C29,102:102)+100</f>
        <v>100</v>
      </c>
      <c r="G28" s="452"/>
      <c r="H28" s="450">
        <f>SUMIF(101:101,G29,102:102)-SUMIF(101:101,C29,102:102)+100</f>
        <v>102</v>
      </c>
      <c r="I28" s="454"/>
      <c r="J28" s="450">
        <f>SUMIF(101:101,I29,102:102)-SUMIF(101:101,C29,102:102)+100</f>
        <v>102</v>
      </c>
      <c r="K28" s="673">
        <v>2</v>
      </c>
      <c r="L28" s="1132"/>
      <c r="M28" s="1133"/>
      <c r="N28" s="1133"/>
      <c r="O28" s="1134"/>
      <c r="P28" s="3262"/>
      <c r="Q28" s="1794" t="str">
        <f t="shared" si="8"/>
        <v>公共配套设施</v>
      </c>
      <c r="R28" s="770" t="s">
        <v>17</v>
      </c>
      <c r="S28" s="771">
        <f>F28</f>
        <v>100</v>
      </c>
      <c r="T28" s="770" t="s">
        <v>17</v>
      </c>
      <c r="U28" s="771">
        <f>H28</f>
        <v>102</v>
      </c>
      <c r="V28" s="770" t="s">
        <v>17</v>
      </c>
      <c r="W28" s="771">
        <f>J28</f>
        <v>102</v>
      </c>
      <c r="X28" s="772"/>
      <c r="Y28" s="3262"/>
      <c r="Z28" s="55" t="str">
        <f>Q28</f>
        <v>公共配套设施</v>
      </c>
      <c r="AA28" s="1810">
        <f>D28/F28</f>
        <v>1</v>
      </c>
      <c r="AB28" s="1810">
        <f>D28/H28</f>
        <v>0.98039215686274506</v>
      </c>
      <c r="AC28" s="1810">
        <f>D28/J28</f>
        <v>0.98039215686274506</v>
      </c>
    </row>
    <row r="29" spans="1:29" s="117" customFormat="1" ht="15">
      <c r="A29" s="649"/>
      <c r="B29" s="456"/>
      <c r="C29" s="2698" t="s">
        <v>3568</v>
      </c>
      <c r="D29" s="448"/>
      <c r="E29" s="2698" t="s">
        <v>3568</v>
      </c>
      <c r="F29" s="448"/>
      <c r="G29" s="2611" t="s">
        <v>3567</v>
      </c>
      <c r="H29" s="448"/>
      <c r="I29" s="2698" t="s">
        <v>3567</v>
      </c>
      <c r="J29" s="448"/>
      <c r="K29" s="672"/>
      <c r="L29" s="1132"/>
      <c r="M29" s="1133"/>
      <c r="N29" s="1133"/>
      <c r="O29" s="1134"/>
      <c r="P29" s="3262"/>
      <c r="Q29" s="1794"/>
      <c r="R29" s="770"/>
      <c r="S29" s="771"/>
      <c r="T29" s="770"/>
      <c r="U29" s="771"/>
      <c r="V29" s="770"/>
      <c r="W29" s="771"/>
      <c r="X29" s="772"/>
      <c r="Y29" s="3262"/>
      <c r="Z29" s="55"/>
      <c r="AA29" s="1810">
        <v>1</v>
      </c>
      <c r="AB29" s="1810">
        <v>1</v>
      </c>
      <c r="AC29" s="1810">
        <v>1</v>
      </c>
    </row>
    <row r="30" spans="1:29" s="117" customFormat="1" ht="27.6">
      <c r="A30" s="649"/>
      <c r="B30" s="1384" t="s">
        <v>2651</v>
      </c>
      <c r="C30" s="2607" t="str">
        <f>估价对象房地状况!C22</f>
        <v>估价对象所在区域基础设施水平</v>
      </c>
      <c r="D30" s="450">
        <v>100</v>
      </c>
      <c r="E30" s="452"/>
      <c r="F30" s="450">
        <f>SUMIF(103:103,E31,104:104)-SUMIF(103:103,C31,104:104)+100</f>
        <v>100</v>
      </c>
      <c r="G30" s="452"/>
      <c r="H30" s="450">
        <f>SUMIF(103:103,G31,104:104)-SUMIF(103:103,C31,104:104)+100</f>
        <v>100</v>
      </c>
      <c r="I30" s="454"/>
      <c r="J30" s="450">
        <f>SUMIF(103:103,I31,104:104)-SUMIF(103:103,C31,104:104)+100</f>
        <v>100</v>
      </c>
      <c r="K30" s="673">
        <v>1</v>
      </c>
      <c r="L30" s="1132"/>
      <c r="M30" s="1133"/>
      <c r="N30" s="1133"/>
      <c r="O30" s="1134"/>
      <c r="P30" s="3262"/>
      <c r="Q30" s="1794" t="str">
        <f t="shared" ref="Q30" si="9">B30</f>
        <v>基础设施水平</v>
      </c>
      <c r="R30" s="770" t="s">
        <v>17</v>
      </c>
      <c r="S30" s="771">
        <f>F30</f>
        <v>100</v>
      </c>
      <c r="T30" s="770" t="s">
        <v>17</v>
      </c>
      <c r="U30" s="771">
        <f>H30</f>
        <v>100</v>
      </c>
      <c r="V30" s="770" t="s">
        <v>17</v>
      </c>
      <c r="W30" s="771">
        <f>J30</f>
        <v>100</v>
      </c>
      <c r="X30" s="772"/>
      <c r="Y30" s="3262"/>
      <c r="Z30" s="55" t="str">
        <f>Q30</f>
        <v>基础设施水平</v>
      </c>
      <c r="AA30" s="1810">
        <f>D30/F30</f>
        <v>1</v>
      </c>
      <c r="AB30" s="1810">
        <f>D30/H30</f>
        <v>1</v>
      </c>
      <c r="AC30" s="1810">
        <f>D30/J30</f>
        <v>1</v>
      </c>
    </row>
    <row r="31" spans="1:29" s="117" customFormat="1" ht="15">
      <c r="A31" s="649"/>
      <c r="B31" s="456"/>
      <c r="C31" s="2698" t="s">
        <v>3586</v>
      </c>
      <c r="D31" s="448"/>
      <c r="E31" s="2698" t="s">
        <v>3586</v>
      </c>
      <c r="F31" s="448"/>
      <c r="G31" s="2698" t="s">
        <v>3586</v>
      </c>
      <c r="H31" s="448"/>
      <c r="I31" s="2698" t="s">
        <v>3586</v>
      </c>
      <c r="J31" s="448"/>
      <c r="K31" s="672"/>
      <c r="L31" s="1132"/>
      <c r="M31" s="1133"/>
      <c r="N31" s="1133"/>
      <c r="O31" s="1134"/>
      <c r="P31" s="3262"/>
      <c r="Q31" s="1794"/>
      <c r="R31" s="770"/>
      <c r="S31" s="771"/>
      <c r="T31" s="770"/>
      <c r="U31" s="771"/>
      <c r="V31" s="770"/>
      <c r="W31" s="771"/>
      <c r="X31" s="772"/>
      <c r="Y31" s="3262"/>
      <c r="Z31" s="55"/>
      <c r="AA31" s="1810">
        <v>1</v>
      </c>
      <c r="AB31" s="1810">
        <v>1</v>
      </c>
      <c r="AC31" s="1810">
        <v>1</v>
      </c>
    </row>
    <row r="32" spans="1:29" ht="15">
      <c r="A32" s="428"/>
      <c r="B32" s="456" t="s">
        <v>2652</v>
      </c>
      <c r="C32" s="616" t="s">
        <v>3624</v>
      </c>
      <c r="D32" s="435">
        <v>100</v>
      </c>
      <c r="E32" s="634" t="s">
        <v>3624</v>
      </c>
      <c r="F32" s="435">
        <f>SUMIF(105:105,E32,106:106)-SUMIF(105:105,C32,106:106)+100</f>
        <v>100</v>
      </c>
      <c r="G32" s="634" t="s">
        <v>3624</v>
      </c>
      <c r="H32" s="435">
        <f>SUMIF(105:105,G32,106:106)-SUMIF(105:105,C32,106:106)+100</f>
        <v>100</v>
      </c>
      <c r="I32" s="634" t="s">
        <v>3637</v>
      </c>
      <c r="J32" s="435">
        <f>SUMIF(105:105,I32,106:106)-SUMIF(105:105,C32,106:106)+100</f>
        <v>98</v>
      </c>
      <c r="K32" s="673">
        <v>2</v>
      </c>
      <c r="L32" s="1140"/>
      <c r="M32" s="1131"/>
      <c r="N32" s="1131"/>
      <c r="O32" s="1139"/>
      <c r="P32" s="3262"/>
      <c r="Q32" s="1809" t="str">
        <f t="shared" si="8"/>
        <v>临街状况</v>
      </c>
      <c r="R32" s="774" t="s">
        <v>17</v>
      </c>
      <c r="S32" s="775">
        <f t="shared" ref="S32:S46" si="10">F32</f>
        <v>100</v>
      </c>
      <c r="T32" s="774" t="s">
        <v>17</v>
      </c>
      <c r="U32" s="775">
        <f t="shared" ref="U32:U46" si="11">H32</f>
        <v>100</v>
      </c>
      <c r="V32" s="774" t="s">
        <v>17</v>
      </c>
      <c r="W32" s="775">
        <f t="shared" ref="W32:W46" si="12">J32</f>
        <v>98</v>
      </c>
      <c r="X32" s="1812"/>
      <c r="Y32" s="3262"/>
      <c r="Z32" s="1813" t="str">
        <f t="shared" ref="Z32:Z46" si="13">Q32</f>
        <v>临街状况</v>
      </c>
      <c r="AA32" s="1810">
        <f t="shared" si="3"/>
        <v>1</v>
      </c>
      <c r="AB32" s="1810">
        <f t="shared" si="4"/>
        <v>1</v>
      </c>
      <c r="AC32" s="1810">
        <f t="shared" si="5"/>
        <v>1.0204081632653061</v>
      </c>
    </row>
    <row r="33" spans="1:29" ht="28.8">
      <c r="A33" s="428"/>
      <c r="B33" s="1384" t="s">
        <v>2687</v>
      </c>
      <c r="C33" s="454"/>
      <c r="D33" s="450">
        <v>100</v>
      </c>
      <c r="E33" s="452"/>
      <c r="F33" s="450">
        <f>SUMIF(107:107,E34,108:108)-SUMIF(107:107,C34,108:108)+100</f>
        <v>100</v>
      </c>
      <c r="G33" s="452"/>
      <c r="H33" s="450">
        <f>SUMIF(107:107,G34,108:108)-SUMIF(107:107,C34,108:108)+100</f>
        <v>100</v>
      </c>
      <c r="I33" s="454"/>
      <c r="J33" s="450">
        <f>SUMIF(107:107,I34,108:108)-SUMIF(107:107,C34,108:108)+100</f>
        <v>100</v>
      </c>
      <c r="K33" s="673">
        <v>1</v>
      </c>
      <c r="L33" s="1140"/>
      <c r="M33" s="1131"/>
      <c r="N33" s="1131"/>
      <c r="O33" s="1139"/>
      <c r="P33" s="3262"/>
      <c r="Q33" s="1809" t="str">
        <f t="shared" si="8"/>
        <v>毗邻道路的类型与等级</v>
      </c>
      <c r="R33" s="774" t="s">
        <v>17</v>
      </c>
      <c r="S33" s="775">
        <f t="shared" si="10"/>
        <v>100</v>
      </c>
      <c r="T33" s="774" t="s">
        <v>17</v>
      </c>
      <c r="U33" s="775">
        <f t="shared" si="11"/>
        <v>100</v>
      </c>
      <c r="V33" s="774" t="s">
        <v>17</v>
      </c>
      <c r="W33" s="775">
        <f t="shared" si="12"/>
        <v>100</v>
      </c>
      <c r="X33" s="1812"/>
      <c r="Y33" s="3262"/>
      <c r="Z33" s="1813" t="str">
        <f t="shared" si="13"/>
        <v>毗邻道路的类型与等级</v>
      </c>
      <c r="AA33" s="1810">
        <f t="shared" si="3"/>
        <v>1</v>
      </c>
      <c r="AB33" s="1810">
        <f t="shared" si="4"/>
        <v>1</v>
      </c>
      <c r="AC33" s="1810">
        <f t="shared" si="5"/>
        <v>1</v>
      </c>
    </row>
    <row r="34" spans="1:29" ht="15.6" thickBot="1">
      <c r="A34" s="428"/>
      <c r="B34" s="456"/>
      <c r="C34" s="447" t="s">
        <v>3630</v>
      </c>
      <c r="D34" s="448"/>
      <c r="E34" s="447" t="s">
        <v>3630</v>
      </c>
      <c r="F34" s="448"/>
      <c r="G34" s="447" t="s">
        <v>3630</v>
      </c>
      <c r="H34" s="448"/>
      <c r="I34" s="447" t="s">
        <v>3630</v>
      </c>
      <c r="J34" s="448"/>
      <c r="K34" s="613"/>
      <c r="L34" s="1140"/>
      <c r="M34" s="1131"/>
      <c r="N34" s="1131"/>
      <c r="O34" s="1139"/>
      <c r="P34" s="3262"/>
      <c r="Q34" s="1809"/>
      <c r="R34" s="774"/>
      <c r="S34" s="775"/>
      <c r="T34" s="774"/>
      <c r="U34" s="775"/>
      <c r="V34" s="774"/>
      <c r="W34" s="775"/>
      <c r="X34" s="1812"/>
      <c r="Y34" s="3262"/>
      <c r="Z34" s="1813"/>
      <c r="AA34" s="1810">
        <v>1</v>
      </c>
      <c r="AB34" s="1810">
        <v>1</v>
      </c>
      <c r="AC34" s="1810">
        <v>1</v>
      </c>
    </row>
    <row r="35" spans="1:29" ht="15" hidden="1">
      <c r="A35" s="428"/>
      <c r="B35" s="422" t="s">
        <v>2746</v>
      </c>
      <c r="C35" s="616"/>
      <c r="D35" s="435">
        <v>100</v>
      </c>
      <c r="E35" s="634"/>
      <c r="F35" s="435">
        <f>SUMIF(109:109,E35,110:110)-SUMIF(109:109,C35,110:110)+100</f>
        <v>100</v>
      </c>
      <c r="G35" s="634"/>
      <c r="H35" s="435">
        <f>SUMIF(109:109,G35,110:110)-SUMIF(109:109,C35,110:110)+100</f>
        <v>100</v>
      </c>
      <c r="I35" s="616"/>
      <c r="J35" s="435">
        <f>SUMIF(109:109,I35,110:110)-SUMIF(109:109,C35,110:110)+100</f>
        <v>100</v>
      </c>
      <c r="K35" s="612"/>
      <c r="L35" s="1140"/>
      <c r="M35" s="1131"/>
      <c r="N35" s="1131"/>
      <c r="O35" s="1139"/>
      <c r="P35" s="3262"/>
      <c r="Q35" s="1809" t="str">
        <f t="shared" si="8"/>
        <v>土地级别</v>
      </c>
      <c r="R35" s="774" t="s">
        <v>17</v>
      </c>
      <c r="S35" s="775">
        <f t="shared" si="10"/>
        <v>100</v>
      </c>
      <c r="T35" s="774" t="s">
        <v>17</v>
      </c>
      <c r="U35" s="775">
        <f t="shared" si="11"/>
        <v>100</v>
      </c>
      <c r="V35" s="774" t="s">
        <v>17</v>
      </c>
      <c r="W35" s="775">
        <f t="shared" si="12"/>
        <v>100</v>
      </c>
      <c r="X35" s="1812"/>
      <c r="Y35" s="3262"/>
      <c r="Z35" s="1813" t="str">
        <f t="shared" si="13"/>
        <v>土地级别</v>
      </c>
      <c r="AA35" s="1810">
        <f t="shared" si="3"/>
        <v>1</v>
      </c>
      <c r="AB35" s="1810">
        <f t="shared" si="4"/>
        <v>1</v>
      </c>
      <c r="AC35" s="1810">
        <f t="shared" si="5"/>
        <v>1</v>
      </c>
    </row>
    <row r="36" spans="1:29" ht="15" hidden="1">
      <c r="A36" s="404"/>
      <c r="B36" s="1386">
        <v>111</v>
      </c>
      <c r="C36" s="674"/>
      <c r="D36" s="435">
        <v>100</v>
      </c>
      <c r="E36" s="477"/>
      <c r="F36" s="435">
        <f>SUMIF(111:111,E36,112:112)-SUMIF(111:111,C36,112:112)+100</f>
        <v>100</v>
      </c>
      <c r="G36" s="477"/>
      <c r="H36" s="435">
        <f>SUMIF(111:111,G36,112:112)-SUMIF(111:111,C36,112:112)+100</f>
        <v>100</v>
      </c>
      <c r="I36" s="674"/>
      <c r="J36" s="435">
        <f>SUMIF(111:111,I36,112:112)-SUMIF(111:111,C36,112:112)+100</f>
        <v>100</v>
      </c>
      <c r="K36" s="613"/>
      <c r="L36" s="1140"/>
      <c r="M36" s="1131"/>
      <c r="N36" s="1131"/>
      <c r="O36" s="1139"/>
      <c r="P36" s="3262"/>
      <c r="Q36" s="1809">
        <f t="shared" si="8"/>
        <v>111</v>
      </c>
      <c r="R36" s="774" t="s">
        <v>17</v>
      </c>
      <c r="S36" s="775">
        <f t="shared" si="10"/>
        <v>100</v>
      </c>
      <c r="T36" s="774" t="s">
        <v>17</v>
      </c>
      <c r="U36" s="775">
        <f t="shared" si="11"/>
        <v>100</v>
      </c>
      <c r="V36" s="774" t="s">
        <v>17</v>
      </c>
      <c r="W36" s="775">
        <f t="shared" si="12"/>
        <v>100</v>
      </c>
      <c r="X36" s="1812"/>
      <c r="Y36" s="3262"/>
      <c r="Z36" s="1813">
        <f t="shared" si="13"/>
        <v>111</v>
      </c>
      <c r="AA36" s="1810">
        <f t="shared" si="3"/>
        <v>1</v>
      </c>
      <c r="AB36" s="1810">
        <f t="shared" si="4"/>
        <v>1</v>
      </c>
      <c r="AC36" s="1810">
        <f t="shared" si="5"/>
        <v>1</v>
      </c>
    </row>
    <row r="37" spans="1:29" ht="15" hidden="1">
      <c r="A37" s="675"/>
      <c r="B37" s="1387">
        <v>111</v>
      </c>
      <c r="C37" s="674"/>
      <c r="D37" s="435">
        <v>100</v>
      </c>
      <c r="E37" s="477"/>
      <c r="F37" s="435">
        <f>SUMIF(113:113,E38,114:114)-SUMIF(113:113,C38,114:114)+100</f>
        <v>100</v>
      </c>
      <c r="G37" s="477"/>
      <c r="H37" s="435">
        <f>SUMIF(113:113,G37,114:114)-SUMIF(113:113,C37,114:114)+100</f>
        <v>100</v>
      </c>
      <c r="I37" s="674"/>
      <c r="J37" s="435">
        <f>SUMIF(113:113,I37,114:114)-SUMIF(113:113,C37,114:114)+100</f>
        <v>100</v>
      </c>
      <c r="K37" s="613"/>
      <c r="L37" s="1140"/>
      <c r="M37" s="1131"/>
      <c r="N37" s="1131"/>
      <c r="O37" s="1139"/>
      <c r="P37" s="3292" t="s">
        <v>2561</v>
      </c>
      <c r="Q37" s="1809">
        <f t="shared" si="8"/>
        <v>111</v>
      </c>
      <c r="R37" s="774" t="s">
        <v>17</v>
      </c>
      <c r="S37" s="775">
        <f t="shared" si="10"/>
        <v>100</v>
      </c>
      <c r="T37" s="774" t="s">
        <v>17</v>
      </c>
      <c r="U37" s="775">
        <f t="shared" si="11"/>
        <v>100</v>
      </c>
      <c r="V37" s="774" t="s">
        <v>17</v>
      </c>
      <c r="W37" s="775">
        <f t="shared" si="12"/>
        <v>100</v>
      </c>
      <c r="X37" s="1812"/>
      <c r="Y37" s="3266" t="s">
        <v>2561</v>
      </c>
      <c r="Z37" s="1813">
        <f t="shared" si="13"/>
        <v>111</v>
      </c>
      <c r="AA37" s="1810">
        <f t="shared" si="3"/>
        <v>1</v>
      </c>
      <c r="AB37" s="1810">
        <f t="shared" si="4"/>
        <v>1</v>
      </c>
      <c r="AC37" s="1810">
        <f t="shared" si="5"/>
        <v>1</v>
      </c>
    </row>
    <row r="38" spans="1:29" s="471" customFormat="1" ht="15.6" hidden="1" thickBot="1">
      <c r="A38" s="676"/>
      <c r="B38" s="1388">
        <v>111</v>
      </c>
      <c r="C38" s="678"/>
      <c r="D38" s="137">
        <v>100</v>
      </c>
      <c r="E38" s="701"/>
      <c r="F38" s="438">
        <f>SUMIF(115:115,E38,116:116)-SUMIF(115:115,C38,116:116)+100</f>
        <v>100</v>
      </c>
      <c r="G38" s="701"/>
      <c r="H38" s="438">
        <f>SUMIF(115:115,G38,116:116)-SUMIF(115:115,C38,116:116)+100</f>
        <v>100</v>
      </c>
      <c r="I38" s="678"/>
      <c r="J38" s="438">
        <f>SUMIF(115:115,I38,116:116)-SUMIF(115:115,C38,116:116)+100</f>
        <v>100</v>
      </c>
      <c r="K38" s="613"/>
      <c r="L38" s="1138"/>
      <c r="M38" s="1141"/>
      <c r="N38" s="1141"/>
      <c r="O38" s="1142"/>
      <c r="P38" s="3266"/>
      <c r="Q38" s="1809">
        <f t="shared" si="8"/>
        <v>111</v>
      </c>
      <c r="R38" s="777" t="s">
        <v>17</v>
      </c>
      <c r="S38" s="778">
        <f t="shared" si="10"/>
        <v>100</v>
      </c>
      <c r="T38" s="777" t="s">
        <v>17</v>
      </c>
      <c r="U38" s="778">
        <f t="shared" si="11"/>
        <v>100</v>
      </c>
      <c r="V38" s="777" t="s">
        <v>17</v>
      </c>
      <c r="W38" s="778">
        <f t="shared" si="12"/>
        <v>100</v>
      </c>
      <c r="X38" s="779"/>
      <c r="Y38" s="3266"/>
      <c r="Z38" s="780">
        <f t="shared" si="13"/>
        <v>111</v>
      </c>
      <c r="AA38" s="1810">
        <f t="shared" si="3"/>
        <v>1</v>
      </c>
      <c r="AB38" s="1810">
        <f t="shared" si="4"/>
        <v>1</v>
      </c>
      <c r="AC38" s="1810">
        <f t="shared" si="5"/>
        <v>1</v>
      </c>
    </row>
    <row r="39" spans="1:29" ht="15.6">
      <c r="A39" s="472" t="s">
        <v>2559</v>
      </c>
      <c r="B39" s="456" t="s">
        <v>2747</v>
      </c>
      <c r="C39" s="679">
        <f>'数据-基础表'!A3</f>
        <v>23730.99</v>
      </c>
      <c r="D39" s="467">
        <v>100</v>
      </c>
      <c r="E39" s="679">
        <f>土地案例!J4</f>
        <v>97107.81</v>
      </c>
      <c r="F39" s="467">
        <f>LOOKUP(E39,118:118,119:119)-LOOKUP(C39,118:118,119:119)+100</f>
        <v>103</v>
      </c>
      <c r="G39" s="679">
        <f>土地案例!J5</f>
        <v>46848.3</v>
      </c>
      <c r="H39" s="467">
        <f>LOOKUP(G39,118:118,119:119)-LOOKUP(C39,118:118,119:119)+100</f>
        <v>101</v>
      </c>
      <c r="I39" s="530">
        <f>土地案例!J11</f>
        <v>101259.5</v>
      </c>
      <c r="J39" s="467">
        <f>LOOKUP(I39,118:118,119:119)-LOOKUP(C39,118:118,119:119)+100</f>
        <v>104</v>
      </c>
      <c r="K39" s="613"/>
      <c r="L39" s="1140"/>
      <c r="M39" s="1131"/>
      <c r="N39" s="1131"/>
      <c r="O39" s="1139"/>
      <c r="P39" s="3266"/>
      <c r="Q39" s="1809" t="str">
        <f>B39</f>
        <v>宗地面积</v>
      </c>
      <c r="R39" s="774" t="s">
        <v>17</v>
      </c>
      <c r="S39" s="775">
        <f t="shared" si="10"/>
        <v>103</v>
      </c>
      <c r="T39" s="774" t="s">
        <v>17</v>
      </c>
      <c r="U39" s="775">
        <f t="shared" si="11"/>
        <v>101</v>
      </c>
      <c r="V39" s="774" t="s">
        <v>17</v>
      </c>
      <c r="W39" s="775">
        <f t="shared" si="12"/>
        <v>104</v>
      </c>
      <c r="X39" s="1812"/>
      <c r="Y39" s="3266"/>
      <c r="Z39" s="1813" t="str">
        <f t="shared" si="13"/>
        <v>宗地面积</v>
      </c>
      <c r="AA39" s="1810">
        <f t="shared" si="3"/>
        <v>0.970873786407767</v>
      </c>
      <c r="AB39" s="1810">
        <f t="shared" si="4"/>
        <v>0.99009900990099009</v>
      </c>
      <c r="AC39" s="1810">
        <f t="shared" si="5"/>
        <v>0.96153846153846156</v>
      </c>
    </row>
    <row r="40" spans="1:29" ht="15">
      <c r="A40" s="472"/>
      <c r="B40" s="422" t="s">
        <v>2748</v>
      </c>
      <c r="C40" s="2613" t="s">
        <v>3601</v>
      </c>
      <c r="D40" s="435">
        <v>100</v>
      </c>
      <c r="E40" s="2613" t="s">
        <v>3599</v>
      </c>
      <c r="F40" s="435">
        <f>SUMIF(120:120,E40,121:121)-SUMIF(120:120,C40,121:121)+100</f>
        <v>101</v>
      </c>
      <c r="G40" s="2613" t="s">
        <v>3599</v>
      </c>
      <c r="H40" s="435">
        <f>SUMIF(120:120,G40,121:121)-SUMIF(120:120,C40,121:121)+100</f>
        <v>101</v>
      </c>
      <c r="I40" s="2613" t="s">
        <v>3601</v>
      </c>
      <c r="J40" s="435">
        <f>SUMIF(120:120,I40,121:121)-SUMIF(120:120,C40,121:121)+100</f>
        <v>100</v>
      </c>
      <c r="K40" s="612">
        <v>1</v>
      </c>
      <c r="L40" s="1140"/>
      <c r="M40" s="1131"/>
      <c r="N40" s="1131"/>
      <c r="O40" s="1139"/>
      <c r="P40" s="3266"/>
      <c r="Q40" s="1809" t="str">
        <f t="shared" ref="Q40:Q46" si="14">B40</f>
        <v>宗地形状</v>
      </c>
      <c r="R40" s="774" t="s">
        <v>17</v>
      </c>
      <c r="S40" s="775">
        <f t="shared" si="10"/>
        <v>101</v>
      </c>
      <c r="T40" s="774" t="s">
        <v>17</v>
      </c>
      <c r="U40" s="775">
        <f t="shared" si="11"/>
        <v>101</v>
      </c>
      <c r="V40" s="774" t="s">
        <v>17</v>
      </c>
      <c r="W40" s="775">
        <f t="shared" si="12"/>
        <v>100</v>
      </c>
      <c r="X40" s="1812"/>
      <c r="Y40" s="3266"/>
      <c r="Z40" s="1813" t="str">
        <f t="shared" si="13"/>
        <v>宗地形状</v>
      </c>
      <c r="AA40" s="1810">
        <f t="shared" si="3"/>
        <v>0.99009900990099009</v>
      </c>
      <c r="AB40" s="1810">
        <f t="shared" si="4"/>
        <v>0.99009900990099009</v>
      </c>
      <c r="AC40" s="1810">
        <f t="shared" si="5"/>
        <v>1</v>
      </c>
    </row>
    <row r="41" spans="1:29" ht="15">
      <c r="A41" s="472"/>
      <c r="B41" s="422" t="s">
        <v>2749</v>
      </c>
      <c r="C41" s="2613"/>
      <c r="D41" s="435">
        <v>100</v>
      </c>
      <c r="E41" s="2613"/>
      <c r="F41" s="435">
        <f>SUMIF(122:122,E41,123:123)-SUMIF(122:122,C41,123:123)+100</f>
        <v>100</v>
      </c>
      <c r="G41" s="2613"/>
      <c r="H41" s="435">
        <f>SUMIF(122:122,G41,123:123)-SUMIF(122:122,C41,123:123)+100</f>
        <v>100</v>
      </c>
      <c r="I41" s="2613"/>
      <c r="J41" s="435">
        <f>SUMIF(122:122,I41,123:123)-SUMIF(122:122,C41,123:123)+100</f>
        <v>100</v>
      </c>
      <c r="K41" s="612">
        <v>1</v>
      </c>
      <c r="L41" s="1140"/>
      <c r="M41" s="1131"/>
      <c r="N41" s="1131"/>
      <c r="O41" s="1139"/>
      <c r="P41" s="3266"/>
      <c r="Q41" s="1809" t="str">
        <f t="shared" si="14"/>
        <v>临街宽度及深度</v>
      </c>
      <c r="R41" s="774" t="s">
        <v>17</v>
      </c>
      <c r="S41" s="775">
        <f t="shared" si="10"/>
        <v>100</v>
      </c>
      <c r="T41" s="774" t="s">
        <v>17</v>
      </c>
      <c r="U41" s="775">
        <f t="shared" si="11"/>
        <v>100</v>
      </c>
      <c r="V41" s="774" t="s">
        <v>17</v>
      </c>
      <c r="W41" s="775">
        <f t="shared" si="12"/>
        <v>100</v>
      </c>
      <c r="X41" s="1812"/>
      <c r="Y41" s="3266"/>
      <c r="Z41" s="1813" t="str">
        <f t="shared" si="13"/>
        <v>临街宽度及深度</v>
      </c>
      <c r="AA41" s="1810">
        <f t="shared" si="3"/>
        <v>1</v>
      </c>
      <c r="AB41" s="1810">
        <f t="shared" si="4"/>
        <v>1</v>
      </c>
      <c r="AC41" s="1810">
        <f t="shared" si="5"/>
        <v>1</v>
      </c>
    </row>
    <row r="42" spans="1:29" s="117" customFormat="1" ht="15">
      <c r="A42" s="473"/>
      <c r="B42" s="422" t="s">
        <v>2750</v>
      </c>
      <c r="C42" s="2700" t="s">
        <v>3589</v>
      </c>
      <c r="D42" s="136">
        <v>100</v>
      </c>
      <c r="E42" s="2700" t="s">
        <v>3611</v>
      </c>
      <c r="F42" s="435">
        <f>SUMIF(124:124,E42,125:125)-SUMIF(124:124,C42,125:125)+100</f>
        <v>99</v>
      </c>
      <c r="G42" s="2700" t="s">
        <v>3611</v>
      </c>
      <c r="H42" s="435">
        <f>SUMIF(124:124,G42,125:125)-SUMIF(124:124,C42,125:125)+100</f>
        <v>99</v>
      </c>
      <c r="I42" s="2700" t="s">
        <v>3611</v>
      </c>
      <c r="J42" s="435">
        <f>SUMIF(124:124,I42,125:125)-SUMIF(124:124,C42,125:125)+100</f>
        <v>99</v>
      </c>
      <c r="K42" s="612">
        <v>1</v>
      </c>
      <c r="L42" s="1132"/>
      <c r="M42" s="1133"/>
      <c r="N42" s="1133"/>
      <c r="O42" s="1134"/>
      <c r="P42" s="3266"/>
      <c r="Q42" s="1809" t="str">
        <f t="shared" si="14"/>
        <v>宗地开发程度</v>
      </c>
      <c r="R42" s="770" t="s">
        <v>17</v>
      </c>
      <c r="S42" s="771">
        <f t="shared" si="10"/>
        <v>99</v>
      </c>
      <c r="T42" s="770" t="s">
        <v>17</v>
      </c>
      <c r="U42" s="771">
        <f t="shared" si="11"/>
        <v>99</v>
      </c>
      <c r="V42" s="770" t="s">
        <v>17</v>
      </c>
      <c r="W42" s="771">
        <f t="shared" si="12"/>
        <v>99</v>
      </c>
      <c r="X42" s="772"/>
      <c r="Y42" s="3266"/>
      <c r="Z42" s="55" t="str">
        <f t="shared" si="13"/>
        <v>宗地开发程度</v>
      </c>
      <c r="AA42" s="773">
        <f t="shared" si="3"/>
        <v>1.0101010101010102</v>
      </c>
      <c r="AB42" s="773">
        <f t="shared" si="4"/>
        <v>1.0101010101010102</v>
      </c>
      <c r="AC42" s="773">
        <f t="shared" si="5"/>
        <v>1.0101010101010102</v>
      </c>
    </row>
    <row r="43" spans="1:29" ht="15">
      <c r="A43" s="472"/>
      <c r="B43" s="422" t="s">
        <v>2751</v>
      </c>
      <c r="C43" s="2613" t="s">
        <v>3567</v>
      </c>
      <c r="D43" s="435">
        <v>100</v>
      </c>
      <c r="E43" s="2613" t="s">
        <v>3567</v>
      </c>
      <c r="F43" s="435">
        <f>SUMIF(126:126,E43,127:127)-SUMIF(126:126,C43,127:127)+100</f>
        <v>100</v>
      </c>
      <c r="G43" s="2613" t="s">
        <v>3567</v>
      </c>
      <c r="H43" s="435">
        <f>SUMIF(126:126,G43,127:127)-SUMIF(126:126,C43,127:127)+100</f>
        <v>100</v>
      </c>
      <c r="I43" s="2613" t="s">
        <v>3567</v>
      </c>
      <c r="J43" s="435">
        <f>SUMIF(126:126,I43,127:127)-SUMIF(126:126,C43,127:127)+100</f>
        <v>100</v>
      </c>
      <c r="K43" s="612">
        <v>1</v>
      </c>
      <c r="L43" s="1140"/>
      <c r="M43" s="1131"/>
      <c r="N43" s="1131"/>
      <c r="O43" s="1139"/>
      <c r="P43" s="3266" t="s">
        <v>2561</v>
      </c>
      <c r="Q43" s="1809" t="str">
        <f t="shared" si="14"/>
        <v>工程地质条件</v>
      </c>
      <c r="R43" s="774" t="s">
        <v>17</v>
      </c>
      <c r="S43" s="775">
        <f t="shared" si="10"/>
        <v>100</v>
      </c>
      <c r="T43" s="774" t="s">
        <v>17</v>
      </c>
      <c r="U43" s="775">
        <f t="shared" si="11"/>
        <v>100</v>
      </c>
      <c r="V43" s="774" t="s">
        <v>17</v>
      </c>
      <c r="W43" s="775">
        <f t="shared" si="12"/>
        <v>100</v>
      </c>
      <c r="X43" s="1812"/>
      <c r="Y43" s="3266" t="s">
        <v>2561</v>
      </c>
      <c r="Z43" s="1813" t="str">
        <f t="shared" si="13"/>
        <v>工程地质条件</v>
      </c>
      <c r="AA43" s="1810">
        <f t="shared" si="3"/>
        <v>1</v>
      </c>
      <c r="AB43" s="1810">
        <f t="shared" si="4"/>
        <v>1</v>
      </c>
      <c r="AC43" s="1810">
        <f t="shared" si="5"/>
        <v>1</v>
      </c>
    </row>
    <row r="44" spans="1:29" ht="15">
      <c r="A44" s="472"/>
      <c r="B44" s="1387">
        <v>111</v>
      </c>
      <c r="C44" s="674"/>
      <c r="D44" s="435">
        <v>100</v>
      </c>
      <c r="E44" s="674"/>
      <c r="F44" s="435">
        <f>SUMIF(128:128,E44,129:129)-SUMIF(128:128,C44,129:129)+100</f>
        <v>100</v>
      </c>
      <c r="G44" s="674"/>
      <c r="H44" s="435">
        <f>SUMIF(128:128,G44,129:129)-SUMIF(128:128,C44,129:129)+100</f>
        <v>100</v>
      </c>
      <c r="I44" s="549"/>
      <c r="J44" s="435">
        <f>SUMIF(128:128,I44,129:129)-SUMIF(128:128,C44,129:129)+100</f>
        <v>100</v>
      </c>
      <c r="K44" s="613"/>
      <c r="L44" s="1140"/>
      <c r="M44" s="1131"/>
      <c r="N44" s="1131"/>
      <c r="O44" s="1139"/>
      <c r="P44" s="3266"/>
      <c r="Q44" s="1809">
        <f t="shared" si="14"/>
        <v>111</v>
      </c>
      <c r="R44" s="774" t="s">
        <v>17</v>
      </c>
      <c r="S44" s="775">
        <f t="shared" si="10"/>
        <v>100</v>
      </c>
      <c r="T44" s="774" t="s">
        <v>17</v>
      </c>
      <c r="U44" s="775">
        <f t="shared" si="11"/>
        <v>100</v>
      </c>
      <c r="V44" s="774" t="s">
        <v>17</v>
      </c>
      <c r="W44" s="775">
        <f t="shared" si="12"/>
        <v>100</v>
      </c>
      <c r="X44" s="1812"/>
      <c r="Y44" s="3266"/>
      <c r="Z44" s="1813">
        <f t="shared" si="13"/>
        <v>111</v>
      </c>
      <c r="AA44" s="1810">
        <f t="shared" si="3"/>
        <v>1</v>
      </c>
      <c r="AB44" s="1810">
        <f t="shared" si="4"/>
        <v>1</v>
      </c>
      <c r="AC44" s="1810">
        <f t="shared" si="5"/>
        <v>1</v>
      </c>
    </row>
    <row r="45" spans="1:29" ht="15">
      <c r="A45" s="472"/>
      <c r="B45" s="1387">
        <v>111</v>
      </c>
      <c r="C45" s="674"/>
      <c r="D45" s="435">
        <v>100</v>
      </c>
      <c r="E45" s="674"/>
      <c r="F45" s="435">
        <f>SUMIF(130:130,E45,131:131)-SUMIF(130:130,C45,131:131)+100</f>
        <v>100</v>
      </c>
      <c r="G45" s="674"/>
      <c r="H45" s="435">
        <f>SUMIF(130:130,G45,131:131)-SUMIF(130:130,C45,131:131)+100</f>
        <v>100</v>
      </c>
      <c r="I45" s="549"/>
      <c r="J45" s="435">
        <f>SUMIF(130:130,I45,131:131)-SUMIF(130:130,C45,131:131)+100</f>
        <v>100</v>
      </c>
      <c r="K45" s="613"/>
      <c r="L45" s="1140"/>
      <c r="M45" s="1131"/>
      <c r="N45" s="1131"/>
      <c r="O45" s="1139"/>
      <c r="P45" s="3266"/>
      <c r="Q45" s="1809">
        <f t="shared" si="14"/>
        <v>111</v>
      </c>
      <c r="R45" s="774" t="s">
        <v>17</v>
      </c>
      <c r="S45" s="775">
        <f t="shared" si="10"/>
        <v>100</v>
      </c>
      <c r="T45" s="774" t="s">
        <v>17</v>
      </c>
      <c r="U45" s="775">
        <f t="shared" si="11"/>
        <v>100</v>
      </c>
      <c r="V45" s="774" t="s">
        <v>17</v>
      </c>
      <c r="W45" s="775">
        <f t="shared" si="12"/>
        <v>100</v>
      </c>
      <c r="X45" s="1812"/>
      <c r="Y45" s="3266"/>
      <c r="Z45" s="1813">
        <f t="shared" si="13"/>
        <v>111</v>
      </c>
      <c r="AA45" s="1810">
        <f t="shared" si="3"/>
        <v>1</v>
      </c>
      <c r="AB45" s="1810">
        <f t="shared" si="4"/>
        <v>1</v>
      </c>
      <c r="AC45" s="1810">
        <f t="shared" si="5"/>
        <v>1</v>
      </c>
    </row>
    <row r="46" spans="1:29" s="471" customFormat="1" ht="15.6" thickBot="1">
      <c r="A46" s="468"/>
      <c r="B46" s="1387">
        <v>111</v>
      </c>
      <c r="C46" s="2701"/>
      <c r="D46" s="680">
        <v>100</v>
      </c>
      <c r="E46" s="674"/>
      <c r="F46" s="438">
        <f>SUMIF(132:132,E46,133:133)-SUMIF(132:132,C46,133:133)+100</f>
        <v>100</v>
      </c>
      <c r="G46" s="674"/>
      <c r="H46" s="438">
        <f>SUMIF(132:132,G46,133:133)-SUMIF(132:132,C46,133:133)+100</f>
        <v>100</v>
      </c>
      <c r="I46" s="674"/>
      <c r="J46" s="438">
        <f>SUMIF(132:132,I46,133:133)-SUMIF(132:132,C46,133:133)+100</f>
        <v>100</v>
      </c>
      <c r="K46" s="681"/>
      <c r="L46" s="1138"/>
      <c r="M46" s="1141"/>
      <c r="N46" s="1141"/>
      <c r="O46" s="1142"/>
      <c r="P46" s="3266"/>
      <c r="Q46" s="1809">
        <f t="shared" si="14"/>
        <v>111</v>
      </c>
      <c r="R46" s="777" t="s">
        <v>17</v>
      </c>
      <c r="S46" s="778">
        <f t="shared" si="10"/>
        <v>100</v>
      </c>
      <c r="T46" s="777" t="s">
        <v>17</v>
      </c>
      <c r="U46" s="778">
        <f t="shared" si="11"/>
        <v>100</v>
      </c>
      <c r="V46" s="777" t="s">
        <v>17</v>
      </c>
      <c r="W46" s="778">
        <f t="shared" si="12"/>
        <v>100</v>
      </c>
      <c r="X46" s="779"/>
      <c r="Y46" s="3266"/>
      <c r="Z46" s="780">
        <f t="shared" si="13"/>
        <v>111</v>
      </c>
      <c r="AA46" s="1810">
        <f t="shared" si="3"/>
        <v>1</v>
      </c>
      <c r="AB46" s="1810">
        <f t="shared" si="4"/>
        <v>1</v>
      </c>
      <c r="AC46" s="1810">
        <f t="shared" si="5"/>
        <v>1</v>
      </c>
    </row>
    <row r="47" spans="1:29" ht="14.4">
      <c r="A47" s="479" t="s">
        <v>2716</v>
      </c>
      <c r="B47" s="2702" t="s">
        <v>2752</v>
      </c>
      <c r="C47" s="682" t="s">
        <v>1</v>
      </c>
      <c r="D47" s="481"/>
      <c r="E47" s="482">
        <f>ROUND(土地案例!AK4,0)</f>
        <v>21109</v>
      </c>
      <c r="F47" s="483"/>
      <c r="G47" s="484">
        <f>ROUND(土地案例!AK5,0)</f>
        <v>19356</v>
      </c>
      <c r="H47" s="485"/>
      <c r="I47" s="482">
        <f>ROUND(土地案例!AK11,0)</f>
        <v>19523</v>
      </c>
      <c r="J47" s="485"/>
      <c r="K47" s="783"/>
      <c r="L47" s="1143"/>
      <c r="M47" s="1144"/>
      <c r="N47" s="1131"/>
      <c r="O47" s="1144"/>
      <c r="P47" s="3268" t="str">
        <f>A47</f>
        <v>成交单价</v>
      </c>
      <c r="Q47" s="3268"/>
      <c r="R47" s="3230">
        <f>E47</f>
        <v>21109</v>
      </c>
      <c r="S47" s="3230"/>
      <c r="T47" s="3230">
        <f>G47</f>
        <v>19356</v>
      </c>
      <c r="U47" s="3230"/>
      <c r="V47" s="3230">
        <f>I47</f>
        <v>19523</v>
      </c>
      <c r="W47" s="3230"/>
      <c r="X47" s="759"/>
      <c r="Y47" s="781"/>
      <c r="Z47" s="759"/>
      <c r="AA47" s="759"/>
      <c r="AB47" s="759"/>
      <c r="AC47" s="759"/>
    </row>
    <row r="48" spans="1:29" ht="15" thickBot="1">
      <c r="A48" s="486" t="s">
        <v>2665</v>
      </c>
      <c r="B48" s="683"/>
      <c r="C48" s="490">
        <f>R49</f>
        <v>17267</v>
      </c>
      <c r="D48" s="489"/>
      <c r="E48" s="490">
        <f>R48</f>
        <v>16504</v>
      </c>
      <c r="F48" s="491"/>
      <c r="G48" s="488">
        <f>T48</f>
        <v>17408</v>
      </c>
      <c r="H48" s="489"/>
      <c r="I48" s="490">
        <f>V48</f>
        <v>17888</v>
      </c>
      <c r="J48" s="489"/>
      <c r="K48" s="784"/>
      <c r="L48" s="1143"/>
      <c r="M48" s="1144"/>
      <c r="N48" s="1144"/>
      <c r="O48" s="1144"/>
      <c r="P48" s="3268" t="str">
        <f>A48</f>
        <v>比较价值（元/平方米）</v>
      </c>
      <c r="Q48" s="3268"/>
      <c r="R48" s="3300">
        <f>ROUND(PRODUCT(R47,AA7:AA46),0)</f>
        <v>16504</v>
      </c>
      <c r="S48" s="3300"/>
      <c r="T48" s="3300">
        <f>ROUND(PRODUCT(T47,AB7:AB46),0)</f>
        <v>17408</v>
      </c>
      <c r="U48" s="3300"/>
      <c r="V48" s="3300">
        <f>ROUND(PRODUCT(V47,AC7:AC46),0)</f>
        <v>17888</v>
      </c>
      <c r="W48" s="3300"/>
      <c r="X48" s="759"/>
      <c r="Y48" s="759"/>
      <c r="Z48" s="759"/>
      <c r="AA48" s="759"/>
      <c r="AB48" s="759"/>
      <c r="AC48" s="759"/>
    </row>
    <row r="49" spans="1:29" ht="15" thickBot="1">
      <c r="A49" s="492" t="s">
        <v>2753</v>
      </c>
      <c r="B49" s="493"/>
      <c r="C49" s="494">
        <f>R49</f>
        <v>17267</v>
      </c>
      <c r="D49" s="494"/>
      <c r="E49" s="494"/>
      <c r="F49" s="494"/>
      <c r="G49" s="494"/>
      <c r="H49" s="494"/>
      <c r="I49" s="494"/>
      <c r="J49" s="494"/>
      <c r="K49" s="785"/>
      <c r="L49" s="1143"/>
      <c r="M49" s="1144"/>
      <c r="N49" s="1144"/>
      <c r="O49" s="1144"/>
      <c r="P49" s="3270" t="str">
        <f>A49</f>
        <v>估价对象XX用房的比较价值（楼面单价，元/平方米）</v>
      </c>
      <c r="Q49" s="3271"/>
      <c r="R49" s="3301">
        <f>ROUND(AVERAGE(R48:V48),0)</f>
        <v>17267</v>
      </c>
      <c r="S49" s="3301"/>
      <c r="T49" s="3301"/>
      <c r="U49" s="3301"/>
      <c r="V49" s="3301"/>
      <c r="W49" s="33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2667</v>
      </c>
      <c r="D52" s="498"/>
      <c r="E52" s="499">
        <f>IF(E47&lt;E48,E48/E47-1,E47/E48-1)</f>
        <v>0.27902326708676695</v>
      </c>
      <c r="F52" s="500" t="str">
        <f>IF(OR(E52&gt;=0.3,E52&lt;=-0.3),"超过30%","")</f>
        <v/>
      </c>
      <c r="G52" s="499">
        <f>IF(G47&lt;G48,G48/G47-1,G47/G48-1)</f>
        <v>0.11190257352941169</v>
      </c>
      <c r="H52" s="500" t="str">
        <f>IF(OR(G52&gt;=0.3,G52&lt;=-0.3),"超过30%","")</f>
        <v/>
      </c>
      <c r="I52" s="499">
        <f>IF(I47&lt;I48,I48/I47-1,I47/I48-1)</f>
        <v>9.1402057245080437E-2</v>
      </c>
      <c r="J52" s="500" t="str">
        <f>IF(OR(I52&gt;=0.3,I52&lt;=-0.3),"超过30%","")</f>
        <v/>
      </c>
      <c r="K52" s="1105"/>
      <c r="L52" s="1106"/>
      <c r="M52" s="1144"/>
      <c r="N52" s="1144"/>
      <c r="O52" s="1144"/>
    </row>
    <row r="53" spans="1:29" ht="13.5" customHeight="1">
      <c r="A53" s="1144"/>
      <c r="B53" s="1144"/>
      <c r="C53" s="497" t="s">
        <v>2668</v>
      </c>
      <c r="D53" s="501"/>
      <c r="E53" s="499">
        <f>IF(E48&lt;G48,G48/E48-1,E48/G48-1)</f>
        <v>5.4774600096946235E-2</v>
      </c>
      <c r="F53" s="500" t="str">
        <f>IF(OR(E53&gt;=0.2,E53&lt;=-0.2),"超过20%","")</f>
        <v/>
      </c>
      <c r="G53" s="499">
        <f>IF(G48&lt;I48,I48/G48-1,G48/I48-1)</f>
        <v>2.7573529411764719E-2</v>
      </c>
      <c r="H53" s="500" t="str">
        <f>IF(OR(G53&gt;=0.2,G53&lt;=-0.2),"超过20%","")</f>
        <v/>
      </c>
      <c r="I53" s="499">
        <f>IF(I48&lt;E48,E48/I48-1,I48/E48-1)</f>
        <v>8.385845855550178E-2</v>
      </c>
      <c r="J53" s="500" t="str">
        <f>IF(OR(I53&gt;=0.2,I53&lt;=-0.2),"超过20%","")</f>
        <v/>
      </c>
      <c r="K53" s="1105"/>
      <c r="L53" s="1106"/>
      <c r="M53" s="1144"/>
      <c r="N53" s="1144"/>
      <c r="O53" s="1144"/>
    </row>
    <row r="54" spans="1:29" s="502" customFormat="1" ht="13.5" customHeight="1">
      <c r="A54" s="1145"/>
      <c r="B54" s="1145"/>
      <c r="C54" s="497" t="s">
        <v>2669</v>
      </c>
      <c r="D54" s="501"/>
      <c r="E54" s="499">
        <f>IF(E47&lt;G47,G47/E47-1,E47/G47-1)</f>
        <v>9.0566232692705029E-2</v>
      </c>
      <c r="F54" s="500" t="str">
        <f>IF(OR(E54&gt;=0.3,E54&lt;=-0.3),"超过30%","")</f>
        <v/>
      </c>
      <c r="G54" s="499">
        <f>IF(G47&lt;I47,I47/G47-1,G47/I47-1)</f>
        <v>8.6278156643935233E-3</v>
      </c>
      <c r="H54" s="500" t="str">
        <f>IF(OR(G54&gt;=0.3,G54&lt;=-0.3),"超过30%","")</f>
        <v/>
      </c>
      <c r="I54" s="499">
        <f>IF(I47&lt;E47,E47/I47-1,I47/E47-1)</f>
        <v>8.1237514726220317E-2</v>
      </c>
      <c r="J54" s="500" t="str">
        <f>IF(OR(I54&gt;=0.3,I54&lt;=-0.3),"超过30%","")</f>
        <v/>
      </c>
      <c r="K54" s="1148"/>
      <c r="L54" s="1149"/>
      <c r="M54" s="1145"/>
      <c r="N54" s="1145"/>
      <c r="O54" s="1145"/>
    </row>
    <row r="55" spans="1:29" s="502" customFormat="1" ht="14.4" thickBot="1">
      <c r="A55" s="1145"/>
      <c r="B55" s="1146"/>
      <c r="C55" s="762"/>
      <c r="D55" s="760"/>
      <c r="E55" s="760"/>
      <c r="F55" s="760"/>
      <c r="G55" s="760"/>
      <c r="H55" s="760"/>
      <c r="I55" s="760"/>
      <c r="J55" s="760"/>
      <c r="K55" s="1148"/>
      <c r="L55" s="1149"/>
      <c r="M55" s="1145"/>
      <c r="N55" s="1145"/>
      <c r="O55" s="1145"/>
    </row>
    <row r="56" spans="1:29" ht="27" customHeight="1">
      <c r="A56" s="684" t="s">
        <v>2754</v>
      </c>
      <c r="B56" s="685" t="s">
        <v>2755</v>
      </c>
      <c r="C56" s="2703" t="s">
        <v>2756</v>
      </c>
      <c r="D56" s="2704" t="s">
        <v>2757</v>
      </c>
      <c r="E56" s="686" t="s">
        <v>2758</v>
      </c>
      <c r="F56" s="1107" t="s">
        <v>2759</v>
      </c>
      <c r="G56" s="3246" t="s">
        <v>2760</v>
      </c>
      <c r="H56" s="3302"/>
      <c r="I56" s="144" t="s">
        <v>2761</v>
      </c>
      <c r="J56" s="2705">
        <f>项目基本情况!F35</f>
        <v>0</v>
      </c>
      <c r="K56" s="2706" t="s">
        <v>2762</v>
      </c>
      <c r="L56" s="1106"/>
      <c r="M56" s="1144"/>
      <c r="N56" s="1144"/>
      <c r="O56" s="1144"/>
    </row>
    <row r="57" spans="1:29" s="692" customFormat="1">
      <c r="A57" s="688" t="s">
        <v>2763</v>
      </c>
      <c r="B57" s="689">
        <f>C49</f>
        <v>17267</v>
      </c>
      <c r="C57" s="690">
        <v>1</v>
      </c>
      <c r="D57" s="1163">
        <v>1</v>
      </c>
      <c r="E57" s="690">
        <f>'数据-汇总表'!E8+'数据-汇总表'!E9</f>
        <v>72427.330000000016</v>
      </c>
      <c r="F57" s="1103">
        <f t="shared" ref="F57:F66" si="15">ROUND(B57*E57/10000,0)</f>
        <v>125060</v>
      </c>
      <c r="G57" s="3245"/>
      <c r="H57" s="3268"/>
      <c r="I57" s="1108">
        <v>1</v>
      </c>
      <c r="J57" s="1111">
        <v>1</v>
      </c>
      <c r="K57" s="1145"/>
      <c r="L57" s="941"/>
      <c r="M57" s="941"/>
      <c r="N57" s="941"/>
      <c r="O57" s="941"/>
    </row>
    <row r="58" spans="1:29" s="692" customFormat="1">
      <c r="A58" s="693" t="s">
        <v>2764</v>
      </c>
      <c r="B58" s="262">
        <f>ROUND($C$49*C58*D58,0)</f>
        <v>3022</v>
      </c>
      <c r="C58" s="200">
        <f t="shared" ref="C58:C66" si="16">IF($C$56="北京市系数",I58,J58)</f>
        <v>0.7</v>
      </c>
      <c r="D58" s="1164">
        <v>0.25</v>
      </c>
      <c r="E58" s="694">
        <f>'数据-汇总表'!G22</f>
        <v>12769.119999999999</v>
      </c>
      <c r="F58" s="1103">
        <f t="shared" si="15"/>
        <v>3859</v>
      </c>
      <c r="G58" s="3303" t="s">
        <v>2765</v>
      </c>
      <c r="H58" s="1104" t="str">
        <f>项目基本情况!B37</f>
        <v>七级</v>
      </c>
      <c r="I58" s="1108">
        <f>SUMIF(修正!A45:A56,H58,修正!B45:B56)</f>
        <v>0.7</v>
      </c>
      <c r="J58" s="1112"/>
      <c r="K58" s="1144"/>
      <c r="L58" s="941"/>
      <c r="M58" s="941"/>
      <c r="N58" s="941"/>
      <c r="O58" s="941"/>
    </row>
    <row r="59" spans="1:29" s="692" customFormat="1">
      <c r="A59" s="693" t="s">
        <v>2766</v>
      </c>
      <c r="B59" s="262">
        <f t="shared" ref="B59:B66" si="17">ROUND($C$49*C59*D59,0)</f>
        <v>1727</v>
      </c>
      <c r="C59" s="200">
        <f t="shared" si="16"/>
        <v>0.4</v>
      </c>
      <c r="D59" s="1164">
        <v>0.25</v>
      </c>
      <c r="E59" s="694"/>
      <c r="F59" s="1103">
        <f t="shared" si="15"/>
        <v>0</v>
      </c>
      <c r="G59" s="3303"/>
      <c r="H59" s="1104" t="str">
        <f>项目基本情况!B37</f>
        <v>七级</v>
      </c>
      <c r="I59" s="1108">
        <f>SUMIF(修正!A45:A56,H59,修正!C45:C56)</f>
        <v>0.4</v>
      </c>
      <c r="J59" s="1112"/>
      <c r="K59" s="1145"/>
      <c r="L59" s="941"/>
      <c r="M59" s="941"/>
      <c r="N59" s="941"/>
      <c r="O59" s="941"/>
    </row>
    <row r="60" spans="1:29" s="692" customFormat="1">
      <c r="A60" s="693" t="s">
        <v>2767</v>
      </c>
      <c r="B60" s="262">
        <f t="shared" si="17"/>
        <v>1209</v>
      </c>
      <c r="C60" s="200">
        <f t="shared" si="16"/>
        <v>0.28000000000000003</v>
      </c>
      <c r="D60" s="1164">
        <v>0.25</v>
      </c>
      <c r="E60" s="694"/>
      <c r="F60" s="1103">
        <f t="shared" si="15"/>
        <v>0</v>
      </c>
      <c r="G60" s="3303"/>
      <c r="H60" s="1104" t="str">
        <f>项目基本情况!B37</f>
        <v>七级</v>
      </c>
      <c r="I60" s="1108">
        <f>SUMIF(修正!A45:A56,H60,修正!D45:D56)</f>
        <v>0.28000000000000003</v>
      </c>
      <c r="J60" s="1112"/>
      <c r="K60" s="1144"/>
      <c r="L60" s="941"/>
      <c r="M60" s="941"/>
      <c r="N60" s="941"/>
      <c r="O60" s="941"/>
    </row>
    <row r="61" spans="1:29" s="692" customFormat="1">
      <c r="A61" s="693" t="s">
        <v>2768</v>
      </c>
      <c r="B61" s="262">
        <f t="shared" si="17"/>
        <v>1079</v>
      </c>
      <c r="C61" s="200">
        <f t="shared" si="16"/>
        <v>0.25</v>
      </c>
      <c r="D61" s="1164">
        <v>0.25</v>
      </c>
      <c r="E61" s="694"/>
      <c r="F61" s="1103">
        <f t="shared" si="15"/>
        <v>0</v>
      </c>
      <c r="G61" s="3303"/>
      <c r="H61" s="1104" t="str">
        <f>项目基本情况!B37</f>
        <v>七级</v>
      </c>
      <c r="I61" s="1108">
        <f>SUMIF(修正!A45:A56,H61,修正!E45:E56)</f>
        <v>0.25</v>
      </c>
      <c r="J61" s="1112"/>
      <c r="K61" s="1145"/>
      <c r="L61" s="941"/>
      <c r="M61" s="941"/>
      <c r="N61" s="941"/>
      <c r="O61" s="941"/>
    </row>
    <row r="62" spans="1:29" s="692" customFormat="1">
      <c r="A62" s="693" t="s">
        <v>2769</v>
      </c>
      <c r="B62" s="262">
        <f t="shared" si="17"/>
        <v>1079</v>
      </c>
      <c r="C62" s="200">
        <f t="shared" si="16"/>
        <v>0.25</v>
      </c>
      <c r="D62" s="1164">
        <v>0.25</v>
      </c>
      <c r="E62" s="261">
        <f>'数据-汇总表'!E11</f>
        <v>55.46</v>
      </c>
      <c r="F62" s="1103">
        <f t="shared" si="15"/>
        <v>6</v>
      </c>
      <c r="G62" s="2707" t="s">
        <v>2770</v>
      </c>
      <c r="H62" s="1104" t="str">
        <f>项目基本情况!C37</f>
        <v>七级</v>
      </c>
      <c r="I62" s="1108">
        <f>SUMIF(修正!A45:A56,H62,修正!F45:F56)</f>
        <v>0.25</v>
      </c>
      <c r="J62" s="1112"/>
      <c r="K62" s="1144"/>
      <c r="L62" s="941"/>
      <c r="M62" s="941"/>
      <c r="N62" s="941"/>
      <c r="O62" s="941"/>
    </row>
    <row r="63" spans="1:29" s="692" customFormat="1">
      <c r="A63" s="693" t="s">
        <v>2771</v>
      </c>
      <c r="B63" s="262">
        <f t="shared" si="17"/>
        <v>1079</v>
      </c>
      <c r="C63" s="200">
        <f t="shared" si="16"/>
        <v>0.25</v>
      </c>
      <c r="D63" s="1164">
        <v>0.25</v>
      </c>
      <c r="E63" s="261">
        <f>'数据-汇总表'!E12</f>
        <v>0</v>
      </c>
      <c r="F63" s="1103">
        <f t="shared" si="15"/>
        <v>0</v>
      </c>
      <c r="G63" s="1109" t="s">
        <v>2772</v>
      </c>
      <c r="H63" s="1104" t="str">
        <f>IF(G63="商业",项目基本情况!B37,IF(G63="办公",项目基本情况!C37,IF(G63="住宅",项目基本情况!D37,项目基本情况!E37)))</f>
        <v>七级</v>
      </c>
      <c r="I63" s="1108">
        <f>SUMIF(修正!A45:A56,H63,修正!G45:G56)</f>
        <v>0.25</v>
      </c>
      <c r="J63" s="1112"/>
      <c r="K63" s="1145"/>
      <c r="L63" s="941"/>
      <c r="M63" s="941"/>
      <c r="N63" s="941"/>
      <c r="O63" s="941"/>
    </row>
    <row r="64" spans="1:29" s="692" customFormat="1">
      <c r="A64" s="693" t="s">
        <v>2773</v>
      </c>
      <c r="B64" s="262">
        <f t="shared" si="17"/>
        <v>863</v>
      </c>
      <c r="C64" s="200">
        <f t="shared" si="16"/>
        <v>0.2</v>
      </c>
      <c r="D64" s="1164">
        <v>0.25</v>
      </c>
      <c r="E64" s="261">
        <f>'数据-汇总表'!E13</f>
        <v>17927.650000000001</v>
      </c>
      <c r="F64" s="1103">
        <f t="shared" si="15"/>
        <v>1547</v>
      </c>
      <c r="G64" s="1109" t="s">
        <v>2774</v>
      </c>
      <c r="H64" s="1104" t="str">
        <f>IF(G64="商业",项目基本情况!B37,IF(G64="办公",项目基本情况!C37,IF(G64="住宅",项目基本情况!D37,项目基本情况!E37)))</f>
        <v>七级</v>
      </c>
      <c r="I64" s="1108">
        <f>SUMIF(修正!A45:A56,H64,修正!H45:H56)</f>
        <v>0.2</v>
      </c>
      <c r="J64" s="1112"/>
      <c r="K64" s="1144"/>
      <c r="L64" s="941"/>
      <c r="M64" s="941"/>
      <c r="N64" s="941"/>
      <c r="O64" s="941"/>
    </row>
    <row r="65" spans="1:17" s="692" customFormat="1">
      <c r="A65" s="693" t="s">
        <v>2775</v>
      </c>
      <c r="B65" s="262">
        <f t="shared" si="17"/>
        <v>863</v>
      </c>
      <c r="C65" s="200">
        <f t="shared" si="16"/>
        <v>0.2</v>
      </c>
      <c r="D65" s="1164">
        <v>0.25</v>
      </c>
      <c r="E65" s="261">
        <f>'数据-汇总表'!E14</f>
        <v>0</v>
      </c>
      <c r="F65" s="1103">
        <f t="shared" si="15"/>
        <v>0</v>
      </c>
      <c r="G65" s="2707" t="s">
        <v>2765</v>
      </c>
      <c r="H65" s="1104" t="str">
        <f>项目基本情况!B37</f>
        <v>七级</v>
      </c>
      <c r="I65" s="1108">
        <f>SUMIF(修正!A45:A56,H65,修正!H45:H56)</f>
        <v>0.2</v>
      </c>
      <c r="J65" s="1112"/>
      <c r="K65" s="1145"/>
      <c r="L65" s="941"/>
      <c r="M65" s="941"/>
      <c r="N65" s="941"/>
      <c r="O65" s="941"/>
    </row>
    <row r="66" spans="1:17" s="692" customFormat="1" ht="14.4" thickBot="1">
      <c r="A66" s="693" t="s">
        <v>2776</v>
      </c>
      <c r="B66" s="262">
        <f t="shared" si="17"/>
        <v>863</v>
      </c>
      <c r="C66" s="200">
        <f t="shared" si="16"/>
        <v>0.2</v>
      </c>
      <c r="D66" s="1164">
        <v>0.25</v>
      </c>
      <c r="E66" s="261">
        <f>'数据-汇总表'!E15</f>
        <v>0</v>
      </c>
      <c r="F66" s="1103">
        <f t="shared" si="15"/>
        <v>0</v>
      </c>
      <c r="G66" s="2708" t="s">
        <v>2770</v>
      </c>
      <c r="H66" s="1114" t="str">
        <f>项目基本情况!C37</f>
        <v>七级</v>
      </c>
      <c r="I66" s="1110">
        <f>SUMIF(修正!A45:A56,H66,修正!H45:H56)</f>
        <v>0.2</v>
      </c>
      <c r="J66" s="1113"/>
      <c r="K66" s="1144"/>
      <c r="L66" s="941"/>
      <c r="M66" s="941"/>
      <c r="N66" s="941"/>
      <c r="O66" s="941"/>
    </row>
    <row r="67" spans="1:17" s="692" customFormat="1" thickBot="1">
      <c r="A67" s="695" t="s">
        <v>2777</v>
      </c>
      <c r="B67" s="696" t="s">
        <v>28</v>
      </c>
      <c r="C67" s="696" t="s">
        <v>29</v>
      </c>
      <c r="D67" s="696" t="s">
        <v>1026</v>
      </c>
      <c r="E67" s="696">
        <f>IF(B47="楼面地价",SUM(E57:E66),'数据-汇总表'!D3)</f>
        <v>103179.56000000003</v>
      </c>
      <c r="F67" s="697">
        <f>IF(B47="楼面地价",SUM(F57:F66),ROUND(C49*E67/10000,0))</f>
        <v>130472</v>
      </c>
      <c r="G67" s="787"/>
      <c r="H67" s="787"/>
      <c r="I67" s="787"/>
      <c r="J67" s="787"/>
      <c r="K67" s="1158"/>
      <c r="L67" s="941"/>
      <c r="M67" s="941"/>
      <c r="N67" s="941"/>
      <c r="O67" s="941"/>
    </row>
    <row r="68" spans="1:17">
      <c r="A68" s="759"/>
      <c r="B68" s="761"/>
      <c r="C68" s="762"/>
      <c r="D68" s="759"/>
      <c r="E68" s="759"/>
      <c r="F68" s="759"/>
      <c r="G68" s="759"/>
      <c r="H68" s="759"/>
      <c r="I68" s="759"/>
      <c r="J68" s="1144"/>
      <c r="K68" s="1105"/>
      <c r="L68" s="1106"/>
      <c r="M68" s="1144"/>
      <c r="N68" s="1144"/>
      <c r="O68" s="1144"/>
    </row>
    <row r="69" spans="1:17">
      <c r="A69" s="759"/>
      <c r="B69" s="761"/>
      <c r="C69" s="761" t="str">
        <f>YEAR(C7)&amp;"-"&amp;MONTH(C7)&amp;"-1"</f>
        <v>2019-5-1</v>
      </c>
      <c r="D69" s="761">
        <f>EDATE(C69,-3)</f>
        <v>43497</v>
      </c>
      <c r="E69" s="761">
        <f>EDATE(D69,-3)</f>
        <v>43405</v>
      </c>
      <c r="F69" s="761">
        <f t="shared" ref="F69:O69" si="18">EDATE(E69,-3)</f>
        <v>43313</v>
      </c>
      <c r="G69" s="761">
        <f t="shared" si="18"/>
        <v>43221</v>
      </c>
      <c r="H69" s="761">
        <f t="shared" si="18"/>
        <v>43132</v>
      </c>
      <c r="I69" s="761">
        <f t="shared" si="18"/>
        <v>43040</v>
      </c>
      <c r="J69" s="761">
        <f t="shared" si="18"/>
        <v>42948</v>
      </c>
      <c r="K69" s="761">
        <f t="shared" si="18"/>
        <v>42856</v>
      </c>
      <c r="L69" s="761">
        <f t="shared" si="18"/>
        <v>42767</v>
      </c>
      <c r="M69" s="761">
        <f t="shared" si="18"/>
        <v>42675</v>
      </c>
      <c r="N69" s="761">
        <f t="shared" si="18"/>
        <v>42583</v>
      </c>
      <c r="O69" s="761">
        <f t="shared" si="18"/>
        <v>42491</v>
      </c>
    </row>
    <row r="70" spans="1:17" ht="22.2" thickBot="1">
      <c r="A70" s="763" t="s">
        <v>2670</v>
      </c>
      <c r="B70" s="759"/>
      <c r="C70" s="764"/>
      <c r="D70" s="764"/>
      <c r="E70" s="764"/>
      <c r="F70" s="765"/>
      <c r="G70" s="765"/>
      <c r="H70" s="764"/>
      <c r="I70" s="764"/>
      <c r="J70" s="1159"/>
      <c r="K70" s="1160"/>
      <c r="L70" s="1161"/>
      <c r="M70" s="1159"/>
      <c r="N70" s="1159"/>
      <c r="O70" s="1159"/>
      <c r="P70" s="503"/>
      <c r="Q70" s="504"/>
    </row>
    <row r="71" spans="1:17" s="508" customFormat="1" ht="14.4">
      <c r="A71" s="2709" t="s">
        <v>2778</v>
      </c>
      <c r="B71" s="1359"/>
      <c r="C71" s="1571" t="str">
        <f>YEAR(C69)&amp;"-"&amp;ROUNDUP(MONTH(C69)/3,0)</f>
        <v>2019-2</v>
      </c>
      <c r="D71" s="1571" t="str">
        <f>YEAR(D69)&amp;"-"&amp;ROUNDUP(MONTH(D69)/3,0)</f>
        <v>2019-1</v>
      </c>
      <c r="E71" s="1571" t="str">
        <f t="shared" ref="E71:O71" si="19">YEAR(E69)&amp;"-"&amp;ROUNDUP(MONTH(E69)/3,0)</f>
        <v>2018-4</v>
      </c>
      <c r="F71" s="1571" t="str">
        <f t="shared" si="19"/>
        <v>2018-3</v>
      </c>
      <c r="G71" s="1571" t="str">
        <f t="shared" si="19"/>
        <v>2018-2</v>
      </c>
      <c r="H71" s="1571" t="str">
        <f t="shared" si="19"/>
        <v>2018-1</v>
      </c>
      <c r="I71" s="1571" t="str">
        <f t="shared" si="19"/>
        <v>2017-4</v>
      </c>
      <c r="J71" s="1571" t="str">
        <f t="shared" si="19"/>
        <v>2017-3</v>
      </c>
      <c r="K71" s="1571" t="str">
        <f t="shared" si="19"/>
        <v>2017-2</v>
      </c>
      <c r="L71" s="1571" t="str">
        <f t="shared" si="19"/>
        <v>2017-1</v>
      </c>
      <c r="M71" s="1571" t="str">
        <f t="shared" si="19"/>
        <v>2016-4</v>
      </c>
      <c r="N71" s="1571" t="str">
        <f t="shared" si="19"/>
        <v>2016-3</v>
      </c>
      <c r="O71" s="1571" t="str">
        <f t="shared" si="19"/>
        <v>2016-2</v>
      </c>
      <c r="P71" s="507"/>
    </row>
    <row r="72" spans="1:17" s="117" customFormat="1" ht="30" customHeight="1">
      <c r="A72" s="2710" t="s">
        <v>2779</v>
      </c>
      <c r="B72" s="332" t="str">
        <f>"北京市平均增长率"&amp;TEXT(SUMIF(基准地价修正!N21:N25,A72,基准地价修正!P21:P25),"0.00%")</f>
        <v>北京市平均增长率2.26%</v>
      </c>
      <c r="C72" s="603">
        <v>100</v>
      </c>
      <c r="D72" s="595">
        <f>C72-0.5</f>
        <v>99.5</v>
      </c>
      <c r="E72" s="595">
        <f t="shared" ref="E72:O72" si="20">D72-0.5</f>
        <v>99</v>
      </c>
      <c r="F72" s="595">
        <f t="shared" si="20"/>
        <v>98.5</v>
      </c>
      <c r="G72" s="595">
        <f t="shared" si="20"/>
        <v>98</v>
      </c>
      <c r="H72" s="595">
        <f t="shared" si="20"/>
        <v>97.5</v>
      </c>
      <c r="I72" s="595">
        <f t="shared" si="20"/>
        <v>97</v>
      </c>
      <c r="J72" s="595">
        <f t="shared" si="20"/>
        <v>96.5</v>
      </c>
      <c r="K72" s="595">
        <f t="shared" si="20"/>
        <v>96</v>
      </c>
      <c r="L72" s="595">
        <f t="shared" si="20"/>
        <v>95.5</v>
      </c>
      <c r="M72" s="595">
        <f t="shared" si="20"/>
        <v>95</v>
      </c>
      <c r="N72" s="595">
        <f t="shared" si="20"/>
        <v>94.5</v>
      </c>
      <c r="O72" s="595">
        <f t="shared" si="20"/>
        <v>94</v>
      </c>
      <c r="P72" s="504"/>
    </row>
    <row r="73" spans="1:17" s="117" customFormat="1" ht="15" thickBot="1">
      <c r="A73" s="515" t="s">
        <v>2581</v>
      </c>
      <c r="B73" s="516"/>
      <c r="C73" s="517"/>
      <c r="D73" s="518"/>
      <c r="E73" s="518"/>
      <c r="F73" s="518"/>
      <c r="G73" s="518"/>
      <c r="H73" s="518"/>
      <c r="I73" s="518"/>
      <c r="J73" s="518"/>
      <c r="K73" s="518"/>
      <c r="L73" s="518"/>
      <c r="M73" s="519"/>
      <c r="N73" s="518"/>
      <c r="O73" s="1162"/>
      <c r="P73" s="504"/>
      <c r="Q73" s="504"/>
    </row>
    <row r="74" spans="1:17" s="117" customFormat="1" ht="14.4">
      <c r="A74" s="521" t="s">
        <v>2546</v>
      </c>
      <c r="B74" s="510"/>
      <c r="C74" s="522" t="s">
        <v>2648</v>
      </c>
      <c r="D74" s="523"/>
      <c r="E74" s="523"/>
      <c r="F74" s="523"/>
      <c r="G74" s="523"/>
      <c r="H74" s="523"/>
      <c r="I74" s="523"/>
      <c r="J74" s="523"/>
      <c r="K74" s="523"/>
      <c r="L74" s="524"/>
      <c r="M74" s="525"/>
      <c r="N74" s="1151"/>
      <c r="O74" s="1151"/>
      <c r="P74" s="526"/>
      <c r="Q74" s="504"/>
    </row>
    <row r="75" spans="1:17" s="117" customFormat="1" ht="14.4" thickBot="1">
      <c r="A75" s="521"/>
      <c r="B75" s="510"/>
      <c r="C75" s="639">
        <v>100</v>
      </c>
      <c r="D75" s="512"/>
      <c r="E75" s="512"/>
      <c r="F75" s="512"/>
      <c r="G75" s="512"/>
      <c r="H75" s="512"/>
      <c r="I75" s="512"/>
      <c r="J75" s="512"/>
      <c r="K75" s="512"/>
      <c r="L75" s="512"/>
      <c r="M75" s="514"/>
      <c r="N75" s="1151"/>
      <c r="O75" s="1151"/>
      <c r="P75" s="504"/>
      <c r="Q75" s="504"/>
    </row>
    <row r="76" spans="1:17" ht="78.599999999999994" customHeight="1">
      <c r="A76" s="527" t="s">
        <v>2584</v>
      </c>
      <c r="B76" s="528" t="s">
        <v>2550</v>
      </c>
      <c r="C76" s="530" t="s">
        <v>3616</v>
      </c>
      <c r="D76" s="530"/>
      <c r="E76" s="530"/>
      <c r="F76" s="530"/>
      <c r="G76" s="530"/>
      <c r="H76" s="530"/>
      <c r="I76" s="530"/>
      <c r="J76" s="530"/>
      <c r="K76" s="531"/>
      <c r="L76" s="532"/>
      <c r="M76" s="533"/>
      <c r="N76" s="1152"/>
      <c r="O76" s="1152"/>
      <c r="P76" s="45"/>
      <c r="Q76" s="504"/>
    </row>
    <row r="77" spans="1:17" ht="14.4" thickBot="1">
      <c r="A77" s="534"/>
      <c r="B77" s="535"/>
      <c r="C77" s="536">
        <v>100</v>
      </c>
      <c r="D77" s="536"/>
      <c r="E77" s="536"/>
      <c r="F77" s="536"/>
      <c r="G77" s="536"/>
      <c r="H77" s="536"/>
      <c r="I77" s="536"/>
      <c r="J77" s="536"/>
      <c r="K77" s="536"/>
      <c r="L77" s="536"/>
      <c r="M77" s="537"/>
      <c r="N77" s="1153"/>
      <c r="O77" s="1153"/>
      <c r="P77" s="45"/>
      <c r="Q77" s="504"/>
    </row>
    <row r="78" spans="1:17" ht="29.4" thickTop="1">
      <c r="A78" s="534"/>
      <c r="B78" s="538" t="s">
        <v>2553</v>
      </c>
      <c r="C78" s="539"/>
      <c r="D78" s="539"/>
      <c r="E78" s="539"/>
      <c r="F78" s="539"/>
      <c r="G78" s="539"/>
      <c r="H78" s="539"/>
      <c r="I78" s="539"/>
      <c r="J78" s="539"/>
      <c r="K78" s="540"/>
      <c r="L78" s="541"/>
      <c r="M78" s="542"/>
      <c r="N78" s="1152"/>
      <c r="O78" s="1152"/>
      <c r="P78" s="45"/>
      <c r="Q78" s="504"/>
    </row>
    <row r="79" spans="1:17" ht="14.4" thickBot="1">
      <c r="A79" s="534"/>
      <c r="B79" s="543"/>
      <c r="C79" s="544"/>
      <c r="D79" s="544"/>
      <c r="E79" s="544"/>
      <c r="F79" s="544"/>
      <c r="G79" s="544"/>
      <c r="H79" s="544"/>
      <c r="I79" s="544"/>
      <c r="J79" s="544"/>
      <c r="K79" s="544"/>
      <c r="L79" s="544"/>
      <c r="M79" s="545"/>
      <c r="N79" s="1153"/>
      <c r="O79" s="1153"/>
      <c r="P79" s="45"/>
      <c r="Q79" s="504"/>
    </row>
    <row r="80" spans="1:17" ht="15" thickTop="1">
      <c r="A80" s="534"/>
      <c r="B80" s="546" t="s">
        <v>2554</v>
      </c>
      <c r="C80" s="547" t="str">
        <f>C81&amp;"（含）"&amp;"-"&amp;D81</f>
        <v>0（含）-1</v>
      </c>
      <c r="D80" s="547" t="str">
        <f t="shared" ref="D80:L80" si="21">D81&amp;"（含）"&amp;"-"&amp;E81</f>
        <v>1（含）-2</v>
      </c>
      <c r="E80" s="547" t="str">
        <f t="shared" si="21"/>
        <v>2（含）-3</v>
      </c>
      <c r="F80" s="547" t="str">
        <f t="shared" si="21"/>
        <v>3（含）-4</v>
      </c>
      <c r="G80" s="547" t="str">
        <f t="shared" si="21"/>
        <v>4（含）-5</v>
      </c>
      <c r="H80" s="547" t="str">
        <f t="shared" si="21"/>
        <v>5（含）-6</v>
      </c>
      <c r="I80" s="547" t="str">
        <f t="shared" si="21"/>
        <v>6（含）-</v>
      </c>
      <c r="J80" s="547" t="str">
        <f t="shared" si="21"/>
        <v>（含）-</v>
      </c>
      <c r="K80" s="547" t="str">
        <f t="shared" si="21"/>
        <v>（含）-</v>
      </c>
      <c r="L80" s="547" t="str">
        <f t="shared" si="21"/>
        <v>（含）-</v>
      </c>
      <c r="M80" s="448" t="str">
        <f>M81&amp;"（含）"&amp;"-"&amp;P81</f>
        <v>（含）-</v>
      </c>
      <c r="N80" s="1153"/>
      <c r="O80" s="1153"/>
      <c r="P80" s="45"/>
      <c r="Q80" s="504"/>
    </row>
    <row r="81" spans="1:17">
      <c r="A81" s="534"/>
      <c r="B81" s="548"/>
      <c r="C81" s="549">
        <v>0</v>
      </c>
      <c r="D81" s="549">
        <v>1</v>
      </c>
      <c r="E81" s="549">
        <v>2</v>
      </c>
      <c r="F81" s="549">
        <v>3</v>
      </c>
      <c r="G81" s="549">
        <v>4</v>
      </c>
      <c r="H81" s="549">
        <v>5</v>
      </c>
      <c r="I81" s="549">
        <v>6</v>
      </c>
      <c r="J81" s="549"/>
      <c r="K81" s="550"/>
      <c r="L81" s="551"/>
      <c r="M81" s="552"/>
      <c r="N81" s="1152"/>
      <c r="O81" s="1152"/>
      <c r="P81" s="45"/>
      <c r="Q81" s="504"/>
    </row>
    <row r="82" spans="1:17" ht="14.4" thickBot="1">
      <c r="A82" s="534"/>
      <c r="B82" s="535"/>
      <c r="C82" s="544">
        <v>100</v>
      </c>
      <c r="D82" s="544">
        <f t="shared" ref="D82:M82" si="22">IF($B$47="单位面积地价",C82+$K11,C82-$K11)</f>
        <v>97</v>
      </c>
      <c r="E82" s="544">
        <f t="shared" si="22"/>
        <v>94</v>
      </c>
      <c r="F82" s="544">
        <f t="shared" si="22"/>
        <v>91</v>
      </c>
      <c r="G82" s="544">
        <f t="shared" si="22"/>
        <v>88</v>
      </c>
      <c r="H82" s="544">
        <f t="shared" si="22"/>
        <v>85</v>
      </c>
      <c r="I82" s="544">
        <f t="shared" si="22"/>
        <v>82</v>
      </c>
      <c r="J82" s="544">
        <f t="shared" si="22"/>
        <v>79</v>
      </c>
      <c r="K82" s="544">
        <f t="shared" si="22"/>
        <v>76</v>
      </c>
      <c r="L82" s="544">
        <f t="shared" si="22"/>
        <v>73</v>
      </c>
      <c r="M82" s="544">
        <f t="shared" si="22"/>
        <v>70</v>
      </c>
      <c r="N82" s="1153"/>
      <c r="O82" s="1153"/>
      <c r="P82" s="45"/>
      <c r="Q82" s="504"/>
    </row>
    <row r="83" spans="1:17" s="471" customFormat="1" ht="15" thickTop="1">
      <c r="A83" s="553"/>
      <c r="B83" s="538" t="str">
        <f>B13</f>
        <v>配建</v>
      </c>
      <c r="C83" s="2973" t="s">
        <v>3618</v>
      </c>
      <c r="D83" s="2973" t="s">
        <v>3617</v>
      </c>
      <c r="E83" s="554"/>
      <c r="F83" s="554"/>
      <c r="G83" s="554"/>
      <c r="H83" s="555"/>
      <c r="I83" s="555"/>
      <c r="J83" s="555"/>
      <c r="K83" s="555"/>
      <c r="L83" s="556"/>
      <c r="M83" s="557"/>
      <c r="N83" s="1154"/>
      <c r="O83" s="1154"/>
      <c r="P83" s="558"/>
      <c r="Q83" s="559"/>
    </row>
    <row r="84" spans="1:17" s="471" customFormat="1" ht="14.4" thickBot="1">
      <c r="A84" s="553"/>
      <c r="B84" s="543"/>
      <c r="C84" s="560">
        <v>100</v>
      </c>
      <c r="D84" s="536">
        <v>95</v>
      </c>
      <c r="E84" s="536"/>
      <c r="F84" s="536"/>
      <c r="G84" s="536"/>
      <c r="H84" s="536"/>
      <c r="I84" s="536"/>
      <c r="J84" s="536"/>
      <c r="K84" s="536"/>
      <c r="L84" s="536"/>
      <c r="M84" s="537"/>
      <c r="N84" s="1153"/>
      <c r="O84" s="1153"/>
      <c r="P84" s="558"/>
      <c r="Q84" s="559"/>
    </row>
    <row r="85" spans="1:17" s="471" customFormat="1" ht="28.8" thickTop="1">
      <c r="A85" s="553"/>
      <c r="B85" s="538" t="str">
        <f>B14</f>
        <v>自持比例</v>
      </c>
      <c r="C85" s="2982" t="s">
        <v>3618</v>
      </c>
      <c r="D85" s="523" t="s">
        <v>3619</v>
      </c>
      <c r="E85" s="523" t="s">
        <v>3620</v>
      </c>
      <c r="F85" s="523" t="s">
        <v>3621</v>
      </c>
      <c r="G85" s="554"/>
      <c r="H85" s="555"/>
      <c r="I85" s="555"/>
      <c r="J85" s="555"/>
      <c r="K85" s="555"/>
      <c r="L85" s="556"/>
      <c r="M85" s="557"/>
      <c r="N85" s="1154"/>
      <c r="O85" s="1154"/>
      <c r="P85" s="470"/>
      <c r="Q85" s="561"/>
    </row>
    <row r="86" spans="1:17" s="471" customFormat="1" ht="14.4" thickBot="1">
      <c r="A86" s="553"/>
      <c r="B86" s="543"/>
      <c r="C86" s="560">
        <v>100</v>
      </c>
      <c r="D86" s="560">
        <v>95</v>
      </c>
      <c r="E86" s="560">
        <v>90</v>
      </c>
      <c r="F86" s="560">
        <v>85</v>
      </c>
      <c r="G86" s="560"/>
      <c r="H86" s="562"/>
      <c r="I86" s="562"/>
      <c r="J86" s="562"/>
      <c r="K86" s="562"/>
      <c r="L86" s="562"/>
      <c r="M86" s="563"/>
      <c r="N86" s="1154"/>
      <c r="O86" s="1154"/>
      <c r="P86" s="558"/>
      <c r="Q86" s="559"/>
    </row>
    <row r="87" spans="1:17" s="471" customFormat="1" ht="15" thickTop="1">
      <c r="A87" s="553"/>
      <c r="B87" s="546" t="str">
        <f>B15</f>
        <v>住宅配比</v>
      </c>
      <c r="C87" s="523" t="s">
        <v>3619</v>
      </c>
      <c r="D87" s="523" t="s">
        <v>3620</v>
      </c>
      <c r="E87" s="523" t="s">
        <v>3621</v>
      </c>
      <c r="F87" s="523"/>
      <c r="G87" s="523"/>
      <c r="H87" s="564"/>
      <c r="I87" s="564"/>
      <c r="J87" s="564"/>
      <c r="K87" s="564"/>
      <c r="L87" s="565"/>
      <c r="M87" s="566"/>
      <c r="N87" s="1154"/>
      <c r="O87" s="1154"/>
      <c r="P87" s="567"/>
      <c r="Q87" s="559"/>
    </row>
    <row r="88" spans="1:17" s="471" customFormat="1" ht="14.4" thickBot="1">
      <c r="A88" s="568"/>
      <c r="B88" s="569"/>
      <c r="C88" s="570">
        <v>100</v>
      </c>
      <c r="D88" s="570">
        <f>C88+7</f>
        <v>107</v>
      </c>
      <c r="E88" s="570">
        <f>D88+7</f>
        <v>114</v>
      </c>
      <c r="F88" s="570"/>
      <c r="G88" s="570"/>
      <c r="H88" s="571"/>
      <c r="I88" s="571"/>
      <c r="J88" s="571"/>
      <c r="K88" s="571"/>
      <c r="L88" s="571"/>
      <c r="M88" s="572"/>
      <c r="N88" s="1154"/>
      <c r="O88" s="1154"/>
      <c r="P88" s="558"/>
      <c r="Q88" s="559"/>
    </row>
    <row r="89" spans="1:17" ht="14.4">
      <c r="A89" s="527" t="s">
        <v>2555</v>
      </c>
      <c r="B89" s="528" t="s">
        <v>2592</v>
      </c>
      <c r="C89" s="573" t="s">
        <v>2593</v>
      </c>
      <c r="D89" s="573" t="s">
        <v>2594</v>
      </c>
      <c r="E89" s="573" t="s">
        <v>2595</v>
      </c>
      <c r="F89" s="573" t="s">
        <v>2596</v>
      </c>
      <c r="G89" s="573" t="s">
        <v>2597</v>
      </c>
      <c r="H89" s="529"/>
      <c r="I89" s="529"/>
      <c r="J89" s="529"/>
      <c r="K89" s="574"/>
      <c r="L89" s="575"/>
      <c r="M89" s="576"/>
      <c r="N89" s="1152"/>
      <c r="O89" s="1152"/>
      <c r="P89" s="577"/>
      <c r="Q89" s="504"/>
    </row>
    <row r="90" spans="1:17" ht="14.4" thickBot="1">
      <c r="A90" s="534"/>
      <c r="B90" s="543"/>
      <c r="C90" s="544">
        <v>100</v>
      </c>
      <c r="D90" s="544">
        <f>C90-$K16</f>
        <v>98</v>
      </c>
      <c r="E90" s="544">
        <f>D90-$K16</f>
        <v>96</v>
      </c>
      <c r="F90" s="544">
        <f>E90-$K16</f>
        <v>94</v>
      </c>
      <c r="G90" s="544">
        <f>F90-$K16</f>
        <v>92</v>
      </c>
      <c r="H90" s="544"/>
      <c r="I90" s="544"/>
      <c r="J90" s="544"/>
      <c r="K90" s="544"/>
      <c r="L90" s="544"/>
      <c r="M90" s="545"/>
      <c r="N90" s="1153"/>
      <c r="O90" s="1153"/>
      <c r="P90" s="45"/>
      <c r="Q90" s="504"/>
    </row>
    <row r="91" spans="1:17" ht="15" thickTop="1">
      <c r="A91" s="534"/>
      <c r="B91" s="538" t="s">
        <v>2780</v>
      </c>
      <c r="C91" s="578" t="s">
        <v>2593</v>
      </c>
      <c r="D91" s="578" t="s">
        <v>2594</v>
      </c>
      <c r="E91" s="578" t="s">
        <v>2595</v>
      </c>
      <c r="F91" s="578" t="s">
        <v>2596</v>
      </c>
      <c r="G91" s="578" t="s">
        <v>2597</v>
      </c>
      <c r="H91" s="539"/>
      <c r="I91" s="539"/>
      <c r="J91" s="539"/>
      <c r="K91" s="540"/>
      <c r="L91" s="541"/>
      <c r="M91" s="542"/>
      <c r="N91" s="1152"/>
      <c r="O91" s="1152"/>
      <c r="P91" s="45"/>
      <c r="Q91" s="504"/>
    </row>
    <row r="92" spans="1:17" ht="14.4" thickBot="1">
      <c r="A92" s="534"/>
      <c r="B92" s="543"/>
      <c r="C92" s="544">
        <v>100</v>
      </c>
      <c r="D92" s="544">
        <f>C92-$K18</f>
        <v>98</v>
      </c>
      <c r="E92" s="544">
        <f>D92-$K18</f>
        <v>96</v>
      </c>
      <c r="F92" s="544">
        <f>E92-$K18</f>
        <v>94</v>
      </c>
      <c r="G92" s="544">
        <f>F92-$K18</f>
        <v>92</v>
      </c>
      <c r="H92" s="544"/>
      <c r="I92" s="544"/>
      <c r="J92" s="544"/>
      <c r="K92" s="544"/>
      <c r="L92" s="544"/>
      <c r="M92" s="545"/>
      <c r="N92" s="1153"/>
      <c r="O92" s="1153"/>
      <c r="P92" s="45"/>
      <c r="Q92" s="504"/>
    </row>
    <row r="93" spans="1:17" ht="15" thickTop="1">
      <c r="A93" s="534"/>
      <c r="B93" s="538" t="s">
        <v>2693</v>
      </c>
      <c r="C93" s="578" t="s">
        <v>2593</v>
      </c>
      <c r="D93" s="578" t="s">
        <v>2594</v>
      </c>
      <c r="E93" s="578" t="s">
        <v>2595</v>
      </c>
      <c r="F93" s="578" t="s">
        <v>2596</v>
      </c>
      <c r="G93" s="578" t="s">
        <v>2597</v>
      </c>
      <c r="H93" s="539"/>
      <c r="I93" s="539"/>
      <c r="J93" s="539"/>
      <c r="K93" s="540"/>
      <c r="L93" s="541"/>
      <c r="M93" s="542"/>
      <c r="N93" s="1152"/>
      <c r="O93" s="1152"/>
      <c r="P93" s="45"/>
      <c r="Q93" s="504"/>
    </row>
    <row r="94" spans="1:17" ht="14.4" thickBot="1">
      <c r="A94" s="534"/>
      <c r="B94" s="543"/>
      <c r="C94" s="544">
        <v>100</v>
      </c>
      <c r="D94" s="544">
        <f>C94-$K20</f>
        <v>98</v>
      </c>
      <c r="E94" s="544">
        <f>D94-$K20</f>
        <v>96</v>
      </c>
      <c r="F94" s="544">
        <f>E94-$K20</f>
        <v>94</v>
      </c>
      <c r="G94" s="544">
        <f>F94-$K20</f>
        <v>92</v>
      </c>
      <c r="H94" s="544"/>
      <c r="I94" s="544"/>
      <c r="J94" s="544"/>
      <c r="K94" s="544"/>
      <c r="L94" s="544"/>
      <c r="M94" s="545"/>
      <c r="N94" s="1153"/>
      <c r="O94" s="1153"/>
      <c r="P94" s="45"/>
      <c r="Q94" s="504"/>
    </row>
    <row r="95" spans="1:17" ht="15" thickTop="1">
      <c r="A95" s="534"/>
      <c r="B95" s="538" t="s">
        <v>2598</v>
      </c>
      <c r="C95" s="578" t="s">
        <v>2593</v>
      </c>
      <c r="D95" s="578" t="s">
        <v>2594</v>
      </c>
      <c r="E95" s="578" t="s">
        <v>2595</v>
      </c>
      <c r="F95" s="578" t="s">
        <v>2596</v>
      </c>
      <c r="G95" s="578" t="s">
        <v>2597</v>
      </c>
      <c r="H95" s="539"/>
      <c r="I95" s="539"/>
      <c r="J95" s="539"/>
      <c r="K95" s="540"/>
      <c r="L95" s="541"/>
      <c r="M95" s="542"/>
      <c r="N95" s="1152"/>
      <c r="O95" s="1152"/>
      <c r="P95" s="45"/>
      <c r="Q95" s="504"/>
    </row>
    <row r="96" spans="1:17" ht="14.4" thickBot="1">
      <c r="A96" s="534"/>
      <c r="B96" s="543"/>
      <c r="C96" s="544">
        <v>100</v>
      </c>
      <c r="D96" s="544">
        <f>C96-$K22</f>
        <v>98</v>
      </c>
      <c r="E96" s="544">
        <f>D96-$K22</f>
        <v>96</v>
      </c>
      <c r="F96" s="544">
        <f>E96-$K22</f>
        <v>94</v>
      </c>
      <c r="G96" s="544">
        <f>F96-$K22</f>
        <v>92</v>
      </c>
      <c r="H96" s="544"/>
      <c r="I96" s="544"/>
      <c r="J96" s="544"/>
      <c r="K96" s="544"/>
      <c r="L96" s="544"/>
      <c r="M96" s="545"/>
      <c r="N96" s="1153"/>
      <c r="O96" s="1153"/>
      <c r="P96" s="45"/>
      <c r="Q96" s="504"/>
    </row>
    <row r="97" spans="1:17" s="117" customFormat="1" ht="29.4" thickTop="1">
      <c r="A97" s="579"/>
      <c r="B97" s="538" t="s">
        <v>2781</v>
      </c>
      <c r="C97" s="578" t="s">
        <v>2593</v>
      </c>
      <c r="D97" s="578" t="s">
        <v>2594</v>
      </c>
      <c r="E97" s="578" t="s">
        <v>2595</v>
      </c>
      <c r="F97" s="578" t="s">
        <v>2596</v>
      </c>
      <c r="G97" s="578" t="s">
        <v>2597</v>
      </c>
      <c r="H97" s="578"/>
      <c r="I97" s="578"/>
      <c r="J97" s="578"/>
      <c r="K97" s="578"/>
      <c r="L97" s="698"/>
      <c r="M97" s="622"/>
      <c r="N97" s="1151"/>
      <c r="O97" s="1151"/>
      <c r="P97" s="45"/>
      <c r="Q97" s="504"/>
    </row>
    <row r="98" spans="1:17" s="117" customFormat="1" ht="14.4" thickBot="1">
      <c r="A98" s="579"/>
      <c r="B98" s="543"/>
      <c r="C98" s="582">
        <v>100</v>
      </c>
      <c r="D98" s="544">
        <f>C98-$K24</f>
        <v>98</v>
      </c>
      <c r="E98" s="544">
        <f>D98-$K24</f>
        <v>96</v>
      </c>
      <c r="F98" s="544">
        <f>E98-$K24</f>
        <v>94</v>
      </c>
      <c r="G98" s="544">
        <f>F98-$K24</f>
        <v>92</v>
      </c>
      <c r="H98" s="544"/>
      <c r="I98" s="544"/>
      <c r="J98" s="544"/>
      <c r="K98" s="544"/>
      <c r="L98" s="544"/>
      <c r="M98" s="545"/>
      <c r="N98" s="1153"/>
      <c r="O98" s="1153"/>
      <c r="P98" s="45"/>
      <c r="Q98" s="504"/>
    </row>
    <row r="99" spans="1:17" s="117" customFormat="1" ht="29.4" thickTop="1">
      <c r="A99" s="579"/>
      <c r="B99" s="538" t="s">
        <v>2782</v>
      </c>
      <c r="C99" s="573" t="s">
        <v>2593</v>
      </c>
      <c r="D99" s="573" t="s">
        <v>2594</v>
      </c>
      <c r="E99" s="573" t="s">
        <v>2595</v>
      </c>
      <c r="F99" s="573" t="s">
        <v>2596</v>
      </c>
      <c r="G99" s="573" t="s">
        <v>2597</v>
      </c>
      <c r="H99" s="578"/>
      <c r="I99" s="578"/>
      <c r="J99" s="578"/>
      <c r="K99" s="578"/>
      <c r="L99" s="578"/>
      <c r="M99" s="622"/>
      <c r="N99" s="1151"/>
      <c r="O99" s="1151"/>
      <c r="P99" s="45"/>
      <c r="Q99" s="504"/>
    </row>
    <row r="100" spans="1:17" s="117" customFormat="1" ht="14.4" thickBot="1">
      <c r="A100" s="579"/>
      <c r="B100" s="543"/>
      <c r="C100" s="544">
        <v>100</v>
      </c>
      <c r="D100" s="544">
        <f>C100-$K26</f>
        <v>98</v>
      </c>
      <c r="E100" s="544">
        <f>D100-$K26</f>
        <v>96</v>
      </c>
      <c r="F100" s="544">
        <f>E100-$K26</f>
        <v>94</v>
      </c>
      <c r="G100" s="544">
        <f>F100-$K26</f>
        <v>92</v>
      </c>
      <c r="H100" s="544"/>
      <c r="I100" s="544"/>
      <c r="J100" s="544"/>
      <c r="K100" s="544"/>
      <c r="L100" s="544"/>
      <c r="M100" s="545"/>
      <c r="N100" s="1153"/>
      <c r="O100" s="1153"/>
      <c r="P100" s="45"/>
      <c r="Q100" s="504"/>
    </row>
    <row r="101" spans="1:17" s="471" customFormat="1" ht="15" thickTop="1">
      <c r="A101" s="553"/>
      <c r="B101" s="538" t="s">
        <v>2650</v>
      </c>
      <c r="C101" s="573" t="s">
        <v>2593</v>
      </c>
      <c r="D101" s="573" t="s">
        <v>2594</v>
      </c>
      <c r="E101" s="573" t="s">
        <v>2595</v>
      </c>
      <c r="F101" s="573" t="s">
        <v>2596</v>
      </c>
      <c r="G101" s="573" t="s">
        <v>2597</v>
      </c>
      <c r="H101" s="600"/>
      <c r="I101" s="600"/>
      <c r="J101" s="600"/>
      <c r="K101" s="600"/>
      <c r="L101" s="601"/>
      <c r="M101" s="602"/>
      <c r="N101" s="1154"/>
      <c r="O101" s="1154"/>
      <c r="P101" s="558"/>
      <c r="Q101" s="559"/>
    </row>
    <row r="102" spans="1:17" s="471" customFormat="1" ht="14.4" thickBot="1">
      <c r="A102" s="553"/>
      <c r="B102" s="543"/>
      <c r="C102" s="544">
        <v>100</v>
      </c>
      <c r="D102" s="544">
        <f>C102-$K28</f>
        <v>98</v>
      </c>
      <c r="E102" s="544">
        <f>D102-$K28</f>
        <v>96</v>
      </c>
      <c r="F102" s="544">
        <f>E102-$K28</f>
        <v>94</v>
      </c>
      <c r="G102" s="544">
        <f>F102-$K28</f>
        <v>92</v>
      </c>
      <c r="H102" s="607"/>
      <c r="I102" s="607"/>
      <c r="J102" s="607"/>
      <c r="K102" s="607"/>
      <c r="L102" s="607"/>
      <c r="M102" s="608"/>
      <c r="N102" s="1154"/>
      <c r="O102" s="1154"/>
      <c r="P102" s="558"/>
      <c r="Q102" s="559"/>
    </row>
    <row r="103" spans="1:17" s="471" customFormat="1" ht="15" thickTop="1">
      <c r="A103" s="553"/>
      <c r="B103" s="546" t="s">
        <v>2651</v>
      </c>
      <c r="C103" s="660" t="s">
        <v>2671</v>
      </c>
      <c r="D103" s="660" t="s">
        <v>2672</v>
      </c>
      <c r="E103" s="660" t="s">
        <v>2673</v>
      </c>
      <c r="F103" s="660" t="s">
        <v>2674</v>
      </c>
      <c r="G103" s="660" t="s">
        <v>2675</v>
      </c>
      <c r="H103" s="600"/>
      <c r="I103" s="600"/>
      <c r="J103" s="600"/>
      <c r="K103" s="600"/>
      <c r="L103" s="600"/>
      <c r="M103" s="1385"/>
      <c r="N103" s="1154"/>
      <c r="O103" s="1154"/>
      <c r="P103" s="558"/>
      <c r="Q103" s="559"/>
    </row>
    <row r="104" spans="1:17" s="471" customFormat="1" ht="14.4" thickBot="1">
      <c r="A104" s="553"/>
      <c r="B104" s="546"/>
      <c r="C104" s="544">
        <v>100</v>
      </c>
      <c r="D104" s="544">
        <f>C104-$K30</f>
        <v>99</v>
      </c>
      <c r="E104" s="544">
        <f>D104-$K30</f>
        <v>98</v>
      </c>
      <c r="F104" s="544">
        <f>E104-$K30</f>
        <v>97</v>
      </c>
      <c r="G104" s="544">
        <f>F104-$K30</f>
        <v>96</v>
      </c>
      <c r="H104" s="548"/>
      <c r="I104" s="548"/>
      <c r="J104" s="548"/>
      <c r="K104" s="548"/>
      <c r="L104" s="548"/>
      <c r="M104" s="1385"/>
      <c r="N104" s="1154"/>
      <c r="O104" s="1154"/>
      <c r="P104" s="558"/>
      <c r="Q104" s="559"/>
    </row>
    <row r="105" spans="1:17" ht="15" thickTop="1">
      <c r="A105" s="534"/>
      <c r="B105" s="538" t="str">
        <f>B32</f>
        <v>临街状况</v>
      </c>
      <c r="C105" s="539" t="s">
        <v>2783</v>
      </c>
      <c r="D105" s="539" t="s">
        <v>2784</v>
      </c>
      <c r="E105" s="539" t="s">
        <v>2785</v>
      </c>
      <c r="F105" s="539" t="s">
        <v>2786</v>
      </c>
      <c r="G105" s="539"/>
      <c r="H105" s="539"/>
      <c r="I105" s="539"/>
      <c r="J105" s="539"/>
      <c r="K105" s="540"/>
      <c r="L105" s="541"/>
      <c r="M105" s="542"/>
      <c r="N105" s="1152"/>
      <c r="O105" s="1152"/>
      <c r="P105" s="45"/>
      <c r="Q105" s="504"/>
    </row>
    <row r="106" spans="1:17" ht="14.4" thickBot="1">
      <c r="A106" s="534"/>
      <c r="B106" s="543"/>
      <c r="C106" s="544">
        <v>100</v>
      </c>
      <c r="D106" s="544">
        <f>C106-$K32</f>
        <v>98</v>
      </c>
      <c r="E106" s="544">
        <f t="shared" ref="E106:M106" si="23">D106-$K32</f>
        <v>96</v>
      </c>
      <c r="F106" s="544">
        <f t="shared" si="23"/>
        <v>94</v>
      </c>
      <c r="G106" s="544">
        <f t="shared" si="23"/>
        <v>92</v>
      </c>
      <c r="H106" s="544">
        <f t="shared" si="23"/>
        <v>90</v>
      </c>
      <c r="I106" s="544">
        <f t="shared" si="23"/>
        <v>88</v>
      </c>
      <c r="J106" s="544">
        <f t="shared" si="23"/>
        <v>86</v>
      </c>
      <c r="K106" s="544">
        <f t="shared" si="23"/>
        <v>84</v>
      </c>
      <c r="L106" s="544">
        <f t="shared" si="23"/>
        <v>82</v>
      </c>
      <c r="M106" s="544">
        <f t="shared" si="23"/>
        <v>80</v>
      </c>
      <c r="N106" s="1153"/>
      <c r="O106" s="1153"/>
      <c r="P106" s="45"/>
      <c r="Q106" s="504"/>
    </row>
    <row r="107" spans="1:17" ht="29.4" thickTop="1">
      <c r="A107" s="534"/>
      <c r="B107" s="538" t="s">
        <v>2687</v>
      </c>
      <c r="C107" s="2973" t="s">
        <v>3628</v>
      </c>
      <c r="D107" s="2973" t="s">
        <v>3629</v>
      </c>
      <c r="E107" s="2973" t="s">
        <v>3631</v>
      </c>
      <c r="F107" s="2973" t="s">
        <v>3632</v>
      </c>
      <c r="G107" s="554"/>
      <c r="H107" s="583"/>
      <c r="I107" s="583"/>
      <c r="J107" s="583"/>
      <c r="K107" s="584"/>
      <c r="L107" s="585"/>
      <c r="M107" s="586"/>
      <c r="N107" s="1152"/>
      <c r="O107" s="1152"/>
      <c r="P107" s="45"/>
      <c r="Q107" s="504"/>
    </row>
    <row r="108" spans="1:17" ht="14.4" thickBot="1">
      <c r="A108" s="534"/>
      <c r="B108" s="543"/>
      <c r="C108" s="544">
        <v>100</v>
      </c>
      <c r="D108" s="544">
        <f>C108-$K33</f>
        <v>99</v>
      </c>
      <c r="E108" s="544">
        <f t="shared" ref="E108:M108" si="24">D108-$K33</f>
        <v>98</v>
      </c>
      <c r="F108" s="544">
        <f t="shared" si="24"/>
        <v>97</v>
      </c>
      <c r="G108" s="544">
        <f t="shared" si="24"/>
        <v>96</v>
      </c>
      <c r="H108" s="544">
        <f t="shared" si="24"/>
        <v>95</v>
      </c>
      <c r="I108" s="544">
        <f t="shared" si="24"/>
        <v>94</v>
      </c>
      <c r="J108" s="544">
        <f t="shared" si="24"/>
        <v>93</v>
      </c>
      <c r="K108" s="544">
        <f t="shared" si="24"/>
        <v>92</v>
      </c>
      <c r="L108" s="544">
        <f t="shared" si="24"/>
        <v>91</v>
      </c>
      <c r="M108" s="544">
        <f t="shared" si="24"/>
        <v>90</v>
      </c>
      <c r="N108" s="1153"/>
      <c r="O108" s="1153"/>
      <c r="P108" s="45"/>
      <c r="Q108" s="504"/>
    </row>
    <row r="109" spans="1:17" ht="15" thickTop="1">
      <c r="A109" s="534"/>
      <c r="B109" s="538" t="s">
        <v>2746</v>
      </c>
      <c r="C109" s="583"/>
      <c r="D109" s="583"/>
      <c r="E109" s="583"/>
      <c r="F109" s="583"/>
      <c r="G109" s="583"/>
      <c r="H109" s="583"/>
      <c r="I109" s="583"/>
      <c r="J109" s="583"/>
      <c r="K109" s="584"/>
      <c r="L109" s="585"/>
      <c r="M109" s="586"/>
      <c r="N109" s="1152"/>
      <c r="O109" s="1152"/>
      <c r="P109" s="45"/>
      <c r="Q109" s="504"/>
    </row>
    <row r="110" spans="1:17" ht="14.4" thickBot="1">
      <c r="A110" s="534"/>
      <c r="B110" s="543"/>
      <c r="C110" s="544">
        <v>100</v>
      </c>
      <c r="D110" s="544">
        <f>C110-$K35</f>
        <v>100</v>
      </c>
      <c r="E110" s="544">
        <f t="shared" ref="E110:M110" si="25">D110-$K35</f>
        <v>100</v>
      </c>
      <c r="F110" s="544">
        <f t="shared" si="25"/>
        <v>100</v>
      </c>
      <c r="G110" s="544">
        <f t="shared" si="25"/>
        <v>100</v>
      </c>
      <c r="H110" s="544">
        <f t="shared" si="25"/>
        <v>100</v>
      </c>
      <c r="I110" s="544">
        <f t="shared" si="25"/>
        <v>100</v>
      </c>
      <c r="J110" s="544">
        <f t="shared" si="25"/>
        <v>100</v>
      </c>
      <c r="K110" s="544">
        <f t="shared" si="25"/>
        <v>100</v>
      </c>
      <c r="L110" s="544">
        <f t="shared" si="25"/>
        <v>100</v>
      </c>
      <c r="M110" s="544">
        <f t="shared" si="25"/>
        <v>100</v>
      </c>
      <c r="N110" s="1153"/>
      <c r="O110" s="1153"/>
      <c r="P110" s="45"/>
      <c r="Q110" s="504"/>
    </row>
    <row r="111" spans="1:17" ht="14.4" thickTop="1">
      <c r="A111" s="534"/>
      <c r="B111" s="546">
        <f>B36</f>
        <v>111</v>
      </c>
      <c r="C111" s="554"/>
      <c r="D111" s="554"/>
      <c r="E111" s="554"/>
      <c r="F111" s="554"/>
      <c r="G111" s="587"/>
      <c r="H111" s="587"/>
      <c r="I111" s="587"/>
      <c r="J111" s="587"/>
      <c r="K111" s="588"/>
      <c r="L111" s="589"/>
      <c r="M111" s="590"/>
      <c r="N111" s="1152"/>
      <c r="O111" s="1152"/>
      <c r="P111" s="45"/>
      <c r="Q111" s="504"/>
    </row>
    <row r="112" spans="1:17" ht="14.4" thickBot="1">
      <c r="A112" s="534"/>
      <c r="B112" s="569"/>
      <c r="C112" s="560"/>
      <c r="D112" s="560"/>
      <c r="E112" s="560"/>
      <c r="F112" s="560"/>
      <c r="G112" s="591"/>
      <c r="H112" s="591"/>
      <c r="I112" s="591"/>
      <c r="J112" s="591"/>
      <c r="K112" s="591"/>
      <c r="L112" s="591"/>
      <c r="M112" s="592"/>
      <c r="N112" s="1153"/>
      <c r="O112" s="1153"/>
      <c r="P112" s="45"/>
      <c r="Q112" s="504"/>
    </row>
    <row r="113" spans="1:17" ht="14.4" thickTop="1">
      <c r="A113" s="675"/>
      <c r="B113" s="538">
        <f>B37</f>
        <v>111</v>
      </c>
      <c r="C113" s="523"/>
      <c r="D113" s="523"/>
      <c r="E113" s="523"/>
      <c r="F113" s="523"/>
      <c r="G113" s="583"/>
      <c r="H113" s="583"/>
      <c r="I113" s="583"/>
      <c r="J113" s="583"/>
      <c r="K113" s="584"/>
      <c r="L113" s="585"/>
      <c r="M113" s="586"/>
      <c r="N113" s="1152"/>
      <c r="O113" s="1152"/>
      <c r="P113" s="45"/>
      <c r="Q113" s="504"/>
    </row>
    <row r="114" spans="1:17" ht="14.4" thickBot="1">
      <c r="A114" s="534"/>
      <c r="B114" s="543"/>
      <c r="C114" s="570"/>
      <c r="D114" s="570"/>
      <c r="E114" s="570"/>
      <c r="F114" s="570"/>
      <c r="G114" s="536"/>
      <c r="H114" s="536"/>
      <c r="I114" s="536"/>
      <c r="J114" s="536"/>
      <c r="K114" s="536"/>
      <c r="L114" s="536"/>
      <c r="M114" s="537"/>
      <c r="N114" s="1153"/>
      <c r="O114" s="1153"/>
      <c r="P114" s="45"/>
      <c r="Q114" s="504"/>
    </row>
    <row r="115" spans="1:17" s="471" customFormat="1" ht="14.4" thickTop="1">
      <c r="A115" s="593"/>
      <c r="B115" s="594">
        <f>B38</f>
        <v>111</v>
      </c>
      <c r="C115" s="595"/>
      <c r="D115" s="595"/>
      <c r="E115" s="595"/>
      <c r="F115" s="595"/>
      <c r="G115" s="595"/>
      <c r="H115" s="595"/>
      <c r="I115" s="595"/>
      <c r="J115" s="596"/>
      <c r="K115" s="596"/>
      <c r="L115" s="597"/>
      <c r="M115" s="598"/>
      <c r="N115" s="1154"/>
      <c r="O115" s="1154"/>
      <c r="P115" s="558"/>
      <c r="Q115" s="559"/>
    </row>
    <row r="116" spans="1:17" s="471" customFormat="1" ht="14.4" thickBot="1">
      <c r="A116" s="553"/>
      <c r="B116" s="546"/>
      <c r="C116" s="512"/>
      <c r="D116" s="677"/>
      <c r="E116" s="677"/>
      <c r="F116" s="677"/>
      <c r="G116" s="677"/>
      <c r="H116" s="677"/>
      <c r="I116" s="677"/>
      <c r="J116" s="677"/>
      <c r="K116" s="677"/>
      <c r="L116" s="677"/>
      <c r="M116" s="699"/>
      <c r="N116" s="1153"/>
      <c r="O116" s="1153"/>
      <c r="P116" s="558"/>
      <c r="Q116" s="559"/>
    </row>
    <row r="117" spans="1:17" ht="27.6">
      <c r="A117" s="527" t="s">
        <v>2559</v>
      </c>
      <c r="B117" s="528" t="s">
        <v>2787</v>
      </c>
      <c r="C117" s="529" t="str">
        <f>C118&amp;"(含)"&amp;"-"&amp;D118</f>
        <v>0(含)-20000</v>
      </c>
      <c r="D117" s="529" t="str">
        <f t="shared" ref="D117:M117" si="26">D118&amp;"(含)"&amp;"-"&amp;E118</f>
        <v>20000(含)-40000</v>
      </c>
      <c r="E117" s="529" t="str">
        <f t="shared" si="26"/>
        <v>40000(含)-60000</v>
      </c>
      <c r="F117" s="529" t="str">
        <f t="shared" si="26"/>
        <v>60000(含)-80000</v>
      </c>
      <c r="G117" s="529" t="str">
        <f t="shared" si="26"/>
        <v>80000(含)-100000</v>
      </c>
      <c r="H117" s="529" t="str">
        <f t="shared" si="26"/>
        <v>100000(含)-120000</v>
      </c>
      <c r="I117" s="529" t="str">
        <f t="shared" si="26"/>
        <v>120000(含)-</v>
      </c>
      <c r="J117" s="529" t="str">
        <f t="shared" si="26"/>
        <v>(含)-</v>
      </c>
      <c r="K117" s="529" t="str">
        <f t="shared" si="26"/>
        <v>(含)-</v>
      </c>
      <c r="L117" s="529" t="str">
        <f t="shared" si="26"/>
        <v>(含)-</v>
      </c>
      <c r="M117" s="529" t="str">
        <f t="shared" si="26"/>
        <v>(含)-</v>
      </c>
      <c r="N117" s="1152"/>
      <c r="O117" s="1152"/>
      <c r="P117" s="45"/>
      <c r="Q117" s="504"/>
    </row>
    <row r="118" spans="1:17">
      <c r="A118" s="534"/>
      <c r="B118" s="546"/>
      <c r="C118" s="595">
        <v>0</v>
      </c>
      <c r="D118" s="595">
        <v>20000</v>
      </c>
      <c r="E118" s="595">
        <f>D118+20000</f>
        <v>40000</v>
      </c>
      <c r="F118" s="595">
        <f t="shared" ref="F118:I118" si="27">E118+20000</f>
        <v>60000</v>
      </c>
      <c r="G118" s="595">
        <f t="shared" si="27"/>
        <v>80000</v>
      </c>
      <c r="H118" s="595">
        <f t="shared" si="27"/>
        <v>100000</v>
      </c>
      <c r="I118" s="595">
        <f t="shared" si="27"/>
        <v>120000</v>
      </c>
      <c r="J118" s="596"/>
      <c r="K118" s="596"/>
      <c r="L118" s="597"/>
      <c r="M118" s="598"/>
      <c r="N118" s="1152"/>
      <c r="O118" s="1152"/>
      <c r="P118" s="45"/>
      <c r="Q118" s="504"/>
    </row>
    <row r="119" spans="1:17" ht="14.4" thickBot="1">
      <c r="A119" s="534"/>
      <c r="B119" s="543"/>
      <c r="C119" s="570">
        <v>100</v>
      </c>
      <c r="D119" s="591">
        <f>C119+1</f>
        <v>101</v>
      </c>
      <c r="E119" s="591">
        <f t="shared" ref="E119:I119" si="28">D119+1</f>
        <v>102</v>
      </c>
      <c r="F119" s="591">
        <f t="shared" si="28"/>
        <v>103</v>
      </c>
      <c r="G119" s="591">
        <f t="shared" si="28"/>
        <v>104</v>
      </c>
      <c r="H119" s="591">
        <f t="shared" si="28"/>
        <v>105</v>
      </c>
      <c r="I119" s="591">
        <f t="shared" si="28"/>
        <v>106</v>
      </c>
      <c r="J119" s="591"/>
      <c r="K119" s="591"/>
      <c r="L119" s="591"/>
      <c r="M119" s="592"/>
      <c r="N119" s="1153"/>
      <c r="O119" s="1153"/>
      <c r="P119" s="45"/>
      <c r="Q119" s="504"/>
    </row>
    <row r="120" spans="1:17" ht="15" thickTop="1">
      <c r="A120" s="599"/>
      <c r="B120" s="538" t="s">
        <v>2788</v>
      </c>
      <c r="C120" s="2974" t="s">
        <v>3598</v>
      </c>
      <c r="D120" s="2974" t="s">
        <v>3600</v>
      </c>
      <c r="E120" s="2974" t="s">
        <v>3602</v>
      </c>
      <c r="F120" s="2974" t="s">
        <v>3603</v>
      </c>
      <c r="G120" s="583"/>
      <c r="H120" s="583"/>
      <c r="I120" s="583"/>
      <c r="J120" s="583"/>
      <c r="K120" s="584"/>
      <c r="L120" s="585"/>
      <c r="M120" s="586"/>
      <c r="N120" s="1152"/>
      <c r="O120" s="1152"/>
      <c r="P120" s="45"/>
      <c r="Q120" s="504"/>
    </row>
    <row r="121" spans="1:17" ht="14.4" thickBot="1">
      <c r="A121" s="534"/>
      <c r="B121" s="543"/>
      <c r="C121" s="544">
        <v>100</v>
      </c>
      <c r="D121" s="544">
        <f t="shared" ref="D121:M121" si="29">C121-$K40</f>
        <v>99</v>
      </c>
      <c r="E121" s="544">
        <f t="shared" si="29"/>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45"/>
      <c r="Q121" s="504"/>
    </row>
    <row r="122" spans="1:17" ht="15" thickTop="1">
      <c r="A122" s="599"/>
      <c r="B122" s="538" t="s">
        <v>2789</v>
      </c>
      <c r="C122" s="554"/>
      <c r="D122" s="554"/>
      <c r="E122" s="554"/>
      <c r="F122" s="583"/>
      <c r="G122" s="583"/>
      <c r="H122" s="583"/>
      <c r="I122" s="583"/>
      <c r="J122" s="583"/>
      <c r="K122" s="584"/>
      <c r="L122" s="585"/>
      <c r="M122" s="586"/>
      <c r="N122" s="1152"/>
      <c r="O122" s="1152"/>
      <c r="P122" s="45"/>
      <c r="Q122" s="504"/>
    </row>
    <row r="123" spans="1:17" ht="14.4" thickBot="1">
      <c r="A123" s="534"/>
      <c r="B123" s="543"/>
      <c r="C123" s="544">
        <v>100</v>
      </c>
      <c r="D123" s="544">
        <f t="shared" ref="D123:M123" si="30">C123-$K41</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45"/>
      <c r="Q123" s="504"/>
    </row>
    <row r="124" spans="1:17" s="471" customFormat="1" ht="15" thickTop="1">
      <c r="A124" s="593"/>
      <c r="B124" s="538" t="s">
        <v>2790</v>
      </c>
      <c r="C124" s="2973" t="s">
        <v>3609</v>
      </c>
      <c r="D124" s="2973" t="s">
        <v>3610</v>
      </c>
      <c r="E124" s="2973" t="s">
        <v>3612</v>
      </c>
      <c r="F124" s="2973" t="s">
        <v>3613</v>
      </c>
      <c r="G124" s="2973" t="s">
        <v>3614</v>
      </c>
      <c r="H124" s="583"/>
      <c r="I124" s="583"/>
      <c r="J124" s="583"/>
      <c r="K124" s="584"/>
      <c r="L124" s="585"/>
      <c r="M124" s="586"/>
      <c r="N124" s="1154"/>
      <c r="O124" s="1154"/>
      <c r="P124" s="558"/>
      <c r="Q124" s="559"/>
    </row>
    <row r="125" spans="1:17" s="471" customFormat="1" ht="14.4" thickBot="1">
      <c r="A125" s="553"/>
      <c r="B125" s="543"/>
      <c r="C125" s="544">
        <v>100</v>
      </c>
      <c r="D125" s="544">
        <f>C125-$K42</f>
        <v>99</v>
      </c>
      <c r="E125" s="544">
        <f t="shared" ref="E125:M125" si="31">D125-$K42</f>
        <v>98</v>
      </c>
      <c r="F125" s="544">
        <f t="shared" si="31"/>
        <v>97</v>
      </c>
      <c r="G125" s="544">
        <f t="shared" si="31"/>
        <v>96</v>
      </c>
      <c r="H125" s="544">
        <f t="shared" si="31"/>
        <v>95</v>
      </c>
      <c r="I125" s="544">
        <f t="shared" si="31"/>
        <v>94</v>
      </c>
      <c r="J125" s="544">
        <f t="shared" si="31"/>
        <v>93</v>
      </c>
      <c r="K125" s="544">
        <f t="shared" si="31"/>
        <v>92</v>
      </c>
      <c r="L125" s="544">
        <f t="shared" si="31"/>
        <v>91</v>
      </c>
      <c r="M125" s="545">
        <f t="shared" si="31"/>
        <v>90</v>
      </c>
      <c r="N125" s="1154"/>
      <c r="O125" s="1154"/>
      <c r="P125" s="558"/>
      <c r="Q125" s="559"/>
    </row>
    <row r="126" spans="1:17" ht="15" thickTop="1">
      <c r="A126" s="599"/>
      <c r="B126" s="538" t="s">
        <v>2791</v>
      </c>
      <c r="C126" s="2973" t="s">
        <v>3604</v>
      </c>
      <c r="D126" s="2973" t="s">
        <v>3605</v>
      </c>
      <c r="E126" s="2974" t="s">
        <v>3606</v>
      </c>
      <c r="F126" s="2974" t="s">
        <v>3607</v>
      </c>
      <c r="G126" s="2974" t="s">
        <v>3608</v>
      </c>
      <c r="H126" s="583"/>
      <c r="I126" s="583"/>
      <c r="J126" s="583"/>
      <c r="K126" s="584"/>
      <c r="L126" s="585"/>
      <c r="M126" s="586"/>
      <c r="N126" s="1152"/>
      <c r="O126" s="1152"/>
      <c r="P126" s="45"/>
      <c r="Q126" s="504"/>
    </row>
    <row r="127" spans="1:17" ht="14.4" thickBot="1">
      <c r="A127" s="534"/>
      <c r="B127" s="543"/>
      <c r="C127" s="544">
        <v>100</v>
      </c>
      <c r="D127" s="544">
        <f t="shared" ref="D127:M127" si="32">C127-$K43</f>
        <v>99</v>
      </c>
      <c r="E127" s="544">
        <f t="shared" si="32"/>
        <v>98</v>
      </c>
      <c r="F127" s="544">
        <f t="shared" si="32"/>
        <v>97</v>
      </c>
      <c r="G127" s="544">
        <f t="shared" si="32"/>
        <v>96</v>
      </c>
      <c r="H127" s="544">
        <f t="shared" si="32"/>
        <v>95</v>
      </c>
      <c r="I127" s="544">
        <f t="shared" si="32"/>
        <v>94</v>
      </c>
      <c r="J127" s="544">
        <f t="shared" si="32"/>
        <v>93</v>
      </c>
      <c r="K127" s="544">
        <f t="shared" si="32"/>
        <v>92</v>
      </c>
      <c r="L127" s="544">
        <f t="shared" si="32"/>
        <v>91</v>
      </c>
      <c r="M127" s="545">
        <f t="shared" si="32"/>
        <v>90</v>
      </c>
      <c r="N127" s="1153"/>
      <c r="O127" s="1153"/>
      <c r="P127" s="45"/>
      <c r="Q127" s="504"/>
    </row>
    <row r="128" spans="1:17" ht="14.4" thickTop="1">
      <c r="A128" s="599"/>
      <c r="B128" s="538">
        <f>B44</f>
        <v>111</v>
      </c>
      <c r="C128" s="554"/>
      <c r="D128" s="554"/>
      <c r="E128" s="554"/>
      <c r="F128" s="554"/>
      <c r="G128" s="554"/>
      <c r="H128" s="583"/>
      <c r="I128" s="583"/>
      <c r="J128" s="583"/>
      <c r="K128" s="584"/>
      <c r="L128" s="585"/>
      <c r="M128" s="586"/>
      <c r="N128" s="1152"/>
      <c r="O128" s="1152"/>
      <c r="P128" s="45"/>
      <c r="Q128" s="504"/>
    </row>
    <row r="129" spans="1:17" ht="14.4" thickBot="1">
      <c r="A129" s="534"/>
      <c r="B129" s="543"/>
      <c r="C129" s="560"/>
      <c r="D129" s="560"/>
      <c r="E129" s="560"/>
      <c r="F129" s="560"/>
      <c r="G129" s="536"/>
      <c r="H129" s="536"/>
      <c r="I129" s="536"/>
      <c r="J129" s="536"/>
      <c r="K129" s="536"/>
      <c r="L129" s="536"/>
      <c r="M129" s="537"/>
      <c r="N129" s="1153"/>
      <c r="O129" s="1153"/>
      <c r="P129" s="45"/>
      <c r="Q129" s="504"/>
    </row>
    <row r="130" spans="1:17" ht="14.4" thickTop="1">
      <c r="A130" s="599"/>
      <c r="B130" s="538">
        <f>B45</f>
        <v>111</v>
      </c>
      <c r="C130" s="523"/>
      <c r="D130" s="523"/>
      <c r="E130" s="523"/>
      <c r="F130" s="523"/>
      <c r="G130" s="583"/>
      <c r="H130" s="583"/>
      <c r="I130" s="583"/>
      <c r="J130" s="583"/>
      <c r="K130" s="584"/>
      <c r="L130" s="585"/>
      <c r="M130" s="586"/>
      <c r="N130" s="1152"/>
      <c r="O130" s="1152"/>
      <c r="P130" s="45"/>
      <c r="Q130" s="504"/>
    </row>
    <row r="131" spans="1:17" ht="14.4" thickBot="1">
      <c r="A131" s="534"/>
      <c r="B131" s="543"/>
      <c r="C131" s="570"/>
      <c r="D131" s="570"/>
      <c r="E131" s="570"/>
      <c r="F131" s="570"/>
      <c r="G131" s="536"/>
      <c r="H131" s="536"/>
      <c r="I131" s="536"/>
      <c r="J131" s="536"/>
      <c r="K131" s="536"/>
      <c r="L131" s="536"/>
      <c r="M131" s="537"/>
      <c r="N131" s="1153"/>
      <c r="O131" s="1153"/>
      <c r="P131" s="45"/>
      <c r="Q131" s="504"/>
    </row>
    <row r="132" spans="1:17" s="471" customFormat="1" ht="14.4" thickTop="1">
      <c r="A132" s="593"/>
      <c r="B132" s="538">
        <f>B46</f>
        <v>111</v>
      </c>
      <c r="C132" s="523"/>
      <c r="D132" s="523"/>
      <c r="E132" s="523"/>
      <c r="F132" s="523"/>
      <c r="G132" s="555"/>
      <c r="H132" s="555"/>
      <c r="I132" s="555"/>
      <c r="J132" s="555"/>
      <c r="K132" s="555"/>
      <c r="L132" s="556"/>
      <c r="M132" s="557"/>
      <c r="N132" s="1154"/>
      <c r="O132" s="1154"/>
      <c r="P132" s="558"/>
      <c r="Q132" s="559"/>
    </row>
    <row r="133" spans="1:17" s="471" customFormat="1" ht="14.4" thickBot="1">
      <c r="A133" s="568"/>
      <c r="B133" s="700"/>
      <c r="C133" s="570"/>
      <c r="D133" s="570"/>
      <c r="E133" s="570"/>
      <c r="F133" s="570"/>
      <c r="G133" s="591"/>
      <c r="H133" s="591"/>
      <c r="I133" s="591"/>
      <c r="J133" s="591"/>
      <c r="K133" s="591"/>
      <c r="L133" s="591"/>
      <c r="M133" s="592"/>
      <c r="N133" s="1154"/>
      <c r="O133" s="1154"/>
      <c r="P133" s="558"/>
      <c r="Q133" s="559"/>
    </row>
  </sheetData>
  <sheetProtection formatCells="0" formatColumns="0" formatRows="0"/>
  <mergeCells count="42">
    <mergeCell ref="V48:W48"/>
    <mergeCell ref="P49:Q49"/>
    <mergeCell ref="R49:W49"/>
    <mergeCell ref="G56:H57"/>
    <mergeCell ref="G58:G61"/>
    <mergeCell ref="P48:Q48"/>
    <mergeCell ref="R48:S48"/>
    <mergeCell ref="T48:U48"/>
    <mergeCell ref="P16:P36"/>
    <mergeCell ref="Y16:Y36"/>
    <mergeCell ref="P37:P46"/>
    <mergeCell ref="Y37:Y46"/>
    <mergeCell ref="P47:Q47"/>
    <mergeCell ref="R47:S47"/>
    <mergeCell ref="T47:U47"/>
    <mergeCell ref="V47:W47"/>
    <mergeCell ref="P9:P15"/>
    <mergeCell ref="Y9:Y15"/>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$H$54+$H$52="超过30%"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4">
    <dataValidation type="list" allowBlank="1" showInputMessage="1" showErrorMessage="1" sqref="C26">
      <formula1>住宅朝向</formula1>
    </dataValidation>
    <dataValidation type="list" allowBlank="1" showInputMessage="1" showErrorMessage="1" sqref="E29 C29 G29 I29">
      <formula1>公共配套设施</formula1>
    </dataValidation>
    <dataValidation type="list" allowBlank="1" showInputMessage="1" showErrorMessage="1" sqref="E23 C23 G23 I23">
      <formula1>交通便捷度</formula1>
    </dataValidation>
    <dataValidation type="list" allowBlank="1" showInputMessage="1" showErrorMessage="1" sqref="E17 G17 I17 C17">
      <formula1>居住社区成熟度</formula1>
    </dataValidation>
    <dataValidation type="list" allowBlank="1" showInputMessage="1" showErrorMessage="1" sqref="C27 E27 G27 I27">
      <formula1>环境</formula1>
    </dataValidation>
    <dataValidation type="list" allowBlank="1" showInputMessage="1" showErrorMessage="1" sqref="B47">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9 C19 G19 I19">
      <formula1>商业繁华度</formula1>
    </dataValidation>
    <dataValidation type="list" allowBlank="1" showInputMessage="1" showErrorMessage="1" sqref="E21 C21 G21 I21">
      <formula1>办公集聚程度</formula1>
    </dataValidation>
    <dataValidation type="list" allowBlank="1" showInputMessage="1" showErrorMessage="1" sqref="C34 G34 E34 I34">
      <formula1>套综道路等级</formula1>
    </dataValidation>
    <dataValidation type="list" allowBlank="1" showInputMessage="1" showErrorMessage="1" sqref="C35 E35 G35 I35">
      <formula1>套综土地级别</formula1>
    </dataValidation>
    <dataValidation type="list" allowBlank="1" showInputMessage="1" showErrorMessage="1" sqref="C40 E40 G40 I40">
      <formula1>套综宗地形状</formula1>
    </dataValidation>
    <dataValidation type="list" allowBlank="1" showInputMessage="1" showErrorMessage="1" sqref="C41 E41 G41 I41">
      <formula1>套综临街宽度及深度</formula1>
    </dataValidation>
    <dataValidation type="list" allowBlank="1" showInputMessage="1" showErrorMessage="1" sqref="C42 E42 G42 I42">
      <formula1>套综宗地内开发程度</formula1>
    </dataValidation>
    <dataValidation type="list" allowBlank="1" showInputMessage="1" showErrorMessage="1" sqref="C43 G43 E43 I43">
      <formula1>套综工程地质条件</formula1>
    </dataValidation>
    <dataValidation type="list" allowBlank="1" showInputMessage="1" showErrorMessage="1" sqref="C32 E32 G32 I32">
      <formula1>临街状况</formula1>
    </dataValidation>
    <dataValidation type="list" allowBlank="1" showInputMessage="1" showErrorMessage="1" sqref="E25 G25 I25 C25">
      <formula1>区域土地利用方向</formula1>
    </dataValidation>
    <dataValidation type="list" allowBlank="1" showInputMessage="1" showErrorMessage="1" sqref="C56">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8:D66">
      <formula1>"25%,1"</formula1>
    </dataValidation>
    <dataValidation type="list" allowBlank="1" showInputMessage="1" showErrorMessage="1" sqref="C31 E31 G31 I31">
      <formula1>基础设施水平</formula1>
    </dataValidation>
    <dataValidation type="list" allowBlank="1" showInputMessage="1" showErrorMessage="1" sqref="A72">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J81" zoomScale="85" zoomScaleNormal="85" workbookViewId="0">
      <selection activeCell="R96" sqref="R96:S96"/>
    </sheetView>
  </sheetViews>
  <sheetFormatPr defaultRowHeight="14.4"/>
  <cols>
    <col min="1" max="1" width="62.88671875" style="1634" customWidth="1"/>
    <col min="2" max="2" width="7.109375" style="1634" hidden="1" customWidth="1"/>
    <col min="3" max="3" width="15.88671875" style="1634" customWidth="1"/>
    <col min="4" max="4" width="7.109375" style="1634" customWidth="1"/>
    <col min="5" max="5" width="5.21875" style="1634" customWidth="1"/>
    <col min="6" max="6" width="14" style="1634" customWidth="1"/>
    <col min="7" max="7" width="9" style="1634" customWidth="1"/>
    <col min="8" max="8" width="24.109375" style="1634" customWidth="1"/>
    <col min="9" max="9" width="26.33203125" style="1634" customWidth="1"/>
    <col min="10" max="11" width="15.88671875" style="1634" customWidth="1"/>
    <col min="12" max="12" width="7.109375" style="1634" customWidth="1"/>
    <col min="13" max="13" width="9" style="1634" customWidth="1"/>
    <col min="14" max="14" width="36.88671875" style="1634" customWidth="1"/>
    <col min="15" max="15" width="44.21875" style="1634" customWidth="1"/>
    <col min="16" max="16" width="11.33203125" style="1634" customWidth="1"/>
    <col min="17" max="18" width="17.77734375" style="1634" customWidth="1"/>
    <col min="19" max="19" width="73.77734375" style="1634" customWidth="1"/>
    <col min="20" max="20" width="57.21875" style="1634" customWidth="1"/>
    <col min="21" max="21" width="28" style="1634" customWidth="1"/>
    <col min="22" max="22" width="20.33203125" style="1634" customWidth="1"/>
    <col min="23" max="23" width="9" style="1634" customWidth="1"/>
    <col min="24" max="27" width="10.21875" style="1634" customWidth="1"/>
    <col min="28" max="28" width="23.44140625" style="1634" customWidth="1"/>
    <col min="29" max="29" width="9" style="1634" customWidth="1"/>
    <col min="30" max="30" width="92.109375" style="1634" customWidth="1"/>
    <col min="31" max="33" width="12.109375" style="1634" customWidth="1"/>
    <col min="34" max="35" width="18.21875" style="1634" customWidth="1"/>
    <col min="36" max="37" width="16.33203125" style="1634" customWidth="1"/>
    <col min="38" max="39" width="25" style="1634" customWidth="1"/>
    <col min="40" max="40" width="7.109375" style="1634" customWidth="1"/>
    <col min="41" max="41" width="28" style="1634" customWidth="1"/>
    <col min="42" max="42" width="19.21875" style="1634" customWidth="1"/>
    <col min="43" max="44" width="23" style="1634" customWidth="1"/>
    <col min="45" max="45" width="9" style="1634" customWidth="1"/>
    <col min="46" max="256" width="8.88671875" style="1634"/>
    <col min="257" max="257" width="62.88671875" style="1634" customWidth="1"/>
    <col min="258" max="258" width="0" style="1634" hidden="1" customWidth="1"/>
    <col min="259" max="259" width="15.88671875" style="1634" customWidth="1"/>
    <col min="260" max="260" width="7.109375" style="1634" customWidth="1"/>
    <col min="261" max="261" width="5.21875" style="1634" customWidth="1"/>
    <col min="262" max="262" width="14" style="1634" customWidth="1"/>
    <col min="263" max="263" width="9" style="1634" customWidth="1"/>
    <col min="264" max="264" width="24.109375" style="1634" customWidth="1"/>
    <col min="265" max="265" width="26.33203125" style="1634" customWidth="1"/>
    <col min="266" max="267" width="15.88671875" style="1634" customWidth="1"/>
    <col min="268" max="268" width="7.109375" style="1634" customWidth="1"/>
    <col min="269" max="269" width="9" style="1634" customWidth="1"/>
    <col min="270" max="270" width="36.88671875" style="1634" customWidth="1"/>
    <col min="271" max="271" width="44.21875" style="1634" customWidth="1"/>
    <col min="272" max="272" width="11.33203125" style="1634" customWidth="1"/>
    <col min="273" max="274" width="17.77734375" style="1634" customWidth="1"/>
    <col min="275" max="275" width="73.77734375" style="1634" customWidth="1"/>
    <col min="276" max="276" width="57.21875" style="1634" customWidth="1"/>
    <col min="277" max="277" width="28" style="1634" customWidth="1"/>
    <col min="278" max="278" width="20.33203125" style="1634" customWidth="1"/>
    <col min="279" max="279" width="9" style="1634" customWidth="1"/>
    <col min="280" max="283" width="10.21875" style="1634" customWidth="1"/>
    <col min="284" max="284" width="23.44140625" style="1634" customWidth="1"/>
    <col min="285" max="285" width="9" style="1634" customWidth="1"/>
    <col min="286" max="286" width="92.1093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28" style="1634" customWidth="1"/>
    <col min="298" max="298" width="19.21875" style="1634" customWidth="1"/>
    <col min="299" max="300" width="23" style="1634" customWidth="1"/>
    <col min="301" max="301" width="9" style="1634" customWidth="1"/>
    <col min="302" max="512" width="8.88671875" style="1634"/>
    <col min="513" max="513" width="62.88671875" style="1634" customWidth="1"/>
    <col min="514" max="514" width="0" style="1634" hidden="1" customWidth="1"/>
    <col min="515" max="515" width="15.88671875" style="1634" customWidth="1"/>
    <col min="516" max="516" width="7.109375" style="1634" customWidth="1"/>
    <col min="517" max="517" width="5.21875" style="1634" customWidth="1"/>
    <col min="518" max="518" width="14" style="1634" customWidth="1"/>
    <col min="519" max="519" width="9" style="1634" customWidth="1"/>
    <col min="520" max="520" width="24.109375" style="1634" customWidth="1"/>
    <col min="521" max="521" width="26.33203125" style="1634" customWidth="1"/>
    <col min="522" max="523" width="15.88671875" style="1634" customWidth="1"/>
    <col min="524" max="524" width="7.109375" style="1634" customWidth="1"/>
    <col min="525" max="525" width="9" style="1634" customWidth="1"/>
    <col min="526" max="526" width="36.88671875" style="1634" customWidth="1"/>
    <col min="527" max="527" width="44.21875" style="1634" customWidth="1"/>
    <col min="528" max="528" width="11.33203125" style="1634" customWidth="1"/>
    <col min="529" max="530" width="17.77734375" style="1634" customWidth="1"/>
    <col min="531" max="531" width="73.77734375" style="1634" customWidth="1"/>
    <col min="532" max="532" width="57.21875" style="1634" customWidth="1"/>
    <col min="533" max="533" width="28" style="1634" customWidth="1"/>
    <col min="534" max="534" width="20.33203125" style="1634" customWidth="1"/>
    <col min="535" max="535" width="9" style="1634" customWidth="1"/>
    <col min="536" max="539" width="10.21875" style="1634" customWidth="1"/>
    <col min="540" max="540" width="23.44140625" style="1634" customWidth="1"/>
    <col min="541" max="541" width="9" style="1634" customWidth="1"/>
    <col min="542" max="542" width="92.1093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28" style="1634" customWidth="1"/>
    <col min="554" max="554" width="19.21875" style="1634" customWidth="1"/>
    <col min="555" max="556" width="23" style="1634" customWidth="1"/>
    <col min="557" max="557" width="9" style="1634" customWidth="1"/>
    <col min="558" max="768" width="8.88671875" style="1634"/>
    <col min="769" max="769" width="62.88671875" style="1634" customWidth="1"/>
    <col min="770" max="770" width="0" style="1634" hidden="1" customWidth="1"/>
    <col min="771" max="771" width="15.88671875" style="1634" customWidth="1"/>
    <col min="772" max="772" width="7.109375" style="1634" customWidth="1"/>
    <col min="773" max="773" width="5.21875" style="1634" customWidth="1"/>
    <col min="774" max="774" width="14" style="1634" customWidth="1"/>
    <col min="775" max="775" width="9" style="1634" customWidth="1"/>
    <col min="776" max="776" width="24.109375" style="1634" customWidth="1"/>
    <col min="777" max="777" width="26.33203125" style="1634" customWidth="1"/>
    <col min="778" max="779" width="15.88671875" style="1634" customWidth="1"/>
    <col min="780" max="780" width="7.109375" style="1634" customWidth="1"/>
    <col min="781" max="781" width="9" style="1634" customWidth="1"/>
    <col min="782" max="782" width="36.88671875" style="1634" customWidth="1"/>
    <col min="783" max="783" width="44.21875" style="1634" customWidth="1"/>
    <col min="784" max="784" width="11.33203125" style="1634" customWidth="1"/>
    <col min="785" max="786" width="17.77734375" style="1634" customWidth="1"/>
    <col min="787" max="787" width="73.77734375" style="1634" customWidth="1"/>
    <col min="788" max="788" width="57.21875" style="1634" customWidth="1"/>
    <col min="789" max="789" width="28" style="1634" customWidth="1"/>
    <col min="790" max="790" width="20.33203125" style="1634" customWidth="1"/>
    <col min="791" max="791" width="9" style="1634" customWidth="1"/>
    <col min="792" max="795" width="10.21875" style="1634" customWidth="1"/>
    <col min="796" max="796" width="23.44140625" style="1634" customWidth="1"/>
    <col min="797" max="797" width="9" style="1634" customWidth="1"/>
    <col min="798" max="798" width="92.1093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28" style="1634" customWidth="1"/>
    <col min="810" max="810" width="19.21875" style="1634" customWidth="1"/>
    <col min="811" max="812" width="23" style="1634" customWidth="1"/>
    <col min="813" max="813" width="9" style="1634" customWidth="1"/>
    <col min="814" max="1024" width="8.88671875" style="1634"/>
    <col min="1025" max="1025" width="62.88671875" style="1634" customWidth="1"/>
    <col min="1026" max="1026" width="0" style="1634" hidden="1" customWidth="1"/>
    <col min="1027" max="1027" width="15.88671875" style="1634" customWidth="1"/>
    <col min="1028" max="1028" width="7.109375" style="1634" customWidth="1"/>
    <col min="1029" max="1029" width="5.21875" style="1634" customWidth="1"/>
    <col min="1030" max="1030" width="14" style="1634" customWidth="1"/>
    <col min="1031" max="1031" width="9" style="1634" customWidth="1"/>
    <col min="1032" max="1032" width="24.109375" style="1634" customWidth="1"/>
    <col min="1033" max="1033" width="26.33203125" style="1634" customWidth="1"/>
    <col min="1034" max="1035" width="15.88671875" style="1634" customWidth="1"/>
    <col min="1036" max="1036" width="7.109375" style="1634" customWidth="1"/>
    <col min="1037" max="1037" width="9" style="1634" customWidth="1"/>
    <col min="1038" max="1038" width="36.88671875" style="1634" customWidth="1"/>
    <col min="1039" max="1039" width="44.21875" style="1634" customWidth="1"/>
    <col min="1040" max="1040" width="11.33203125" style="1634" customWidth="1"/>
    <col min="1041" max="1042" width="17.77734375" style="1634" customWidth="1"/>
    <col min="1043" max="1043" width="73.77734375" style="1634" customWidth="1"/>
    <col min="1044" max="1044" width="57.21875" style="1634" customWidth="1"/>
    <col min="1045" max="1045" width="28" style="1634" customWidth="1"/>
    <col min="1046" max="1046" width="20.33203125" style="1634" customWidth="1"/>
    <col min="1047" max="1047" width="9" style="1634" customWidth="1"/>
    <col min="1048" max="1051" width="10.21875" style="1634" customWidth="1"/>
    <col min="1052" max="1052" width="23.44140625" style="1634" customWidth="1"/>
    <col min="1053" max="1053" width="9" style="1634" customWidth="1"/>
    <col min="1054" max="1054" width="92.1093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28" style="1634" customWidth="1"/>
    <col min="1066" max="1066" width="19.21875" style="1634" customWidth="1"/>
    <col min="1067" max="1068" width="23" style="1634" customWidth="1"/>
    <col min="1069" max="1069" width="9" style="1634" customWidth="1"/>
    <col min="1070" max="1280" width="8.88671875" style="1634"/>
    <col min="1281" max="1281" width="62.88671875" style="1634" customWidth="1"/>
    <col min="1282" max="1282" width="0" style="1634" hidden="1" customWidth="1"/>
    <col min="1283" max="1283" width="15.88671875" style="1634" customWidth="1"/>
    <col min="1284" max="1284" width="7.109375" style="1634" customWidth="1"/>
    <col min="1285" max="1285" width="5.21875" style="1634" customWidth="1"/>
    <col min="1286" max="1286" width="14" style="1634" customWidth="1"/>
    <col min="1287" max="1287" width="9" style="1634" customWidth="1"/>
    <col min="1288" max="1288" width="24.109375" style="1634" customWidth="1"/>
    <col min="1289" max="1289" width="26.33203125" style="1634" customWidth="1"/>
    <col min="1290" max="1291" width="15.88671875" style="1634" customWidth="1"/>
    <col min="1292" max="1292" width="7.109375" style="1634" customWidth="1"/>
    <col min="1293" max="1293" width="9" style="1634" customWidth="1"/>
    <col min="1294" max="1294" width="36.88671875" style="1634" customWidth="1"/>
    <col min="1295" max="1295" width="44.21875" style="1634" customWidth="1"/>
    <col min="1296" max="1296" width="11.33203125" style="1634" customWidth="1"/>
    <col min="1297" max="1298" width="17.77734375" style="1634" customWidth="1"/>
    <col min="1299" max="1299" width="73.77734375" style="1634" customWidth="1"/>
    <col min="1300" max="1300" width="57.21875" style="1634" customWidth="1"/>
    <col min="1301" max="1301" width="28" style="1634" customWidth="1"/>
    <col min="1302" max="1302" width="20.33203125" style="1634" customWidth="1"/>
    <col min="1303" max="1303" width="9" style="1634" customWidth="1"/>
    <col min="1304" max="1307" width="10.21875" style="1634" customWidth="1"/>
    <col min="1308" max="1308" width="23.44140625" style="1634" customWidth="1"/>
    <col min="1309" max="1309" width="9" style="1634" customWidth="1"/>
    <col min="1310" max="1310" width="92.1093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28" style="1634" customWidth="1"/>
    <col min="1322" max="1322" width="19.21875" style="1634" customWidth="1"/>
    <col min="1323" max="1324" width="23" style="1634" customWidth="1"/>
    <col min="1325" max="1325" width="9" style="1634" customWidth="1"/>
    <col min="1326" max="1536" width="8.88671875" style="1634"/>
    <col min="1537" max="1537" width="62.88671875" style="1634" customWidth="1"/>
    <col min="1538" max="1538" width="0" style="1634" hidden="1" customWidth="1"/>
    <col min="1539" max="1539" width="15.88671875" style="1634" customWidth="1"/>
    <col min="1540" max="1540" width="7.109375" style="1634" customWidth="1"/>
    <col min="1541" max="1541" width="5.21875" style="1634" customWidth="1"/>
    <col min="1542" max="1542" width="14" style="1634" customWidth="1"/>
    <col min="1543" max="1543" width="9" style="1634" customWidth="1"/>
    <col min="1544" max="1544" width="24.109375" style="1634" customWidth="1"/>
    <col min="1545" max="1545" width="26.33203125" style="1634" customWidth="1"/>
    <col min="1546" max="1547" width="15.88671875" style="1634" customWidth="1"/>
    <col min="1548" max="1548" width="7.109375" style="1634" customWidth="1"/>
    <col min="1549" max="1549" width="9" style="1634" customWidth="1"/>
    <col min="1550" max="1550" width="36.88671875" style="1634" customWidth="1"/>
    <col min="1551" max="1551" width="44.21875" style="1634" customWidth="1"/>
    <col min="1552" max="1552" width="11.33203125" style="1634" customWidth="1"/>
    <col min="1553" max="1554" width="17.77734375" style="1634" customWidth="1"/>
    <col min="1555" max="1555" width="73.77734375" style="1634" customWidth="1"/>
    <col min="1556" max="1556" width="57.21875" style="1634" customWidth="1"/>
    <col min="1557" max="1557" width="28" style="1634" customWidth="1"/>
    <col min="1558" max="1558" width="20.33203125" style="1634" customWidth="1"/>
    <col min="1559" max="1559" width="9" style="1634" customWidth="1"/>
    <col min="1560" max="1563" width="10.21875" style="1634" customWidth="1"/>
    <col min="1564" max="1564" width="23.44140625" style="1634" customWidth="1"/>
    <col min="1565" max="1565" width="9" style="1634" customWidth="1"/>
    <col min="1566" max="1566" width="92.1093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28" style="1634" customWidth="1"/>
    <col min="1578" max="1578" width="19.21875" style="1634" customWidth="1"/>
    <col min="1579" max="1580" width="23" style="1634" customWidth="1"/>
    <col min="1581" max="1581" width="9" style="1634" customWidth="1"/>
    <col min="1582" max="1792" width="8.88671875" style="1634"/>
    <col min="1793" max="1793" width="62.88671875" style="1634" customWidth="1"/>
    <col min="1794" max="1794" width="0" style="1634" hidden="1" customWidth="1"/>
    <col min="1795" max="1795" width="15.88671875" style="1634" customWidth="1"/>
    <col min="1796" max="1796" width="7.109375" style="1634" customWidth="1"/>
    <col min="1797" max="1797" width="5.21875" style="1634" customWidth="1"/>
    <col min="1798" max="1798" width="14" style="1634" customWidth="1"/>
    <col min="1799" max="1799" width="9" style="1634" customWidth="1"/>
    <col min="1800" max="1800" width="24.109375" style="1634" customWidth="1"/>
    <col min="1801" max="1801" width="26.33203125" style="1634" customWidth="1"/>
    <col min="1802" max="1803" width="15.88671875" style="1634" customWidth="1"/>
    <col min="1804" max="1804" width="7.109375" style="1634" customWidth="1"/>
    <col min="1805" max="1805" width="9" style="1634" customWidth="1"/>
    <col min="1806" max="1806" width="36.88671875" style="1634" customWidth="1"/>
    <col min="1807" max="1807" width="44.21875" style="1634" customWidth="1"/>
    <col min="1808" max="1808" width="11.33203125" style="1634" customWidth="1"/>
    <col min="1809" max="1810" width="17.77734375" style="1634" customWidth="1"/>
    <col min="1811" max="1811" width="73.77734375" style="1634" customWidth="1"/>
    <col min="1812" max="1812" width="57.21875" style="1634" customWidth="1"/>
    <col min="1813" max="1813" width="28" style="1634" customWidth="1"/>
    <col min="1814" max="1814" width="20.33203125" style="1634" customWidth="1"/>
    <col min="1815" max="1815" width="9" style="1634" customWidth="1"/>
    <col min="1816" max="1819" width="10.21875" style="1634" customWidth="1"/>
    <col min="1820" max="1820" width="23.44140625" style="1634" customWidth="1"/>
    <col min="1821" max="1821" width="9" style="1634" customWidth="1"/>
    <col min="1822" max="1822" width="92.1093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28" style="1634" customWidth="1"/>
    <col min="1834" max="1834" width="19.21875" style="1634" customWidth="1"/>
    <col min="1835" max="1836" width="23" style="1634" customWidth="1"/>
    <col min="1837" max="1837" width="9" style="1634" customWidth="1"/>
    <col min="1838" max="2048" width="8.88671875" style="1634"/>
    <col min="2049" max="2049" width="62.88671875" style="1634" customWidth="1"/>
    <col min="2050" max="2050" width="0" style="1634" hidden="1" customWidth="1"/>
    <col min="2051" max="2051" width="15.88671875" style="1634" customWidth="1"/>
    <col min="2052" max="2052" width="7.109375" style="1634" customWidth="1"/>
    <col min="2053" max="2053" width="5.21875" style="1634" customWidth="1"/>
    <col min="2054" max="2054" width="14" style="1634" customWidth="1"/>
    <col min="2055" max="2055" width="9" style="1634" customWidth="1"/>
    <col min="2056" max="2056" width="24.109375" style="1634" customWidth="1"/>
    <col min="2057" max="2057" width="26.33203125" style="1634" customWidth="1"/>
    <col min="2058" max="2059" width="15.88671875" style="1634" customWidth="1"/>
    <col min="2060" max="2060" width="7.109375" style="1634" customWidth="1"/>
    <col min="2061" max="2061" width="9" style="1634" customWidth="1"/>
    <col min="2062" max="2062" width="36.88671875" style="1634" customWidth="1"/>
    <col min="2063" max="2063" width="44.21875" style="1634" customWidth="1"/>
    <col min="2064" max="2064" width="11.33203125" style="1634" customWidth="1"/>
    <col min="2065" max="2066" width="17.77734375" style="1634" customWidth="1"/>
    <col min="2067" max="2067" width="73.77734375" style="1634" customWidth="1"/>
    <col min="2068" max="2068" width="57.21875" style="1634" customWidth="1"/>
    <col min="2069" max="2069" width="28" style="1634" customWidth="1"/>
    <col min="2070" max="2070" width="20.33203125" style="1634" customWidth="1"/>
    <col min="2071" max="2071" width="9" style="1634" customWidth="1"/>
    <col min="2072" max="2075" width="10.21875" style="1634" customWidth="1"/>
    <col min="2076" max="2076" width="23.44140625" style="1634" customWidth="1"/>
    <col min="2077" max="2077" width="9" style="1634" customWidth="1"/>
    <col min="2078" max="2078" width="92.1093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28" style="1634" customWidth="1"/>
    <col min="2090" max="2090" width="19.21875" style="1634" customWidth="1"/>
    <col min="2091" max="2092" width="23" style="1634" customWidth="1"/>
    <col min="2093" max="2093" width="9" style="1634" customWidth="1"/>
    <col min="2094" max="2304" width="8.88671875" style="1634"/>
    <col min="2305" max="2305" width="62.88671875" style="1634" customWidth="1"/>
    <col min="2306" max="2306" width="0" style="1634" hidden="1" customWidth="1"/>
    <col min="2307" max="2307" width="15.88671875" style="1634" customWidth="1"/>
    <col min="2308" max="2308" width="7.109375" style="1634" customWidth="1"/>
    <col min="2309" max="2309" width="5.21875" style="1634" customWidth="1"/>
    <col min="2310" max="2310" width="14" style="1634" customWidth="1"/>
    <col min="2311" max="2311" width="9" style="1634" customWidth="1"/>
    <col min="2312" max="2312" width="24.109375" style="1634" customWidth="1"/>
    <col min="2313" max="2313" width="26.33203125" style="1634" customWidth="1"/>
    <col min="2314" max="2315" width="15.88671875" style="1634" customWidth="1"/>
    <col min="2316" max="2316" width="7.109375" style="1634" customWidth="1"/>
    <col min="2317" max="2317" width="9" style="1634" customWidth="1"/>
    <col min="2318" max="2318" width="36.88671875" style="1634" customWidth="1"/>
    <col min="2319" max="2319" width="44.21875" style="1634" customWidth="1"/>
    <col min="2320" max="2320" width="11.33203125" style="1634" customWidth="1"/>
    <col min="2321" max="2322" width="17.77734375" style="1634" customWidth="1"/>
    <col min="2323" max="2323" width="73.77734375" style="1634" customWidth="1"/>
    <col min="2324" max="2324" width="57.21875" style="1634" customWidth="1"/>
    <col min="2325" max="2325" width="28" style="1634" customWidth="1"/>
    <col min="2326" max="2326" width="20.33203125" style="1634" customWidth="1"/>
    <col min="2327" max="2327" width="9" style="1634" customWidth="1"/>
    <col min="2328" max="2331" width="10.21875" style="1634" customWidth="1"/>
    <col min="2332" max="2332" width="23.44140625" style="1634" customWidth="1"/>
    <col min="2333" max="2333" width="9" style="1634" customWidth="1"/>
    <col min="2334" max="2334" width="92.1093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28" style="1634" customWidth="1"/>
    <col min="2346" max="2346" width="19.21875" style="1634" customWidth="1"/>
    <col min="2347" max="2348" width="23" style="1634" customWidth="1"/>
    <col min="2349" max="2349" width="9" style="1634" customWidth="1"/>
    <col min="2350" max="2560" width="8.88671875" style="1634"/>
    <col min="2561" max="2561" width="62.88671875" style="1634" customWidth="1"/>
    <col min="2562" max="2562" width="0" style="1634" hidden="1" customWidth="1"/>
    <col min="2563" max="2563" width="15.88671875" style="1634" customWidth="1"/>
    <col min="2564" max="2564" width="7.109375" style="1634" customWidth="1"/>
    <col min="2565" max="2565" width="5.21875" style="1634" customWidth="1"/>
    <col min="2566" max="2566" width="14" style="1634" customWidth="1"/>
    <col min="2567" max="2567" width="9" style="1634" customWidth="1"/>
    <col min="2568" max="2568" width="24.109375" style="1634" customWidth="1"/>
    <col min="2569" max="2569" width="26.33203125" style="1634" customWidth="1"/>
    <col min="2570" max="2571" width="15.88671875" style="1634" customWidth="1"/>
    <col min="2572" max="2572" width="7.109375" style="1634" customWidth="1"/>
    <col min="2573" max="2573" width="9" style="1634" customWidth="1"/>
    <col min="2574" max="2574" width="36.88671875" style="1634" customWidth="1"/>
    <col min="2575" max="2575" width="44.21875" style="1634" customWidth="1"/>
    <col min="2576" max="2576" width="11.33203125" style="1634" customWidth="1"/>
    <col min="2577" max="2578" width="17.77734375" style="1634" customWidth="1"/>
    <col min="2579" max="2579" width="73.77734375" style="1634" customWidth="1"/>
    <col min="2580" max="2580" width="57.21875" style="1634" customWidth="1"/>
    <col min="2581" max="2581" width="28" style="1634" customWidth="1"/>
    <col min="2582" max="2582" width="20.33203125" style="1634" customWidth="1"/>
    <col min="2583" max="2583" width="9" style="1634" customWidth="1"/>
    <col min="2584" max="2587" width="10.21875" style="1634" customWidth="1"/>
    <col min="2588" max="2588" width="23.44140625" style="1634" customWidth="1"/>
    <col min="2589" max="2589" width="9" style="1634" customWidth="1"/>
    <col min="2590" max="2590" width="92.1093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28" style="1634" customWidth="1"/>
    <col min="2602" max="2602" width="19.21875" style="1634" customWidth="1"/>
    <col min="2603" max="2604" width="23" style="1634" customWidth="1"/>
    <col min="2605" max="2605" width="9" style="1634" customWidth="1"/>
    <col min="2606" max="2816" width="8.88671875" style="1634"/>
    <col min="2817" max="2817" width="62.88671875" style="1634" customWidth="1"/>
    <col min="2818" max="2818" width="0" style="1634" hidden="1" customWidth="1"/>
    <col min="2819" max="2819" width="15.88671875" style="1634" customWidth="1"/>
    <col min="2820" max="2820" width="7.109375" style="1634" customWidth="1"/>
    <col min="2821" max="2821" width="5.21875" style="1634" customWidth="1"/>
    <col min="2822" max="2822" width="14" style="1634" customWidth="1"/>
    <col min="2823" max="2823" width="9" style="1634" customWidth="1"/>
    <col min="2824" max="2824" width="24.109375" style="1634" customWidth="1"/>
    <col min="2825" max="2825" width="26.33203125" style="1634" customWidth="1"/>
    <col min="2826" max="2827" width="15.88671875" style="1634" customWidth="1"/>
    <col min="2828" max="2828" width="7.109375" style="1634" customWidth="1"/>
    <col min="2829" max="2829" width="9" style="1634" customWidth="1"/>
    <col min="2830" max="2830" width="36.88671875" style="1634" customWidth="1"/>
    <col min="2831" max="2831" width="44.21875" style="1634" customWidth="1"/>
    <col min="2832" max="2832" width="11.33203125" style="1634" customWidth="1"/>
    <col min="2833" max="2834" width="17.77734375" style="1634" customWidth="1"/>
    <col min="2835" max="2835" width="73.77734375" style="1634" customWidth="1"/>
    <col min="2836" max="2836" width="57.21875" style="1634" customWidth="1"/>
    <col min="2837" max="2837" width="28" style="1634" customWidth="1"/>
    <col min="2838" max="2838" width="20.33203125" style="1634" customWidth="1"/>
    <col min="2839" max="2839" width="9" style="1634" customWidth="1"/>
    <col min="2840" max="2843" width="10.21875" style="1634" customWidth="1"/>
    <col min="2844" max="2844" width="23.44140625" style="1634" customWidth="1"/>
    <col min="2845" max="2845" width="9" style="1634" customWidth="1"/>
    <col min="2846" max="2846" width="92.1093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28" style="1634" customWidth="1"/>
    <col min="2858" max="2858" width="19.21875" style="1634" customWidth="1"/>
    <col min="2859" max="2860" width="23" style="1634" customWidth="1"/>
    <col min="2861" max="2861" width="9" style="1634" customWidth="1"/>
    <col min="2862" max="3072" width="8.88671875" style="1634"/>
    <col min="3073" max="3073" width="62.88671875" style="1634" customWidth="1"/>
    <col min="3074" max="3074" width="0" style="1634" hidden="1" customWidth="1"/>
    <col min="3075" max="3075" width="15.88671875" style="1634" customWidth="1"/>
    <col min="3076" max="3076" width="7.109375" style="1634" customWidth="1"/>
    <col min="3077" max="3077" width="5.21875" style="1634" customWidth="1"/>
    <col min="3078" max="3078" width="14" style="1634" customWidth="1"/>
    <col min="3079" max="3079" width="9" style="1634" customWidth="1"/>
    <col min="3080" max="3080" width="24.109375" style="1634" customWidth="1"/>
    <col min="3081" max="3081" width="26.33203125" style="1634" customWidth="1"/>
    <col min="3082" max="3083" width="15.88671875" style="1634" customWidth="1"/>
    <col min="3084" max="3084" width="7.109375" style="1634" customWidth="1"/>
    <col min="3085" max="3085" width="9" style="1634" customWidth="1"/>
    <col min="3086" max="3086" width="36.88671875" style="1634" customWidth="1"/>
    <col min="3087" max="3087" width="44.21875" style="1634" customWidth="1"/>
    <col min="3088" max="3088" width="11.33203125" style="1634" customWidth="1"/>
    <col min="3089" max="3090" width="17.77734375" style="1634" customWidth="1"/>
    <col min="3091" max="3091" width="73.77734375" style="1634" customWidth="1"/>
    <col min="3092" max="3092" width="57.21875" style="1634" customWidth="1"/>
    <col min="3093" max="3093" width="28" style="1634" customWidth="1"/>
    <col min="3094" max="3094" width="20.33203125" style="1634" customWidth="1"/>
    <col min="3095" max="3095" width="9" style="1634" customWidth="1"/>
    <col min="3096" max="3099" width="10.21875" style="1634" customWidth="1"/>
    <col min="3100" max="3100" width="23.44140625" style="1634" customWidth="1"/>
    <col min="3101" max="3101" width="9" style="1634" customWidth="1"/>
    <col min="3102" max="3102" width="92.1093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28" style="1634" customWidth="1"/>
    <col min="3114" max="3114" width="19.21875" style="1634" customWidth="1"/>
    <col min="3115" max="3116" width="23" style="1634" customWidth="1"/>
    <col min="3117" max="3117" width="9" style="1634" customWidth="1"/>
    <col min="3118" max="3328" width="8.88671875" style="1634"/>
    <col min="3329" max="3329" width="62.88671875" style="1634" customWidth="1"/>
    <col min="3330" max="3330" width="0" style="1634" hidden="1" customWidth="1"/>
    <col min="3331" max="3331" width="15.88671875" style="1634" customWidth="1"/>
    <col min="3332" max="3332" width="7.109375" style="1634" customWidth="1"/>
    <col min="3333" max="3333" width="5.21875" style="1634" customWidth="1"/>
    <col min="3334" max="3334" width="14" style="1634" customWidth="1"/>
    <col min="3335" max="3335" width="9" style="1634" customWidth="1"/>
    <col min="3336" max="3336" width="24.109375" style="1634" customWidth="1"/>
    <col min="3337" max="3337" width="26.33203125" style="1634" customWidth="1"/>
    <col min="3338" max="3339" width="15.88671875" style="1634" customWidth="1"/>
    <col min="3340" max="3340" width="7.109375" style="1634" customWidth="1"/>
    <col min="3341" max="3341" width="9" style="1634" customWidth="1"/>
    <col min="3342" max="3342" width="36.88671875" style="1634" customWidth="1"/>
    <col min="3343" max="3343" width="44.21875" style="1634" customWidth="1"/>
    <col min="3344" max="3344" width="11.33203125" style="1634" customWidth="1"/>
    <col min="3345" max="3346" width="17.77734375" style="1634" customWidth="1"/>
    <col min="3347" max="3347" width="73.77734375" style="1634" customWidth="1"/>
    <col min="3348" max="3348" width="57.21875" style="1634" customWidth="1"/>
    <col min="3349" max="3349" width="28" style="1634" customWidth="1"/>
    <col min="3350" max="3350" width="20.33203125" style="1634" customWidth="1"/>
    <col min="3351" max="3351" width="9" style="1634" customWidth="1"/>
    <col min="3352" max="3355" width="10.21875" style="1634" customWidth="1"/>
    <col min="3356" max="3356" width="23.44140625" style="1634" customWidth="1"/>
    <col min="3357" max="3357" width="9" style="1634" customWidth="1"/>
    <col min="3358" max="3358" width="92.1093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28" style="1634" customWidth="1"/>
    <col min="3370" max="3370" width="19.21875" style="1634" customWidth="1"/>
    <col min="3371" max="3372" width="23" style="1634" customWidth="1"/>
    <col min="3373" max="3373" width="9" style="1634" customWidth="1"/>
    <col min="3374" max="3584" width="8.88671875" style="1634"/>
    <col min="3585" max="3585" width="62.88671875" style="1634" customWidth="1"/>
    <col min="3586" max="3586" width="0" style="1634" hidden="1" customWidth="1"/>
    <col min="3587" max="3587" width="15.88671875" style="1634" customWidth="1"/>
    <col min="3588" max="3588" width="7.109375" style="1634" customWidth="1"/>
    <col min="3589" max="3589" width="5.21875" style="1634" customWidth="1"/>
    <col min="3590" max="3590" width="14" style="1634" customWidth="1"/>
    <col min="3591" max="3591" width="9" style="1634" customWidth="1"/>
    <col min="3592" max="3592" width="24.109375" style="1634" customWidth="1"/>
    <col min="3593" max="3593" width="26.33203125" style="1634" customWidth="1"/>
    <col min="3594" max="3595" width="15.88671875" style="1634" customWidth="1"/>
    <col min="3596" max="3596" width="7.109375" style="1634" customWidth="1"/>
    <col min="3597" max="3597" width="9" style="1634" customWidth="1"/>
    <col min="3598" max="3598" width="36.88671875" style="1634" customWidth="1"/>
    <col min="3599" max="3599" width="44.21875" style="1634" customWidth="1"/>
    <col min="3600" max="3600" width="11.33203125" style="1634" customWidth="1"/>
    <col min="3601" max="3602" width="17.77734375" style="1634" customWidth="1"/>
    <col min="3603" max="3603" width="73.77734375" style="1634" customWidth="1"/>
    <col min="3604" max="3604" width="57.21875" style="1634" customWidth="1"/>
    <col min="3605" max="3605" width="28" style="1634" customWidth="1"/>
    <col min="3606" max="3606" width="20.33203125" style="1634" customWidth="1"/>
    <col min="3607" max="3607" width="9" style="1634" customWidth="1"/>
    <col min="3608" max="3611" width="10.21875" style="1634" customWidth="1"/>
    <col min="3612" max="3612" width="23.44140625" style="1634" customWidth="1"/>
    <col min="3613" max="3613" width="9" style="1634" customWidth="1"/>
    <col min="3614" max="3614" width="92.1093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28" style="1634" customWidth="1"/>
    <col min="3626" max="3626" width="19.21875" style="1634" customWidth="1"/>
    <col min="3627" max="3628" width="23" style="1634" customWidth="1"/>
    <col min="3629" max="3629" width="9" style="1634" customWidth="1"/>
    <col min="3630" max="3840" width="8.88671875" style="1634"/>
    <col min="3841" max="3841" width="62.88671875" style="1634" customWidth="1"/>
    <col min="3842" max="3842" width="0" style="1634" hidden="1" customWidth="1"/>
    <col min="3843" max="3843" width="15.88671875" style="1634" customWidth="1"/>
    <col min="3844" max="3844" width="7.109375" style="1634" customWidth="1"/>
    <col min="3845" max="3845" width="5.21875" style="1634" customWidth="1"/>
    <col min="3846" max="3846" width="14" style="1634" customWidth="1"/>
    <col min="3847" max="3847" width="9" style="1634" customWidth="1"/>
    <col min="3848" max="3848" width="24.109375" style="1634" customWidth="1"/>
    <col min="3849" max="3849" width="26.33203125" style="1634" customWidth="1"/>
    <col min="3850" max="3851" width="15.88671875" style="1634" customWidth="1"/>
    <col min="3852" max="3852" width="7.109375" style="1634" customWidth="1"/>
    <col min="3853" max="3853" width="9" style="1634" customWidth="1"/>
    <col min="3854" max="3854" width="36.88671875" style="1634" customWidth="1"/>
    <col min="3855" max="3855" width="44.21875" style="1634" customWidth="1"/>
    <col min="3856" max="3856" width="11.33203125" style="1634" customWidth="1"/>
    <col min="3857" max="3858" width="17.77734375" style="1634" customWidth="1"/>
    <col min="3859" max="3859" width="73.77734375" style="1634" customWidth="1"/>
    <col min="3860" max="3860" width="57.21875" style="1634" customWidth="1"/>
    <col min="3861" max="3861" width="28" style="1634" customWidth="1"/>
    <col min="3862" max="3862" width="20.33203125" style="1634" customWidth="1"/>
    <col min="3863" max="3863" width="9" style="1634" customWidth="1"/>
    <col min="3864" max="3867" width="10.21875" style="1634" customWidth="1"/>
    <col min="3868" max="3868" width="23.44140625" style="1634" customWidth="1"/>
    <col min="3869" max="3869" width="9" style="1634" customWidth="1"/>
    <col min="3870" max="3870" width="92.1093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28" style="1634" customWidth="1"/>
    <col min="3882" max="3882" width="19.21875" style="1634" customWidth="1"/>
    <col min="3883" max="3884" width="23" style="1634" customWidth="1"/>
    <col min="3885" max="3885" width="9" style="1634" customWidth="1"/>
    <col min="3886" max="4096" width="8.88671875" style="1634"/>
    <col min="4097" max="4097" width="62.88671875" style="1634" customWidth="1"/>
    <col min="4098" max="4098" width="0" style="1634" hidden="1" customWidth="1"/>
    <col min="4099" max="4099" width="15.88671875" style="1634" customWidth="1"/>
    <col min="4100" max="4100" width="7.109375" style="1634" customWidth="1"/>
    <col min="4101" max="4101" width="5.21875" style="1634" customWidth="1"/>
    <col min="4102" max="4102" width="14" style="1634" customWidth="1"/>
    <col min="4103" max="4103" width="9" style="1634" customWidth="1"/>
    <col min="4104" max="4104" width="24.109375" style="1634" customWidth="1"/>
    <col min="4105" max="4105" width="26.33203125" style="1634" customWidth="1"/>
    <col min="4106" max="4107" width="15.88671875" style="1634" customWidth="1"/>
    <col min="4108" max="4108" width="7.109375" style="1634" customWidth="1"/>
    <col min="4109" max="4109" width="9" style="1634" customWidth="1"/>
    <col min="4110" max="4110" width="36.88671875" style="1634" customWidth="1"/>
    <col min="4111" max="4111" width="44.21875" style="1634" customWidth="1"/>
    <col min="4112" max="4112" width="11.33203125" style="1634" customWidth="1"/>
    <col min="4113" max="4114" width="17.77734375" style="1634" customWidth="1"/>
    <col min="4115" max="4115" width="73.77734375" style="1634" customWidth="1"/>
    <col min="4116" max="4116" width="57.21875" style="1634" customWidth="1"/>
    <col min="4117" max="4117" width="28" style="1634" customWidth="1"/>
    <col min="4118" max="4118" width="20.33203125" style="1634" customWidth="1"/>
    <col min="4119" max="4119" width="9" style="1634" customWidth="1"/>
    <col min="4120" max="4123" width="10.21875" style="1634" customWidth="1"/>
    <col min="4124" max="4124" width="23.44140625" style="1634" customWidth="1"/>
    <col min="4125" max="4125" width="9" style="1634" customWidth="1"/>
    <col min="4126" max="4126" width="92.1093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28" style="1634" customWidth="1"/>
    <col min="4138" max="4138" width="19.21875" style="1634" customWidth="1"/>
    <col min="4139" max="4140" width="23" style="1634" customWidth="1"/>
    <col min="4141" max="4141" width="9" style="1634" customWidth="1"/>
    <col min="4142" max="4352" width="8.88671875" style="1634"/>
    <col min="4353" max="4353" width="62.88671875" style="1634" customWidth="1"/>
    <col min="4354" max="4354" width="0" style="1634" hidden="1" customWidth="1"/>
    <col min="4355" max="4355" width="15.88671875" style="1634" customWidth="1"/>
    <col min="4356" max="4356" width="7.109375" style="1634" customWidth="1"/>
    <col min="4357" max="4357" width="5.21875" style="1634" customWidth="1"/>
    <col min="4358" max="4358" width="14" style="1634" customWidth="1"/>
    <col min="4359" max="4359" width="9" style="1634" customWidth="1"/>
    <col min="4360" max="4360" width="24.109375" style="1634" customWidth="1"/>
    <col min="4361" max="4361" width="26.33203125" style="1634" customWidth="1"/>
    <col min="4362" max="4363" width="15.88671875" style="1634" customWidth="1"/>
    <col min="4364" max="4364" width="7.109375" style="1634" customWidth="1"/>
    <col min="4365" max="4365" width="9" style="1634" customWidth="1"/>
    <col min="4366" max="4366" width="36.88671875" style="1634" customWidth="1"/>
    <col min="4367" max="4367" width="44.21875" style="1634" customWidth="1"/>
    <col min="4368" max="4368" width="11.33203125" style="1634" customWidth="1"/>
    <col min="4369" max="4370" width="17.77734375" style="1634" customWidth="1"/>
    <col min="4371" max="4371" width="73.77734375" style="1634" customWidth="1"/>
    <col min="4372" max="4372" width="57.21875" style="1634" customWidth="1"/>
    <col min="4373" max="4373" width="28" style="1634" customWidth="1"/>
    <col min="4374" max="4374" width="20.33203125" style="1634" customWidth="1"/>
    <col min="4375" max="4375" width="9" style="1634" customWidth="1"/>
    <col min="4376" max="4379" width="10.21875" style="1634" customWidth="1"/>
    <col min="4380" max="4380" width="23.44140625" style="1634" customWidth="1"/>
    <col min="4381" max="4381" width="9" style="1634" customWidth="1"/>
    <col min="4382" max="4382" width="92.1093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28" style="1634" customWidth="1"/>
    <col min="4394" max="4394" width="19.21875" style="1634" customWidth="1"/>
    <col min="4395" max="4396" width="23" style="1634" customWidth="1"/>
    <col min="4397" max="4397" width="9" style="1634" customWidth="1"/>
    <col min="4398" max="4608" width="8.88671875" style="1634"/>
    <col min="4609" max="4609" width="62.88671875" style="1634" customWidth="1"/>
    <col min="4610" max="4610" width="0" style="1634" hidden="1" customWidth="1"/>
    <col min="4611" max="4611" width="15.88671875" style="1634" customWidth="1"/>
    <col min="4612" max="4612" width="7.109375" style="1634" customWidth="1"/>
    <col min="4613" max="4613" width="5.21875" style="1634" customWidth="1"/>
    <col min="4614" max="4614" width="14" style="1634" customWidth="1"/>
    <col min="4615" max="4615" width="9" style="1634" customWidth="1"/>
    <col min="4616" max="4616" width="24.109375" style="1634" customWidth="1"/>
    <col min="4617" max="4617" width="26.33203125" style="1634" customWidth="1"/>
    <col min="4618" max="4619" width="15.88671875" style="1634" customWidth="1"/>
    <col min="4620" max="4620" width="7.109375" style="1634" customWidth="1"/>
    <col min="4621" max="4621" width="9" style="1634" customWidth="1"/>
    <col min="4622" max="4622" width="36.88671875" style="1634" customWidth="1"/>
    <col min="4623" max="4623" width="44.21875" style="1634" customWidth="1"/>
    <col min="4624" max="4624" width="11.33203125" style="1634" customWidth="1"/>
    <col min="4625" max="4626" width="17.77734375" style="1634" customWidth="1"/>
    <col min="4627" max="4627" width="73.77734375" style="1634" customWidth="1"/>
    <col min="4628" max="4628" width="57.21875" style="1634" customWidth="1"/>
    <col min="4629" max="4629" width="28" style="1634" customWidth="1"/>
    <col min="4630" max="4630" width="20.33203125" style="1634" customWidth="1"/>
    <col min="4631" max="4631" width="9" style="1634" customWidth="1"/>
    <col min="4632" max="4635" width="10.21875" style="1634" customWidth="1"/>
    <col min="4636" max="4636" width="23.44140625" style="1634" customWidth="1"/>
    <col min="4637" max="4637" width="9" style="1634" customWidth="1"/>
    <col min="4638" max="4638" width="92.1093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28" style="1634" customWidth="1"/>
    <col min="4650" max="4650" width="19.21875" style="1634" customWidth="1"/>
    <col min="4651" max="4652" width="23" style="1634" customWidth="1"/>
    <col min="4653" max="4653" width="9" style="1634" customWidth="1"/>
    <col min="4654" max="4864" width="8.88671875" style="1634"/>
    <col min="4865" max="4865" width="62.88671875" style="1634" customWidth="1"/>
    <col min="4866" max="4866" width="0" style="1634" hidden="1" customWidth="1"/>
    <col min="4867" max="4867" width="15.88671875" style="1634" customWidth="1"/>
    <col min="4868" max="4868" width="7.109375" style="1634" customWidth="1"/>
    <col min="4869" max="4869" width="5.21875" style="1634" customWidth="1"/>
    <col min="4870" max="4870" width="14" style="1634" customWidth="1"/>
    <col min="4871" max="4871" width="9" style="1634" customWidth="1"/>
    <col min="4872" max="4872" width="24.109375" style="1634" customWidth="1"/>
    <col min="4873" max="4873" width="26.33203125" style="1634" customWidth="1"/>
    <col min="4874" max="4875" width="15.88671875" style="1634" customWidth="1"/>
    <col min="4876" max="4876" width="7.109375" style="1634" customWidth="1"/>
    <col min="4877" max="4877" width="9" style="1634" customWidth="1"/>
    <col min="4878" max="4878" width="36.88671875" style="1634" customWidth="1"/>
    <col min="4879" max="4879" width="44.21875" style="1634" customWidth="1"/>
    <col min="4880" max="4880" width="11.33203125" style="1634" customWidth="1"/>
    <col min="4881" max="4882" width="17.77734375" style="1634" customWidth="1"/>
    <col min="4883" max="4883" width="73.77734375" style="1634" customWidth="1"/>
    <col min="4884" max="4884" width="57.21875" style="1634" customWidth="1"/>
    <col min="4885" max="4885" width="28" style="1634" customWidth="1"/>
    <col min="4886" max="4886" width="20.33203125" style="1634" customWidth="1"/>
    <col min="4887" max="4887" width="9" style="1634" customWidth="1"/>
    <col min="4888" max="4891" width="10.21875" style="1634" customWidth="1"/>
    <col min="4892" max="4892" width="23.44140625" style="1634" customWidth="1"/>
    <col min="4893" max="4893" width="9" style="1634" customWidth="1"/>
    <col min="4894" max="4894" width="92.1093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28" style="1634" customWidth="1"/>
    <col min="4906" max="4906" width="19.21875" style="1634" customWidth="1"/>
    <col min="4907" max="4908" width="23" style="1634" customWidth="1"/>
    <col min="4909" max="4909" width="9" style="1634" customWidth="1"/>
    <col min="4910" max="5120" width="8.88671875" style="1634"/>
    <col min="5121" max="5121" width="62.88671875" style="1634" customWidth="1"/>
    <col min="5122" max="5122" width="0" style="1634" hidden="1" customWidth="1"/>
    <col min="5123" max="5123" width="15.88671875" style="1634" customWidth="1"/>
    <col min="5124" max="5124" width="7.109375" style="1634" customWidth="1"/>
    <col min="5125" max="5125" width="5.21875" style="1634" customWidth="1"/>
    <col min="5126" max="5126" width="14" style="1634" customWidth="1"/>
    <col min="5127" max="5127" width="9" style="1634" customWidth="1"/>
    <col min="5128" max="5128" width="24.109375" style="1634" customWidth="1"/>
    <col min="5129" max="5129" width="26.33203125" style="1634" customWidth="1"/>
    <col min="5130" max="5131" width="15.88671875" style="1634" customWidth="1"/>
    <col min="5132" max="5132" width="7.109375" style="1634" customWidth="1"/>
    <col min="5133" max="5133" width="9" style="1634" customWidth="1"/>
    <col min="5134" max="5134" width="36.88671875" style="1634" customWidth="1"/>
    <col min="5135" max="5135" width="44.21875" style="1634" customWidth="1"/>
    <col min="5136" max="5136" width="11.33203125" style="1634" customWidth="1"/>
    <col min="5137" max="5138" width="17.77734375" style="1634" customWidth="1"/>
    <col min="5139" max="5139" width="73.77734375" style="1634" customWidth="1"/>
    <col min="5140" max="5140" width="57.21875" style="1634" customWidth="1"/>
    <col min="5141" max="5141" width="28" style="1634" customWidth="1"/>
    <col min="5142" max="5142" width="20.33203125" style="1634" customWidth="1"/>
    <col min="5143" max="5143" width="9" style="1634" customWidth="1"/>
    <col min="5144" max="5147" width="10.21875" style="1634" customWidth="1"/>
    <col min="5148" max="5148" width="23.44140625" style="1634" customWidth="1"/>
    <col min="5149" max="5149" width="9" style="1634" customWidth="1"/>
    <col min="5150" max="5150" width="92.1093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28" style="1634" customWidth="1"/>
    <col min="5162" max="5162" width="19.21875" style="1634" customWidth="1"/>
    <col min="5163" max="5164" width="23" style="1634" customWidth="1"/>
    <col min="5165" max="5165" width="9" style="1634" customWidth="1"/>
    <col min="5166" max="5376" width="8.88671875" style="1634"/>
    <col min="5377" max="5377" width="62.88671875" style="1634" customWidth="1"/>
    <col min="5378" max="5378" width="0" style="1634" hidden="1" customWidth="1"/>
    <col min="5379" max="5379" width="15.88671875" style="1634" customWidth="1"/>
    <col min="5380" max="5380" width="7.109375" style="1634" customWidth="1"/>
    <col min="5381" max="5381" width="5.21875" style="1634" customWidth="1"/>
    <col min="5382" max="5382" width="14" style="1634" customWidth="1"/>
    <col min="5383" max="5383" width="9" style="1634" customWidth="1"/>
    <col min="5384" max="5384" width="24.109375" style="1634" customWidth="1"/>
    <col min="5385" max="5385" width="26.33203125" style="1634" customWidth="1"/>
    <col min="5386" max="5387" width="15.88671875" style="1634" customWidth="1"/>
    <col min="5388" max="5388" width="7.109375" style="1634" customWidth="1"/>
    <col min="5389" max="5389" width="9" style="1634" customWidth="1"/>
    <col min="5390" max="5390" width="36.88671875" style="1634" customWidth="1"/>
    <col min="5391" max="5391" width="44.21875" style="1634" customWidth="1"/>
    <col min="5392" max="5392" width="11.33203125" style="1634" customWidth="1"/>
    <col min="5393" max="5394" width="17.77734375" style="1634" customWidth="1"/>
    <col min="5395" max="5395" width="73.77734375" style="1634" customWidth="1"/>
    <col min="5396" max="5396" width="57.21875" style="1634" customWidth="1"/>
    <col min="5397" max="5397" width="28" style="1634" customWidth="1"/>
    <col min="5398" max="5398" width="20.33203125" style="1634" customWidth="1"/>
    <col min="5399" max="5399" width="9" style="1634" customWidth="1"/>
    <col min="5400" max="5403" width="10.21875" style="1634" customWidth="1"/>
    <col min="5404" max="5404" width="23.44140625" style="1634" customWidth="1"/>
    <col min="5405" max="5405" width="9" style="1634" customWidth="1"/>
    <col min="5406" max="5406" width="92.1093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28" style="1634" customWidth="1"/>
    <col min="5418" max="5418" width="19.21875" style="1634" customWidth="1"/>
    <col min="5419" max="5420" width="23" style="1634" customWidth="1"/>
    <col min="5421" max="5421" width="9" style="1634" customWidth="1"/>
    <col min="5422" max="5632" width="8.88671875" style="1634"/>
    <col min="5633" max="5633" width="62.88671875" style="1634" customWidth="1"/>
    <col min="5634" max="5634" width="0" style="1634" hidden="1" customWidth="1"/>
    <col min="5635" max="5635" width="15.88671875" style="1634" customWidth="1"/>
    <col min="5636" max="5636" width="7.109375" style="1634" customWidth="1"/>
    <col min="5637" max="5637" width="5.21875" style="1634" customWidth="1"/>
    <col min="5638" max="5638" width="14" style="1634" customWidth="1"/>
    <col min="5639" max="5639" width="9" style="1634" customWidth="1"/>
    <col min="5640" max="5640" width="24.109375" style="1634" customWidth="1"/>
    <col min="5641" max="5641" width="26.33203125" style="1634" customWidth="1"/>
    <col min="5642" max="5643" width="15.88671875" style="1634" customWidth="1"/>
    <col min="5644" max="5644" width="7.109375" style="1634" customWidth="1"/>
    <col min="5645" max="5645" width="9" style="1634" customWidth="1"/>
    <col min="5646" max="5646" width="36.88671875" style="1634" customWidth="1"/>
    <col min="5647" max="5647" width="44.21875" style="1634" customWidth="1"/>
    <col min="5648" max="5648" width="11.33203125" style="1634" customWidth="1"/>
    <col min="5649" max="5650" width="17.77734375" style="1634" customWidth="1"/>
    <col min="5651" max="5651" width="73.77734375" style="1634" customWidth="1"/>
    <col min="5652" max="5652" width="57.21875" style="1634" customWidth="1"/>
    <col min="5653" max="5653" width="28" style="1634" customWidth="1"/>
    <col min="5654" max="5654" width="20.33203125" style="1634" customWidth="1"/>
    <col min="5655" max="5655" width="9" style="1634" customWidth="1"/>
    <col min="5656" max="5659" width="10.21875" style="1634" customWidth="1"/>
    <col min="5660" max="5660" width="23.44140625" style="1634" customWidth="1"/>
    <col min="5661" max="5661" width="9" style="1634" customWidth="1"/>
    <col min="5662" max="5662" width="92.1093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28" style="1634" customWidth="1"/>
    <col min="5674" max="5674" width="19.21875" style="1634" customWidth="1"/>
    <col min="5675" max="5676" width="23" style="1634" customWidth="1"/>
    <col min="5677" max="5677" width="9" style="1634" customWidth="1"/>
    <col min="5678" max="5888" width="8.88671875" style="1634"/>
    <col min="5889" max="5889" width="62.88671875" style="1634" customWidth="1"/>
    <col min="5890" max="5890" width="0" style="1634" hidden="1" customWidth="1"/>
    <col min="5891" max="5891" width="15.88671875" style="1634" customWidth="1"/>
    <col min="5892" max="5892" width="7.109375" style="1634" customWidth="1"/>
    <col min="5893" max="5893" width="5.21875" style="1634" customWidth="1"/>
    <col min="5894" max="5894" width="14" style="1634" customWidth="1"/>
    <col min="5895" max="5895" width="9" style="1634" customWidth="1"/>
    <col min="5896" max="5896" width="24.109375" style="1634" customWidth="1"/>
    <col min="5897" max="5897" width="26.33203125" style="1634" customWidth="1"/>
    <col min="5898" max="5899" width="15.88671875" style="1634" customWidth="1"/>
    <col min="5900" max="5900" width="7.109375" style="1634" customWidth="1"/>
    <col min="5901" max="5901" width="9" style="1634" customWidth="1"/>
    <col min="5902" max="5902" width="36.88671875" style="1634" customWidth="1"/>
    <col min="5903" max="5903" width="44.21875" style="1634" customWidth="1"/>
    <col min="5904" max="5904" width="11.33203125" style="1634" customWidth="1"/>
    <col min="5905" max="5906" width="17.77734375" style="1634" customWidth="1"/>
    <col min="5907" max="5907" width="73.77734375" style="1634" customWidth="1"/>
    <col min="5908" max="5908" width="57.21875" style="1634" customWidth="1"/>
    <col min="5909" max="5909" width="28" style="1634" customWidth="1"/>
    <col min="5910" max="5910" width="20.33203125" style="1634" customWidth="1"/>
    <col min="5911" max="5911" width="9" style="1634" customWidth="1"/>
    <col min="5912" max="5915" width="10.21875" style="1634" customWidth="1"/>
    <col min="5916" max="5916" width="23.44140625" style="1634" customWidth="1"/>
    <col min="5917" max="5917" width="9" style="1634" customWidth="1"/>
    <col min="5918" max="5918" width="92.1093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28" style="1634" customWidth="1"/>
    <col min="5930" max="5930" width="19.21875" style="1634" customWidth="1"/>
    <col min="5931" max="5932" width="23" style="1634" customWidth="1"/>
    <col min="5933" max="5933" width="9" style="1634" customWidth="1"/>
    <col min="5934" max="6144" width="8.88671875" style="1634"/>
    <col min="6145" max="6145" width="62.88671875" style="1634" customWidth="1"/>
    <col min="6146" max="6146" width="0" style="1634" hidden="1" customWidth="1"/>
    <col min="6147" max="6147" width="15.88671875" style="1634" customWidth="1"/>
    <col min="6148" max="6148" width="7.109375" style="1634" customWidth="1"/>
    <col min="6149" max="6149" width="5.21875" style="1634" customWidth="1"/>
    <col min="6150" max="6150" width="14" style="1634" customWidth="1"/>
    <col min="6151" max="6151" width="9" style="1634" customWidth="1"/>
    <col min="6152" max="6152" width="24.109375" style="1634" customWidth="1"/>
    <col min="6153" max="6153" width="26.33203125" style="1634" customWidth="1"/>
    <col min="6154" max="6155" width="15.88671875" style="1634" customWidth="1"/>
    <col min="6156" max="6156" width="7.109375" style="1634" customWidth="1"/>
    <col min="6157" max="6157" width="9" style="1634" customWidth="1"/>
    <col min="6158" max="6158" width="36.88671875" style="1634" customWidth="1"/>
    <col min="6159" max="6159" width="44.21875" style="1634" customWidth="1"/>
    <col min="6160" max="6160" width="11.33203125" style="1634" customWidth="1"/>
    <col min="6161" max="6162" width="17.77734375" style="1634" customWidth="1"/>
    <col min="6163" max="6163" width="73.77734375" style="1634" customWidth="1"/>
    <col min="6164" max="6164" width="57.21875" style="1634" customWidth="1"/>
    <col min="6165" max="6165" width="28" style="1634" customWidth="1"/>
    <col min="6166" max="6166" width="20.33203125" style="1634" customWidth="1"/>
    <col min="6167" max="6167" width="9" style="1634" customWidth="1"/>
    <col min="6168" max="6171" width="10.21875" style="1634" customWidth="1"/>
    <col min="6172" max="6172" width="23.44140625" style="1634" customWidth="1"/>
    <col min="6173" max="6173" width="9" style="1634" customWidth="1"/>
    <col min="6174" max="6174" width="92.1093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28" style="1634" customWidth="1"/>
    <col min="6186" max="6186" width="19.21875" style="1634" customWidth="1"/>
    <col min="6187" max="6188" width="23" style="1634" customWidth="1"/>
    <col min="6189" max="6189" width="9" style="1634" customWidth="1"/>
    <col min="6190" max="6400" width="8.88671875" style="1634"/>
    <col min="6401" max="6401" width="62.88671875" style="1634" customWidth="1"/>
    <col min="6402" max="6402" width="0" style="1634" hidden="1" customWidth="1"/>
    <col min="6403" max="6403" width="15.88671875" style="1634" customWidth="1"/>
    <col min="6404" max="6404" width="7.109375" style="1634" customWidth="1"/>
    <col min="6405" max="6405" width="5.21875" style="1634" customWidth="1"/>
    <col min="6406" max="6406" width="14" style="1634" customWidth="1"/>
    <col min="6407" max="6407" width="9" style="1634" customWidth="1"/>
    <col min="6408" max="6408" width="24.109375" style="1634" customWidth="1"/>
    <col min="6409" max="6409" width="26.33203125" style="1634" customWidth="1"/>
    <col min="6410" max="6411" width="15.88671875" style="1634" customWidth="1"/>
    <col min="6412" max="6412" width="7.109375" style="1634" customWidth="1"/>
    <col min="6413" max="6413" width="9" style="1634" customWidth="1"/>
    <col min="6414" max="6414" width="36.88671875" style="1634" customWidth="1"/>
    <col min="6415" max="6415" width="44.21875" style="1634" customWidth="1"/>
    <col min="6416" max="6416" width="11.33203125" style="1634" customWidth="1"/>
    <col min="6417" max="6418" width="17.77734375" style="1634" customWidth="1"/>
    <col min="6419" max="6419" width="73.77734375" style="1634" customWidth="1"/>
    <col min="6420" max="6420" width="57.21875" style="1634" customWidth="1"/>
    <col min="6421" max="6421" width="28" style="1634" customWidth="1"/>
    <col min="6422" max="6422" width="20.33203125" style="1634" customWidth="1"/>
    <col min="6423" max="6423" width="9" style="1634" customWidth="1"/>
    <col min="6424" max="6427" width="10.21875" style="1634" customWidth="1"/>
    <col min="6428" max="6428" width="23.44140625" style="1634" customWidth="1"/>
    <col min="6429" max="6429" width="9" style="1634" customWidth="1"/>
    <col min="6430" max="6430" width="92.1093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28" style="1634" customWidth="1"/>
    <col min="6442" max="6442" width="19.21875" style="1634" customWidth="1"/>
    <col min="6443" max="6444" width="23" style="1634" customWidth="1"/>
    <col min="6445" max="6445" width="9" style="1634" customWidth="1"/>
    <col min="6446" max="6656" width="8.88671875" style="1634"/>
    <col min="6657" max="6657" width="62.88671875" style="1634" customWidth="1"/>
    <col min="6658" max="6658" width="0" style="1634" hidden="1" customWidth="1"/>
    <col min="6659" max="6659" width="15.88671875" style="1634" customWidth="1"/>
    <col min="6660" max="6660" width="7.109375" style="1634" customWidth="1"/>
    <col min="6661" max="6661" width="5.21875" style="1634" customWidth="1"/>
    <col min="6662" max="6662" width="14" style="1634" customWidth="1"/>
    <col min="6663" max="6663" width="9" style="1634" customWidth="1"/>
    <col min="6664" max="6664" width="24.109375" style="1634" customWidth="1"/>
    <col min="6665" max="6665" width="26.33203125" style="1634" customWidth="1"/>
    <col min="6666" max="6667" width="15.88671875" style="1634" customWidth="1"/>
    <col min="6668" max="6668" width="7.109375" style="1634" customWidth="1"/>
    <col min="6669" max="6669" width="9" style="1634" customWidth="1"/>
    <col min="6670" max="6670" width="36.88671875" style="1634" customWidth="1"/>
    <col min="6671" max="6671" width="44.21875" style="1634" customWidth="1"/>
    <col min="6672" max="6672" width="11.33203125" style="1634" customWidth="1"/>
    <col min="6673" max="6674" width="17.77734375" style="1634" customWidth="1"/>
    <col min="6675" max="6675" width="73.77734375" style="1634" customWidth="1"/>
    <col min="6676" max="6676" width="57.21875" style="1634" customWidth="1"/>
    <col min="6677" max="6677" width="28" style="1634" customWidth="1"/>
    <col min="6678" max="6678" width="20.33203125" style="1634" customWidth="1"/>
    <col min="6679" max="6679" width="9" style="1634" customWidth="1"/>
    <col min="6680" max="6683" width="10.21875" style="1634" customWidth="1"/>
    <col min="6684" max="6684" width="23.44140625" style="1634" customWidth="1"/>
    <col min="6685" max="6685" width="9" style="1634" customWidth="1"/>
    <col min="6686" max="6686" width="92.1093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28" style="1634" customWidth="1"/>
    <col min="6698" max="6698" width="19.21875" style="1634" customWidth="1"/>
    <col min="6699" max="6700" width="23" style="1634" customWidth="1"/>
    <col min="6701" max="6701" width="9" style="1634" customWidth="1"/>
    <col min="6702" max="6912" width="8.88671875" style="1634"/>
    <col min="6913" max="6913" width="62.88671875" style="1634" customWidth="1"/>
    <col min="6914" max="6914" width="0" style="1634" hidden="1" customWidth="1"/>
    <col min="6915" max="6915" width="15.88671875" style="1634" customWidth="1"/>
    <col min="6916" max="6916" width="7.109375" style="1634" customWidth="1"/>
    <col min="6917" max="6917" width="5.21875" style="1634" customWidth="1"/>
    <col min="6918" max="6918" width="14" style="1634" customWidth="1"/>
    <col min="6919" max="6919" width="9" style="1634" customWidth="1"/>
    <col min="6920" max="6920" width="24.109375" style="1634" customWidth="1"/>
    <col min="6921" max="6921" width="26.33203125" style="1634" customWidth="1"/>
    <col min="6922" max="6923" width="15.88671875" style="1634" customWidth="1"/>
    <col min="6924" max="6924" width="7.109375" style="1634" customWidth="1"/>
    <col min="6925" max="6925" width="9" style="1634" customWidth="1"/>
    <col min="6926" max="6926" width="36.88671875" style="1634" customWidth="1"/>
    <col min="6927" max="6927" width="44.21875" style="1634" customWidth="1"/>
    <col min="6928" max="6928" width="11.33203125" style="1634" customWidth="1"/>
    <col min="6929" max="6930" width="17.77734375" style="1634" customWidth="1"/>
    <col min="6931" max="6931" width="73.77734375" style="1634" customWidth="1"/>
    <col min="6932" max="6932" width="57.21875" style="1634" customWidth="1"/>
    <col min="6933" max="6933" width="28" style="1634" customWidth="1"/>
    <col min="6934" max="6934" width="20.33203125" style="1634" customWidth="1"/>
    <col min="6935" max="6935" width="9" style="1634" customWidth="1"/>
    <col min="6936" max="6939" width="10.21875" style="1634" customWidth="1"/>
    <col min="6940" max="6940" width="23.44140625" style="1634" customWidth="1"/>
    <col min="6941" max="6941" width="9" style="1634" customWidth="1"/>
    <col min="6942" max="6942" width="92.1093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28" style="1634" customWidth="1"/>
    <col min="6954" max="6954" width="19.21875" style="1634" customWidth="1"/>
    <col min="6955" max="6956" width="23" style="1634" customWidth="1"/>
    <col min="6957" max="6957" width="9" style="1634" customWidth="1"/>
    <col min="6958" max="7168" width="8.88671875" style="1634"/>
    <col min="7169" max="7169" width="62.88671875" style="1634" customWidth="1"/>
    <col min="7170" max="7170" width="0" style="1634" hidden="1" customWidth="1"/>
    <col min="7171" max="7171" width="15.88671875" style="1634" customWidth="1"/>
    <col min="7172" max="7172" width="7.109375" style="1634" customWidth="1"/>
    <col min="7173" max="7173" width="5.21875" style="1634" customWidth="1"/>
    <col min="7174" max="7174" width="14" style="1634" customWidth="1"/>
    <col min="7175" max="7175" width="9" style="1634" customWidth="1"/>
    <col min="7176" max="7176" width="24.109375" style="1634" customWidth="1"/>
    <col min="7177" max="7177" width="26.33203125" style="1634" customWidth="1"/>
    <col min="7178" max="7179" width="15.88671875" style="1634" customWidth="1"/>
    <col min="7180" max="7180" width="7.109375" style="1634" customWidth="1"/>
    <col min="7181" max="7181" width="9" style="1634" customWidth="1"/>
    <col min="7182" max="7182" width="36.88671875" style="1634" customWidth="1"/>
    <col min="7183" max="7183" width="44.21875" style="1634" customWidth="1"/>
    <col min="7184" max="7184" width="11.33203125" style="1634" customWidth="1"/>
    <col min="7185" max="7186" width="17.77734375" style="1634" customWidth="1"/>
    <col min="7187" max="7187" width="73.77734375" style="1634" customWidth="1"/>
    <col min="7188" max="7188" width="57.21875" style="1634" customWidth="1"/>
    <col min="7189" max="7189" width="28" style="1634" customWidth="1"/>
    <col min="7190" max="7190" width="20.33203125" style="1634" customWidth="1"/>
    <col min="7191" max="7191" width="9" style="1634" customWidth="1"/>
    <col min="7192" max="7195" width="10.21875" style="1634" customWidth="1"/>
    <col min="7196" max="7196" width="23.44140625" style="1634" customWidth="1"/>
    <col min="7197" max="7197" width="9" style="1634" customWidth="1"/>
    <col min="7198" max="7198" width="92.1093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28" style="1634" customWidth="1"/>
    <col min="7210" max="7210" width="19.21875" style="1634" customWidth="1"/>
    <col min="7211" max="7212" width="23" style="1634" customWidth="1"/>
    <col min="7213" max="7213" width="9" style="1634" customWidth="1"/>
    <col min="7214" max="7424" width="8.88671875" style="1634"/>
    <col min="7425" max="7425" width="62.88671875" style="1634" customWidth="1"/>
    <col min="7426" max="7426" width="0" style="1634" hidden="1" customWidth="1"/>
    <col min="7427" max="7427" width="15.88671875" style="1634" customWidth="1"/>
    <col min="7428" max="7428" width="7.109375" style="1634" customWidth="1"/>
    <col min="7429" max="7429" width="5.21875" style="1634" customWidth="1"/>
    <col min="7430" max="7430" width="14" style="1634" customWidth="1"/>
    <col min="7431" max="7431" width="9" style="1634" customWidth="1"/>
    <col min="7432" max="7432" width="24.109375" style="1634" customWidth="1"/>
    <col min="7433" max="7433" width="26.33203125" style="1634" customWidth="1"/>
    <col min="7434" max="7435" width="15.88671875" style="1634" customWidth="1"/>
    <col min="7436" max="7436" width="7.109375" style="1634" customWidth="1"/>
    <col min="7437" max="7437" width="9" style="1634" customWidth="1"/>
    <col min="7438" max="7438" width="36.88671875" style="1634" customWidth="1"/>
    <col min="7439" max="7439" width="44.21875" style="1634" customWidth="1"/>
    <col min="7440" max="7440" width="11.33203125" style="1634" customWidth="1"/>
    <col min="7441" max="7442" width="17.77734375" style="1634" customWidth="1"/>
    <col min="7443" max="7443" width="73.77734375" style="1634" customWidth="1"/>
    <col min="7444" max="7444" width="57.21875" style="1634" customWidth="1"/>
    <col min="7445" max="7445" width="28" style="1634" customWidth="1"/>
    <col min="7446" max="7446" width="20.33203125" style="1634" customWidth="1"/>
    <col min="7447" max="7447" width="9" style="1634" customWidth="1"/>
    <col min="7448" max="7451" width="10.21875" style="1634" customWidth="1"/>
    <col min="7452" max="7452" width="23.44140625" style="1634" customWidth="1"/>
    <col min="7453" max="7453" width="9" style="1634" customWidth="1"/>
    <col min="7454" max="7454" width="92.1093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28" style="1634" customWidth="1"/>
    <col min="7466" max="7466" width="19.21875" style="1634" customWidth="1"/>
    <col min="7467" max="7468" width="23" style="1634" customWidth="1"/>
    <col min="7469" max="7469" width="9" style="1634" customWidth="1"/>
    <col min="7470" max="7680" width="8.88671875" style="1634"/>
    <col min="7681" max="7681" width="62.88671875" style="1634" customWidth="1"/>
    <col min="7682" max="7682" width="0" style="1634" hidden="1" customWidth="1"/>
    <col min="7683" max="7683" width="15.88671875" style="1634" customWidth="1"/>
    <col min="7684" max="7684" width="7.109375" style="1634" customWidth="1"/>
    <col min="7685" max="7685" width="5.21875" style="1634" customWidth="1"/>
    <col min="7686" max="7686" width="14" style="1634" customWidth="1"/>
    <col min="7687" max="7687" width="9" style="1634" customWidth="1"/>
    <col min="7688" max="7688" width="24.109375" style="1634" customWidth="1"/>
    <col min="7689" max="7689" width="26.33203125" style="1634" customWidth="1"/>
    <col min="7690" max="7691" width="15.88671875" style="1634" customWidth="1"/>
    <col min="7692" max="7692" width="7.109375" style="1634" customWidth="1"/>
    <col min="7693" max="7693" width="9" style="1634" customWidth="1"/>
    <col min="7694" max="7694" width="36.88671875" style="1634" customWidth="1"/>
    <col min="7695" max="7695" width="44.21875" style="1634" customWidth="1"/>
    <col min="7696" max="7696" width="11.33203125" style="1634" customWidth="1"/>
    <col min="7697" max="7698" width="17.77734375" style="1634" customWidth="1"/>
    <col min="7699" max="7699" width="73.77734375" style="1634" customWidth="1"/>
    <col min="7700" max="7700" width="57.21875" style="1634" customWidth="1"/>
    <col min="7701" max="7701" width="28" style="1634" customWidth="1"/>
    <col min="7702" max="7702" width="20.33203125" style="1634" customWidth="1"/>
    <col min="7703" max="7703" width="9" style="1634" customWidth="1"/>
    <col min="7704" max="7707" width="10.21875" style="1634" customWidth="1"/>
    <col min="7708" max="7708" width="23.44140625" style="1634" customWidth="1"/>
    <col min="7709" max="7709" width="9" style="1634" customWidth="1"/>
    <col min="7710" max="7710" width="92.1093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28" style="1634" customWidth="1"/>
    <col min="7722" max="7722" width="19.21875" style="1634" customWidth="1"/>
    <col min="7723" max="7724" width="23" style="1634" customWidth="1"/>
    <col min="7725" max="7725" width="9" style="1634" customWidth="1"/>
    <col min="7726" max="7936" width="8.88671875" style="1634"/>
    <col min="7937" max="7937" width="62.88671875" style="1634" customWidth="1"/>
    <col min="7938" max="7938" width="0" style="1634" hidden="1" customWidth="1"/>
    <col min="7939" max="7939" width="15.88671875" style="1634" customWidth="1"/>
    <col min="7940" max="7940" width="7.109375" style="1634" customWidth="1"/>
    <col min="7941" max="7941" width="5.21875" style="1634" customWidth="1"/>
    <col min="7942" max="7942" width="14" style="1634" customWidth="1"/>
    <col min="7943" max="7943" width="9" style="1634" customWidth="1"/>
    <col min="7944" max="7944" width="24.109375" style="1634" customWidth="1"/>
    <col min="7945" max="7945" width="26.33203125" style="1634" customWidth="1"/>
    <col min="7946" max="7947" width="15.88671875" style="1634" customWidth="1"/>
    <col min="7948" max="7948" width="7.109375" style="1634" customWidth="1"/>
    <col min="7949" max="7949" width="9" style="1634" customWidth="1"/>
    <col min="7950" max="7950" width="36.88671875" style="1634" customWidth="1"/>
    <col min="7951" max="7951" width="44.21875" style="1634" customWidth="1"/>
    <col min="7952" max="7952" width="11.33203125" style="1634" customWidth="1"/>
    <col min="7953" max="7954" width="17.77734375" style="1634" customWidth="1"/>
    <col min="7955" max="7955" width="73.77734375" style="1634" customWidth="1"/>
    <col min="7956" max="7956" width="57.21875" style="1634" customWidth="1"/>
    <col min="7957" max="7957" width="28" style="1634" customWidth="1"/>
    <col min="7958" max="7958" width="20.33203125" style="1634" customWidth="1"/>
    <col min="7959" max="7959" width="9" style="1634" customWidth="1"/>
    <col min="7960" max="7963" width="10.21875" style="1634" customWidth="1"/>
    <col min="7964" max="7964" width="23.44140625" style="1634" customWidth="1"/>
    <col min="7965" max="7965" width="9" style="1634" customWidth="1"/>
    <col min="7966" max="7966" width="92.1093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28" style="1634" customWidth="1"/>
    <col min="7978" max="7978" width="19.21875" style="1634" customWidth="1"/>
    <col min="7979" max="7980" width="23" style="1634" customWidth="1"/>
    <col min="7981" max="7981" width="9" style="1634" customWidth="1"/>
    <col min="7982" max="8192" width="8.88671875" style="1634"/>
    <col min="8193" max="8193" width="62.88671875" style="1634" customWidth="1"/>
    <col min="8194" max="8194" width="0" style="1634" hidden="1" customWidth="1"/>
    <col min="8195" max="8195" width="15.88671875" style="1634" customWidth="1"/>
    <col min="8196" max="8196" width="7.109375" style="1634" customWidth="1"/>
    <col min="8197" max="8197" width="5.21875" style="1634" customWidth="1"/>
    <col min="8198" max="8198" width="14" style="1634" customWidth="1"/>
    <col min="8199" max="8199" width="9" style="1634" customWidth="1"/>
    <col min="8200" max="8200" width="24.109375" style="1634" customWidth="1"/>
    <col min="8201" max="8201" width="26.33203125" style="1634" customWidth="1"/>
    <col min="8202" max="8203" width="15.88671875" style="1634" customWidth="1"/>
    <col min="8204" max="8204" width="7.109375" style="1634" customWidth="1"/>
    <col min="8205" max="8205" width="9" style="1634" customWidth="1"/>
    <col min="8206" max="8206" width="36.88671875" style="1634" customWidth="1"/>
    <col min="8207" max="8207" width="44.21875" style="1634" customWidth="1"/>
    <col min="8208" max="8208" width="11.33203125" style="1634" customWidth="1"/>
    <col min="8209" max="8210" width="17.77734375" style="1634" customWidth="1"/>
    <col min="8211" max="8211" width="73.77734375" style="1634" customWidth="1"/>
    <col min="8212" max="8212" width="57.21875" style="1634" customWidth="1"/>
    <col min="8213" max="8213" width="28" style="1634" customWidth="1"/>
    <col min="8214" max="8214" width="20.33203125" style="1634" customWidth="1"/>
    <col min="8215" max="8215" width="9" style="1634" customWidth="1"/>
    <col min="8216" max="8219" width="10.21875" style="1634" customWidth="1"/>
    <col min="8220" max="8220" width="23.44140625" style="1634" customWidth="1"/>
    <col min="8221" max="8221" width="9" style="1634" customWidth="1"/>
    <col min="8222" max="8222" width="92.1093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28" style="1634" customWidth="1"/>
    <col min="8234" max="8234" width="19.21875" style="1634" customWidth="1"/>
    <col min="8235" max="8236" width="23" style="1634" customWidth="1"/>
    <col min="8237" max="8237" width="9" style="1634" customWidth="1"/>
    <col min="8238" max="8448" width="8.88671875" style="1634"/>
    <col min="8449" max="8449" width="62.88671875" style="1634" customWidth="1"/>
    <col min="8450" max="8450" width="0" style="1634" hidden="1" customWidth="1"/>
    <col min="8451" max="8451" width="15.88671875" style="1634" customWidth="1"/>
    <col min="8452" max="8452" width="7.109375" style="1634" customWidth="1"/>
    <col min="8453" max="8453" width="5.21875" style="1634" customWidth="1"/>
    <col min="8454" max="8454" width="14" style="1634" customWidth="1"/>
    <col min="8455" max="8455" width="9" style="1634" customWidth="1"/>
    <col min="8456" max="8456" width="24.109375" style="1634" customWidth="1"/>
    <col min="8457" max="8457" width="26.33203125" style="1634" customWidth="1"/>
    <col min="8458" max="8459" width="15.88671875" style="1634" customWidth="1"/>
    <col min="8460" max="8460" width="7.109375" style="1634" customWidth="1"/>
    <col min="8461" max="8461" width="9" style="1634" customWidth="1"/>
    <col min="8462" max="8462" width="36.88671875" style="1634" customWidth="1"/>
    <col min="8463" max="8463" width="44.21875" style="1634" customWidth="1"/>
    <col min="8464" max="8464" width="11.33203125" style="1634" customWidth="1"/>
    <col min="8465" max="8466" width="17.77734375" style="1634" customWidth="1"/>
    <col min="8467" max="8467" width="73.77734375" style="1634" customWidth="1"/>
    <col min="8468" max="8468" width="57.21875" style="1634" customWidth="1"/>
    <col min="8469" max="8469" width="28" style="1634" customWidth="1"/>
    <col min="8470" max="8470" width="20.33203125" style="1634" customWidth="1"/>
    <col min="8471" max="8471" width="9" style="1634" customWidth="1"/>
    <col min="8472" max="8475" width="10.21875" style="1634" customWidth="1"/>
    <col min="8476" max="8476" width="23.44140625" style="1634" customWidth="1"/>
    <col min="8477" max="8477" width="9" style="1634" customWidth="1"/>
    <col min="8478" max="8478" width="92.1093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28" style="1634" customWidth="1"/>
    <col min="8490" max="8490" width="19.21875" style="1634" customWidth="1"/>
    <col min="8491" max="8492" width="23" style="1634" customWidth="1"/>
    <col min="8493" max="8493" width="9" style="1634" customWidth="1"/>
    <col min="8494" max="8704" width="8.88671875" style="1634"/>
    <col min="8705" max="8705" width="62.88671875" style="1634" customWidth="1"/>
    <col min="8706" max="8706" width="0" style="1634" hidden="1" customWidth="1"/>
    <col min="8707" max="8707" width="15.88671875" style="1634" customWidth="1"/>
    <col min="8708" max="8708" width="7.109375" style="1634" customWidth="1"/>
    <col min="8709" max="8709" width="5.21875" style="1634" customWidth="1"/>
    <col min="8710" max="8710" width="14" style="1634" customWidth="1"/>
    <col min="8711" max="8711" width="9" style="1634" customWidth="1"/>
    <col min="8712" max="8712" width="24.109375" style="1634" customWidth="1"/>
    <col min="8713" max="8713" width="26.33203125" style="1634" customWidth="1"/>
    <col min="8714" max="8715" width="15.88671875" style="1634" customWidth="1"/>
    <col min="8716" max="8716" width="7.109375" style="1634" customWidth="1"/>
    <col min="8717" max="8717" width="9" style="1634" customWidth="1"/>
    <col min="8718" max="8718" width="36.88671875" style="1634" customWidth="1"/>
    <col min="8719" max="8719" width="44.21875" style="1634" customWidth="1"/>
    <col min="8720" max="8720" width="11.33203125" style="1634" customWidth="1"/>
    <col min="8721" max="8722" width="17.77734375" style="1634" customWidth="1"/>
    <col min="8723" max="8723" width="73.77734375" style="1634" customWidth="1"/>
    <col min="8724" max="8724" width="57.21875" style="1634" customWidth="1"/>
    <col min="8725" max="8725" width="28" style="1634" customWidth="1"/>
    <col min="8726" max="8726" width="20.33203125" style="1634" customWidth="1"/>
    <col min="8727" max="8727" width="9" style="1634" customWidth="1"/>
    <col min="8728" max="8731" width="10.21875" style="1634" customWidth="1"/>
    <col min="8732" max="8732" width="23.44140625" style="1634" customWidth="1"/>
    <col min="8733" max="8733" width="9" style="1634" customWidth="1"/>
    <col min="8734" max="8734" width="92.1093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28" style="1634" customWidth="1"/>
    <col min="8746" max="8746" width="19.21875" style="1634" customWidth="1"/>
    <col min="8747" max="8748" width="23" style="1634" customWidth="1"/>
    <col min="8749" max="8749" width="9" style="1634" customWidth="1"/>
    <col min="8750" max="8960" width="8.88671875" style="1634"/>
    <col min="8961" max="8961" width="62.88671875" style="1634" customWidth="1"/>
    <col min="8962" max="8962" width="0" style="1634" hidden="1" customWidth="1"/>
    <col min="8963" max="8963" width="15.88671875" style="1634" customWidth="1"/>
    <col min="8964" max="8964" width="7.109375" style="1634" customWidth="1"/>
    <col min="8965" max="8965" width="5.21875" style="1634" customWidth="1"/>
    <col min="8966" max="8966" width="14" style="1634" customWidth="1"/>
    <col min="8967" max="8967" width="9" style="1634" customWidth="1"/>
    <col min="8968" max="8968" width="24.109375" style="1634" customWidth="1"/>
    <col min="8969" max="8969" width="26.33203125" style="1634" customWidth="1"/>
    <col min="8970" max="8971" width="15.88671875" style="1634" customWidth="1"/>
    <col min="8972" max="8972" width="7.109375" style="1634" customWidth="1"/>
    <col min="8973" max="8973" width="9" style="1634" customWidth="1"/>
    <col min="8974" max="8974" width="36.88671875" style="1634" customWidth="1"/>
    <col min="8975" max="8975" width="44.21875" style="1634" customWidth="1"/>
    <col min="8976" max="8976" width="11.33203125" style="1634" customWidth="1"/>
    <col min="8977" max="8978" width="17.77734375" style="1634" customWidth="1"/>
    <col min="8979" max="8979" width="73.77734375" style="1634" customWidth="1"/>
    <col min="8980" max="8980" width="57.21875" style="1634" customWidth="1"/>
    <col min="8981" max="8981" width="28" style="1634" customWidth="1"/>
    <col min="8982" max="8982" width="20.33203125" style="1634" customWidth="1"/>
    <col min="8983" max="8983" width="9" style="1634" customWidth="1"/>
    <col min="8984" max="8987" width="10.21875" style="1634" customWidth="1"/>
    <col min="8988" max="8988" width="23.44140625" style="1634" customWidth="1"/>
    <col min="8989" max="8989" width="9" style="1634" customWidth="1"/>
    <col min="8990" max="8990" width="92.1093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28" style="1634" customWidth="1"/>
    <col min="9002" max="9002" width="19.21875" style="1634" customWidth="1"/>
    <col min="9003" max="9004" width="23" style="1634" customWidth="1"/>
    <col min="9005" max="9005" width="9" style="1634" customWidth="1"/>
    <col min="9006" max="9216" width="8.88671875" style="1634"/>
    <col min="9217" max="9217" width="62.88671875" style="1634" customWidth="1"/>
    <col min="9218" max="9218" width="0" style="1634" hidden="1" customWidth="1"/>
    <col min="9219" max="9219" width="15.88671875" style="1634" customWidth="1"/>
    <col min="9220" max="9220" width="7.109375" style="1634" customWidth="1"/>
    <col min="9221" max="9221" width="5.21875" style="1634" customWidth="1"/>
    <col min="9222" max="9222" width="14" style="1634" customWidth="1"/>
    <col min="9223" max="9223" width="9" style="1634" customWidth="1"/>
    <col min="9224" max="9224" width="24.109375" style="1634" customWidth="1"/>
    <col min="9225" max="9225" width="26.33203125" style="1634" customWidth="1"/>
    <col min="9226" max="9227" width="15.88671875" style="1634" customWidth="1"/>
    <col min="9228" max="9228" width="7.109375" style="1634" customWidth="1"/>
    <col min="9229" max="9229" width="9" style="1634" customWidth="1"/>
    <col min="9230" max="9230" width="36.88671875" style="1634" customWidth="1"/>
    <col min="9231" max="9231" width="44.21875" style="1634" customWidth="1"/>
    <col min="9232" max="9232" width="11.33203125" style="1634" customWidth="1"/>
    <col min="9233" max="9234" width="17.77734375" style="1634" customWidth="1"/>
    <col min="9235" max="9235" width="73.77734375" style="1634" customWidth="1"/>
    <col min="9236" max="9236" width="57.21875" style="1634" customWidth="1"/>
    <col min="9237" max="9237" width="28" style="1634" customWidth="1"/>
    <col min="9238" max="9238" width="20.33203125" style="1634" customWidth="1"/>
    <col min="9239" max="9239" width="9" style="1634" customWidth="1"/>
    <col min="9240" max="9243" width="10.21875" style="1634" customWidth="1"/>
    <col min="9244" max="9244" width="23.44140625" style="1634" customWidth="1"/>
    <col min="9245" max="9245" width="9" style="1634" customWidth="1"/>
    <col min="9246" max="9246" width="92.1093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28" style="1634" customWidth="1"/>
    <col min="9258" max="9258" width="19.21875" style="1634" customWidth="1"/>
    <col min="9259" max="9260" width="23" style="1634" customWidth="1"/>
    <col min="9261" max="9261" width="9" style="1634" customWidth="1"/>
    <col min="9262" max="9472" width="8.88671875" style="1634"/>
    <col min="9473" max="9473" width="62.88671875" style="1634" customWidth="1"/>
    <col min="9474" max="9474" width="0" style="1634" hidden="1" customWidth="1"/>
    <col min="9475" max="9475" width="15.88671875" style="1634" customWidth="1"/>
    <col min="9476" max="9476" width="7.109375" style="1634" customWidth="1"/>
    <col min="9477" max="9477" width="5.21875" style="1634" customWidth="1"/>
    <col min="9478" max="9478" width="14" style="1634" customWidth="1"/>
    <col min="9479" max="9479" width="9" style="1634" customWidth="1"/>
    <col min="9480" max="9480" width="24.109375" style="1634" customWidth="1"/>
    <col min="9481" max="9481" width="26.33203125" style="1634" customWidth="1"/>
    <col min="9482" max="9483" width="15.88671875" style="1634" customWidth="1"/>
    <col min="9484" max="9484" width="7.109375" style="1634" customWidth="1"/>
    <col min="9485" max="9485" width="9" style="1634" customWidth="1"/>
    <col min="9486" max="9486" width="36.88671875" style="1634" customWidth="1"/>
    <col min="9487" max="9487" width="44.21875" style="1634" customWidth="1"/>
    <col min="9488" max="9488" width="11.33203125" style="1634" customWidth="1"/>
    <col min="9489" max="9490" width="17.77734375" style="1634" customWidth="1"/>
    <col min="9491" max="9491" width="73.77734375" style="1634" customWidth="1"/>
    <col min="9492" max="9492" width="57.21875" style="1634" customWidth="1"/>
    <col min="9493" max="9493" width="28" style="1634" customWidth="1"/>
    <col min="9494" max="9494" width="20.33203125" style="1634" customWidth="1"/>
    <col min="9495" max="9495" width="9" style="1634" customWidth="1"/>
    <col min="9496" max="9499" width="10.21875" style="1634" customWidth="1"/>
    <col min="9500" max="9500" width="23.44140625" style="1634" customWidth="1"/>
    <col min="9501" max="9501" width="9" style="1634" customWidth="1"/>
    <col min="9502" max="9502" width="92.1093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28" style="1634" customWidth="1"/>
    <col min="9514" max="9514" width="19.21875" style="1634" customWidth="1"/>
    <col min="9515" max="9516" width="23" style="1634" customWidth="1"/>
    <col min="9517" max="9517" width="9" style="1634" customWidth="1"/>
    <col min="9518" max="9728" width="8.88671875" style="1634"/>
    <col min="9729" max="9729" width="62.88671875" style="1634" customWidth="1"/>
    <col min="9730" max="9730" width="0" style="1634" hidden="1" customWidth="1"/>
    <col min="9731" max="9731" width="15.88671875" style="1634" customWidth="1"/>
    <col min="9732" max="9732" width="7.109375" style="1634" customWidth="1"/>
    <col min="9733" max="9733" width="5.21875" style="1634" customWidth="1"/>
    <col min="9734" max="9734" width="14" style="1634" customWidth="1"/>
    <col min="9735" max="9735" width="9" style="1634" customWidth="1"/>
    <col min="9736" max="9736" width="24.109375" style="1634" customWidth="1"/>
    <col min="9737" max="9737" width="26.33203125" style="1634" customWidth="1"/>
    <col min="9738" max="9739" width="15.88671875" style="1634" customWidth="1"/>
    <col min="9740" max="9740" width="7.109375" style="1634" customWidth="1"/>
    <col min="9741" max="9741" width="9" style="1634" customWidth="1"/>
    <col min="9742" max="9742" width="36.88671875" style="1634" customWidth="1"/>
    <col min="9743" max="9743" width="44.21875" style="1634" customWidth="1"/>
    <col min="9744" max="9744" width="11.33203125" style="1634" customWidth="1"/>
    <col min="9745" max="9746" width="17.77734375" style="1634" customWidth="1"/>
    <col min="9747" max="9747" width="73.77734375" style="1634" customWidth="1"/>
    <col min="9748" max="9748" width="57.21875" style="1634" customWidth="1"/>
    <col min="9749" max="9749" width="28" style="1634" customWidth="1"/>
    <col min="9750" max="9750" width="20.33203125" style="1634" customWidth="1"/>
    <col min="9751" max="9751" width="9" style="1634" customWidth="1"/>
    <col min="9752" max="9755" width="10.21875" style="1634" customWidth="1"/>
    <col min="9756" max="9756" width="23.44140625" style="1634" customWidth="1"/>
    <col min="9757" max="9757" width="9" style="1634" customWidth="1"/>
    <col min="9758" max="9758" width="92.1093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28" style="1634" customWidth="1"/>
    <col min="9770" max="9770" width="19.21875" style="1634" customWidth="1"/>
    <col min="9771" max="9772" width="23" style="1634" customWidth="1"/>
    <col min="9773" max="9773" width="9" style="1634" customWidth="1"/>
    <col min="9774" max="9984" width="8.88671875" style="1634"/>
    <col min="9985" max="9985" width="62.88671875" style="1634" customWidth="1"/>
    <col min="9986" max="9986" width="0" style="1634" hidden="1" customWidth="1"/>
    <col min="9987" max="9987" width="15.88671875" style="1634" customWidth="1"/>
    <col min="9988" max="9988" width="7.109375" style="1634" customWidth="1"/>
    <col min="9989" max="9989" width="5.21875" style="1634" customWidth="1"/>
    <col min="9990" max="9990" width="14" style="1634" customWidth="1"/>
    <col min="9991" max="9991" width="9" style="1634" customWidth="1"/>
    <col min="9992" max="9992" width="24.109375" style="1634" customWidth="1"/>
    <col min="9993" max="9993" width="26.33203125" style="1634" customWidth="1"/>
    <col min="9994" max="9995" width="15.88671875" style="1634" customWidth="1"/>
    <col min="9996" max="9996" width="7.109375" style="1634" customWidth="1"/>
    <col min="9997" max="9997" width="9" style="1634" customWidth="1"/>
    <col min="9998" max="9998" width="36.88671875" style="1634" customWidth="1"/>
    <col min="9999" max="9999" width="44.21875" style="1634" customWidth="1"/>
    <col min="10000" max="10000" width="11.33203125" style="1634" customWidth="1"/>
    <col min="10001" max="10002" width="17.77734375" style="1634" customWidth="1"/>
    <col min="10003" max="10003" width="73.77734375" style="1634" customWidth="1"/>
    <col min="10004" max="10004" width="57.21875" style="1634" customWidth="1"/>
    <col min="10005" max="10005" width="28" style="1634" customWidth="1"/>
    <col min="10006" max="10006" width="20.33203125" style="1634" customWidth="1"/>
    <col min="10007" max="10007" width="9" style="1634" customWidth="1"/>
    <col min="10008" max="10011" width="10.21875" style="1634" customWidth="1"/>
    <col min="10012" max="10012" width="23.44140625" style="1634" customWidth="1"/>
    <col min="10013" max="10013" width="9" style="1634" customWidth="1"/>
    <col min="10014" max="10014" width="92.1093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28" style="1634" customWidth="1"/>
    <col min="10026" max="10026" width="19.21875" style="1634" customWidth="1"/>
    <col min="10027" max="10028" width="23" style="1634" customWidth="1"/>
    <col min="10029" max="10029" width="9" style="1634" customWidth="1"/>
    <col min="10030" max="10240" width="8.88671875" style="1634"/>
    <col min="10241" max="10241" width="62.88671875" style="1634" customWidth="1"/>
    <col min="10242" max="10242" width="0" style="1634" hidden="1" customWidth="1"/>
    <col min="10243" max="10243" width="15.88671875" style="1634" customWidth="1"/>
    <col min="10244" max="10244" width="7.109375" style="1634" customWidth="1"/>
    <col min="10245" max="10245" width="5.21875" style="1634" customWidth="1"/>
    <col min="10246" max="10246" width="14" style="1634" customWidth="1"/>
    <col min="10247" max="10247" width="9" style="1634" customWidth="1"/>
    <col min="10248" max="10248" width="24.109375" style="1634" customWidth="1"/>
    <col min="10249" max="10249" width="26.33203125" style="1634" customWidth="1"/>
    <col min="10250" max="10251" width="15.88671875" style="1634" customWidth="1"/>
    <col min="10252" max="10252" width="7.109375" style="1634" customWidth="1"/>
    <col min="10253" max="10253" width="9" style="1634" customWidth="1"/>
    <col min="10254" max="10254" width="36.88671875" style="1634" customWidth="1"/>
    <col min="10255" max="10255" width="44.21875" style="1634" customWidth="1"/>
    <col min="10256" max="10256" width="11.33203125" style="1634" customWidth="1"/>
    <col min="10257" max="10258" width="17.77734375" style="1634" customWidth="1"/>
    <col min="10259" max="10259" width="73.77734375" style="1634" customWidth="1"/>
    <col min="10260" max="10260" width="57.21875" style="1634" customWidth="1"/>
    <col min="10261" max="10261" width="28" style="1634" customWidth="1"/>
    <col min="10262" max="10262" width="20.33203125" style="1634" customWidth="1"/>
    <col min="10263" max="10263" width="9" style="1634" customWidth="1"/>
    <col min="10264" max="10267" width="10.21875" style="1634" customWidth="1"/>
    <col min="10268" max="10268" width="23.44140625" style="1634" customWidth="1"/>
    <col min="10269" max="10269" width="9" style="1634" customWidth="1"/>
    <col min="10270" max="10270" width="92.1093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28" style="1634" customWidth="1"/>
    <col min="10282" max="10282" width="19.21875" style="1634" customWidth="1"/>
    <col min="10283" max="10284" width="23" style="1634" customWidth="1"/>
    <col min="10285" max="10285" width="9" style="1634" customWidth="1"/>
    <col min="10286" max="10496" width="8.88671875" style="1634"/>
    <col min="10497" max="10497" width="62.88671875" style="1634" customWidth="1"/>
    <col min="10498" max="10498" width="0" style="1634" hidden="1" customWidth="1"/>
    <col min="10499" max="10499" width="15.88671875" style="1634" customWidth="1"/>
    <col min="10500" max="10500" width="7.109375" style="1634" customWidth="1"/>
    <col min="10501" max="10501" width="5.21875" style="1634" customWidth="1"/>
    <col min="10502" max="10502" width="14" style="1634" customWidth="1"/>
    <col min="10503" max="10503" width="9" style="1634" customWidth="1"/>
    <col min="10504" max="10504" width="24.109375" style="1634" customWidth="1"/>
    <col min="10505" max="10505" width="26.33203125" style="1634" customWidth="1"/>
    <col min="10506" max="10507" width="15.88671875" style="1634" customWidth="1"/>
    <col min="10508" max="10508" width="7.109375" style="1634" customWidth="1"/>
    <col min="10509" max="10509" width="9" style="1634" customWidth="1"/>
    <col min="10510" max="10510" width="36.88671875" style="1634" customWidth="1"/>
    <col min="10511" max="10511" width="44.21875" style="1634" customWidth="1"/>
    <col min="10512" max="10512" width="11.33203125" style="1634" customWidth="1"/>
    <col min="10513" max="10514" width="17.77734375" style="1634" customWidth="1"/>
    <col min="10515" max="10515" width="73.77734375" style="1634" customWidth="1"/>
    <col min="10516" max="10516" width="57.21875" style="1634" customWidth="1"/>
    <col min="10517" max="10517" width="28" style="1634" customWidth="1"/>
    <col min="10518" max="10518" width="20.33203125" style="1634" customWidth="1"/>
    <col min="10519" max="10519" width="9" style="1634" customWidth="1"/>
    <col min="10520" max="10523" width="10.21875" style="1634" customWidth="1"/>
    <col min="10524" max="10524" width="23.44140625" style="1634" customWidth="1"/>
    <col min="10525" max="10525" width="9" style="1634" customWidth="1"/>
    <col min="10526" max="10526" width="92.1093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28" style="1634" customWidth="1"/>
    <col min="10538" max="10538" width="19.21875" style="1634" customWidth="1"/>
    <col min="10539" max="10540" width="23" style="1634" customWidth="1"/>
    <col min="10541" max="10541" width="9" style="1634" customWidth="1"/>
    <col min="10542" max="10752" width="8.88671875" style="1634"/>
    <col min="10753" max="10753" width="62.88671875" style="1634" customWidth="1"/>
    <col min="10754" max="10754" width="0" style="1634" hidden="1" customWidth="1"/>
    <col min="10755" max="10755" width="15.88671875" style="1634" customWidth="1"/>
    <col min="10756" max="10756" width="7.109375" style="1634" customWidth="1"/>
    <col min="10757" max="10757" width="5.21875" style="1634" customWidth="1"/>
    <col min="10758" max="10758" width="14" style="1634" customWidth="1"/>
    <col min="10759" max="10759" width="9" style="1634" customWidth="1"/>
    <col min="10760" max="10760" width="24.109375" style="1634" customWidth="1"/>
    <col min="10761" max="10761" width="26.33203125" style="1634" customWidth="1"/>
    <col min="10762" max="10763" width="15.88671875" style="1634" customWidth="1"/>
    <col min="10764" max="10764" width="7.109375" style="1634" customWidth="1"/>
    <col min="10765" max="10765" width="9" style="1634" customWidth="1"/>
    <col min="10766" max="10766" width="36.88671875" style="1634" customWidth="1"/>
    <col min="10767" max="10767" width="44.21875" style="1634" customWidth="1"/>
    <col min="10768" max="10768" width="11.33203125" style="1634" customWidth="1"/>
    <col min="10769" max="10770" width="17.77734375" style="1634" customWidth="1"/>
    <col min="10771" max="10771" width="73.77734375" style="1634" customWidth="1"/>
    <col min="10772" max="10772" width="57.21875" style="1634" customWidth="1"/>
    <col min="10773" max="10773" width="28" style="1634" customWidth="1"/>
    <col min="10774" max="10774" width="20.33203125" style="1634" customWidth="1"/>
    <col min="10775" max="10775" width="9" style="1634" customWidth="1"/>
    <col min="10776" max="10779" width="10.21875" style="1634" customWidth="1"/>
    <col min="10780" max="10780" width="23.44140625" style="1634" customWidth="1"/>
    <col min="10781" max="10781" width="9" style="1634" customWidth="1"/>
    <col min="10782" max="10782" width="92.1093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28" style="1634" customWidth="1"/>
    <col min="10794" max="10794" width="19.21875" style="1634" customWidth="1"/>
    <col min="10795" max="10796" width="23" style="1634" customWidth="1"/>
    <col min="10797" max="10797" width="9" style="1634" customWidth="1"/>
    <col min="10798" max="11008" width="8.88671875" style="1634"/>
    <col min="11009" max="11009" width="62.88671875" style="1634" customWidth="1"/>
    <col min="11010" max="11010" width="0" style="1634" hidden="1" customWidth="1"/>
    <col min="11011" max="11011" width="15.88671875" style="1634" customWidth="1"/>
    <col min="11012" max="11012" width="7.109375" style="1634" customWidth="1"/>
    <col min="11013" max="11013" width="5.21875" style="1634" customWidth="1"/>
    <col min="11014" max="11014" width="14" style="1634" customWidth="1"/>
    <col min="11015" max="11015" width="9" style="1634" customWidth="1"/>
    <col min="11016" max="11016" width="24.109375" style="1634" customWidth="1"/>
    <col min="11017" max="11017" width="26.33203125" style="1634" customWidth="1"/>
    <col min="11018" max="11019" width="15.88671875" style="1634" customWidth="1"/>
    <col min="11020" max="11020" width="7.109375" style="1634" customWidth="1"/>
    <col min="11021" max="11021" width="9" style="1634" customWidth="1"/>
    <col min="11022" max="11022" width="36.88671875" style="1634" customWidth="1"/>
    <col min="11023" max="11023" width="44.21875" style="1634" customWidth="1"/>
    <col min="11024" max="11024" width="11.33203125" style="1634" customWidth="1"/>
    <col min="11025" max="11026" width="17.77734375" style="1634" customWidth="1"/>
    <col min="11027" max="11027" width="73.77734375" style="1634" customWidth="1"/>
    <col min="11028" max="11028" width="57.21875" style="1634" customWidth="1"/>
    <col min="11029" max="11029" width="28" style="1634" customWidth="1"/>
    <col min="11030" max="11030" width="20.33203125" style="1634" customWidth="1"/>
    <col min="11031" max="11031" width="9" style="1634" customWidth="1"/>
    <col min="11032" max="11035" width="10.21875" style="1634" customWidth="1"/>
    <col min="11036" max="11036" width="23.44140625" style="1634" customWidth="1"/>
    <col min="11037" max="11037" width="9" style="1634" customWidth="1"/>
    <col min="11038" max="11038" width="92.1093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28" style="1634" customWidth="1"/>
    <col min="11050" max="11050" width="19.21875" style="1634" customWidth="1"/>
    <col min="11051" max="11052" width="23" style="1634" customWidth="1"/>
    <col min="11053" max="11053" width="9" style="1634" customWidth="1"/>
    <col min="11054" max="11264" width="8.88671875" style="1634"/>
    <col min="11265" max="11265" width="62.88671875" style="1634" customWidth="1"/>
    <col min="11266" max="11266" width="0" style="1634" hidden="1" customWidth="1"/>
    <col min="11267" max="11267" width="15.88671875" style="1634" customWidth="1"/>
    <col min="11268" max="11268" width="7.109375" style="1634" customWidth="1"/>
    <col min="11269" max="11269" width="5.21875" style="1634" customWidth="1"/>
    <col min="11270" max="11270" width="14" style="1634" customWidth="1"/>
    <col min="11271" max="11271" width="9" style="1634" customWidth="1"/>
    <col min="11272" max="11272" width="24.109375" style="1634" customWidth="1"/>
    <col min="11273" max="11273" width="26.33203125" style="1634" customWidth="1"/>
    <col min="11274" max="11275" width="15.88671875" style="1634" customWidth="1"/>
    <col min="11276" max="11276" width="7.109375" style="1634" customWidth="1"/>
    <col min="11277" max="11277" width="9" style="1634" customWidth="1"/>
    <col min="11278" max="11278" width="36.88671875" style="1634" customWidth="1"/>
    <col min="11279" max="11279" width="44.21875" style="1634" customWidth="1"/>
    <col min="11280" max="11280" width="11.33203125" style="1634" customWidth="1"/>
    <col min="11281" max="11282" width="17.77734375" style="1634" customWidth="1"/>
    <col min="11283" max="11283" width="73.77734375" style="1634" customWidth="1"/>
    <col min="11284" max="11284" width="57.21875" style="1634" customWidth="1"/>
    <col min="11285" max="11285" width="28" style="1634" customWidth="1"/>
    <col min="11286" max="11286" width="20.33203125" style="1634" customWidth="1"/>
    <col min="11287" max="11287" width="9" style="1634" customWidth="1"/>
    <col min="11288" max="11291" width="10.21875" style="1634" customWidth="1"/>
    <col min="11292" max="11292" width="23.44140625" style="1634" customWidth="1"/>
    <col min="11293" max="11293" width="9" style="1634" customWidth="1"/>
    <col min="11294" max="11294" width="92.1093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28" style="1634" customWidth="1"/>
    <col min="11306" max="11306" width="19.21875" style="1634" customWidth="1"/>
    <col min="11307" max="11308" width="23" style="1634" customWidth="1"/>
    <col min="11309" max="11309" width="9" style="1634" customWidth="1"/>
    <col min="11310" max="11520" width="8.88671875" style="1634"/>
    <col min="11521" max="11521" width="62.88671875" style="1634" customWidth="1"/>
    <col min="11522" max="11522" width="0" style="1634" hidden="1" customWidth="1"/>
    <col min="11523" max="11523" width="15.88671875" style="1634" customWidth="1"/>
    <col min="11524" max="11524" width="7.109375" style="1634" customWidth="1"/>
    <col min="11525" max="11525" width="5.21875" style="1634" customWidth="1"/>
    <col min="11526" max="11526" width="14" style="1634" customWidth="1"/>
    <col min="11527" max="11527" width="9" style="1634" customWidth="1"/>
    <col min="11528" max="11528" width="24.109375" style="1634" customWidth="1"/>
    <col min="11529" max="11529" width="26.33203125" style="1634" customWidth="1"/>
    <col min="11530" max="11531" width="15.88671875" style="1634" customWidth="1"/>
    <col min="11532" max="11532" width="7.109375" style="1634" customWidth="1"/>
    <col min="11533" max="11533" width="9" style="1634" customWidth="1"/>
    <col min="11534" max="11534" width="36.88671875" style="1634" customWidth="1"/>
    <col min="11535" max="11535" width="44.21875" style="1634" customWidth="1"/>
    <col min="11536" max="11536" width="11.33203125" style="1634" customWidth="1"/>
    <col min="11537" max="11538" width="17.77734375" style="1634" customWidth="1"/>
    <col min="11539" max="11539" width="73.77734375" style="1634" customWidth="1"/>
    <col min="11540" max="11540" width="57.21875" style="1634" customWidth="1"/>
    <col min="11541" max="11541" width="28" style="1634" customWidth="1"/>
    <col min="11542" max="11542" width="20.33203125" style="1634" customWidth="1"/>
    <col min="11543" max="11543" width="9" style="1634" customWidth="1"/>
    <col min="11544" max="11547" width="10.21875" style="1634" customWidth="1"/>
    <col min="11548" max="11548" width="23.44140625" style="1634" customWidth="1"/>
    <col min="11549" max="11549" width="9" style="1634" customWidth="1"/>
    <col min="11550" max="11550" width="92.1093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28" style="1634" customWidth="1"/>
    <col min="11562" max="11562" width="19.21875" style="1634" customWidth="1"/>
    <col min="11563" max="11564" width="23" style="1634" customWidth="1"/>
    <col min="11565" max="11565" width="9" style="1634" customWidth="1"/>
    <col min="11566" max="11776" width="8.88671875" style="1634"/>
    <col min="11777" max="11777" width="62.88671875" style="1634" customWidth="1"/>
    <col min="11778" max="11778" width="0" style="1634" hidden="1" customWidth="1"/>
    <col min="11779" max="11779" width="15.88671875" style="1634" customWidth="1"/>
    <col min="11780" max="11780" width="7.109375" style="1634" customWidth="1"/>
    <col min="11781" max="11781" width="5.21875" style="1634" customWidth="1"/>
    <col min="11782" max="11782" width="14" style="1634" customWidth="1"/>
    <col min="11783" max="11783" width="9" style="1634" customWidth="1"/>
    <col min="11784" max="11784" width="24.109375" style="1634" customWidth="1"/>
    <col min="11785" max="11785" width="26.33203125" style="1634" customWidth="1"/>
    <col min="11786" max="11787" width="15.88671875" style="1634" customWidth="1"/>
    <col min="11788" max="11788" width="7.109375" style="1634" customWidth="1"/>
    <col min="11789" max="11789" width="9" style="1634" customWidth="1"/>
    <col min="11790" max="11790" width="36.88671875" style="1634" customWidth="1"/>
    <col min="11791" max="11791" width="44.21875" style="1634" customWidth="1"/>
    <col min="11792" max="11792" width="11.33203125" style="1634" customWidth="1"/>
    <col min="11793" max="11794" width="17.77734375" style="1634" customWidth="1"/>
    <col min="11795" max="11795" width="73.77734375" style="1634" customWidth="1"/>
    <col min="11796" max="11796" width="57.21875" style="1634" customWidth="1"/>
    <col min="11797" max="11797" width="28" style="1634" customWidth="1"/>
    <col min="11798" max="11798" width="20.33203125" style="1634" customWidth="1"/>
    <col min="11799" max="11799" width="9" style="1634" customWidth="1"/>
    <col min="11800" max="11803" width="10.21875" style="1634" customWidth="1"/>
    <col min="11804" max="11804" width="23.44140625" style="1634" customWidth="1"/>
    <col min="11805" max="11805" width="9" style="1634" customWidth="1"/>
    <col min="11806" max="11806" width="92.1093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28" style="1634" customWidth="1"/>
    <col min="11818" max="11818" width="19.21875" style="1634" customWidth="1"/>
    <col min="11819" max="11820" width="23" style="1634" customWidth="1"/>
    <col min="11821" max="11821" width="9" style="1634" customWidth="1"/>
    <col min="11822" max="12032" width="8.88671875" style="1634"/>
    <col min="12033" max="12033" width="62.88671875" style="1634" customWidth="1"/>
    <col min="12034" max="12034" width="0" style="1634" hidden="1" customWidth="1"/>
    <col min="12035" max="12035" width="15.88671875" style="1634" customWidth="1"/>
    <col min="12036" max="12036" width="7.109375" style="1634" customWidth="1"/>
    <col min="12037" max="12037" width="5.21875" style="1634" customWidth="1"/>
    <col min="12038" max="12038" width="14" style="1634" customWidth="1"/>
    <col min="12039" max="12039" width="9" style="1634" customWidth="1"/>
    <col min="12040" max="12040" width="24.109375" style="1634" customWidth="1"/>
    <col min="12041" max="12041" width="26.33203125" style="1634" customWidth="1"/>
    <col min="12042" max="12043" width="15.88671875" style="1634" customWidth="1"/>
    <col min="12044" max="12044" width="7.109375" style="1634" customWidth="1"/>
    <col min="12045" max="12045" width="9" style="1634" customWidth="1"/>
    <col min="12046" max="12046" width="36.88671875" style="1634" customWidth="1"/>
    <col min="12047" max="12047" width="44.21875" style="1634" customWidth="1"/>
    <col min="12048" max="12048" width="11.33203125" style="1634" customWidth="1"/>
    <col min="12049" max="12050" width="17.77734375" style="1634" customWidth="1"/>
    <col min="12051" max="12051" width="73.77734375" style="1634" customWidth="1"/>
    <col min="12052" max="12052" width="57.21875" style="1634" customWidth="1"/>
    <col min="12053" max="12053" width="28" style="1634" customWidth="1"/>
    <col min="12054" max="12054" width="20.33203125" style="1634" customWidth="1"/>
    <col min="12055" max="12055" width="9" style="1634" customWidth="1"/>
    <col min="12056" max="12059" width="10.21875" style="1634" customWidth="1"/>
    <col min="12060" max="12060" width="23.44140625" style="1634" customWidth="1"/>
    <col min="12061" max="12061" width="9" style="1634" customWidth="1"/>
    <col min="12062" max="12062" width="92.1093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28" style="1634" customWidth="1"/>
    <col min="12074" max="12074" width="19.21875" style="1634" customWidth="1"/>
    <col min="12075" max="12076" width="23" style="1634" customWidth="1"/>
    <col min="12077" max="12077" width="9" style="1634" customWidth="1"/>
    <col min="12078" max="12288" width="8.88671875" style="1634"/>
    <col min="12289" max="12289" width="62.88671875" style="1634" customWidth="1"/>
    <col min="12290" max="12290" width="0" style="1634" hidden="1" customWidth="1"/>
    <col min="12291" max="12291" width="15.88671875" style="1634" customWidth="1"/>
    <col min="12292" max="12292" width="7.109375" style="1634" customWidth="1"/>
    <col min="12293" max="12293" width="5.21875" style="1634" customWidth="1"/>
    <col min="12294" max="12294" width="14" style="1634" customWidth="1"/>
    <col min="12295" max="12295" width="9" style="1634" customWidth="1"/>
    <col min="12296" max="12296" width="24.109375" style="1634" customWidth="1"/>
    <col min="12297" max="12297" width="26.33203125" style="1634" customWidth="1"/>
    <col min="12298" max="12299" width="15.88671875" style="1634" customWidth="1"/>
    <col min="12300" max="12300" width="7.109375" style="1634" customWidth="1"/>
    <col min="12301" max="12301" width="9" style="1634" customWidth="1"/>
    <col min="12302" max="12302" width="36.88671875" style="1634" customWidth="1"/>
    <col min="12303" max="12303" width="44.21875" style="1634" customWidth="1"/>
    <col min="12304" max="12304" width="11.33203125" style="1634" customWidth="1"/>
    <col min="12305" max="12306" width="17.77734375" style="1634" customWidth="1"/>
    <col min="12307" max="12307" width="73.77734375" style="1634" customWidth="1"/>
    <col min="12308" max="12308" width="57.21875" style="1634" customWidth="1"/>
    <col min="12309" max="12309" width="28" style="1634" customWidth="1"/>
    <col min="12310" max="12310" width="20.33203125" style="1634" customWidth="1"/>
    <col min="12311" max="12311" width="9" style="1634" customWidth="1"/>
    <col min="12312" max="12315" width="10.21875" style="1634" customWidth="1"/>
    <col min="12316" max="12316" width="23.44140625" style="1634" customWidth="1"/>
    <col min="12317" max="12317" width="9" style="1634" customWidth="1"/>
    <col min="12318" max="12318" width="92.1093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28" style="1634" customWidth="1"/>
    <col min="12330" max="12330" width="19.21875" style="1634" customWidth="1"/>
    <col min="12331" max="12332" width="23" style="1634" customWidth="1"/>
    <col min="12333" max="12333" width="9" style="1634" customWidth="1"/>
    <col min="12334" max="12544" width="8.88671875" style="1634"/>
    <col min="12545" max="12545" width="62.88671875" style="1634" customWidth="1"/>
    <col min="12546" max="12546" width="0" style="1634" hidden="1" customWidth="1"/>
    <col min="12547" max="12547" width="15.88671875" style="1634" customWidth="1"/>
    <col min="12548" max="12548" width="7.109375" style="1634" customWidth="1"/>
    <col min="12549" max="12549" width="5.21875" style="1634" customWidth="1"/>
    <col min="12550" max="12550" width="14" style="1634" customWidth="1"/>
    <col min="12551" max="12551" width="9" style="1634" customWidth="1"/>
    <col min="12552" max="12552" width="24.109375" style="1634" customWidth="1"/>
    <col min="12553" max="12553" width="26.33203125" style="1634" customWidth="1"/>
    <col min="12554" max="12555" width="15.88671875" style="1634" customWidth="1"/>
    <col min="12556" max="12556" width="7.109375" style="1634" customWidth="1"/>
    <col min="12557" max="12557" width="9" style="1634" customWidth="1"/>
    <col min="12558" max="12558" width="36.88671875" style="1634" customWidth="1"/>
    <col min="12559" max="12559" width="44.21875" style="1634" customWidth="1"/>
    <col min="12560" max="12560" width="11.33203125" style="1634" customWidth="1"/>
    <col min="12561" max="12562" width="17.77734375" style="1634" customWidth="1"/>
    <col min="12563" max="12563" width="73.77734375" style="1634" customWidth="1"/>
    <col min="12564" max="12564" width="57.21875" style="1634" customWidth="1"/>
    <col min="12565" max="12565" width="28" style="1634" customWidth="1"/>
    <col min="12566" max="12566" width="20.33203125" style="1634" customWidth="1"/>
    <col min="12567" max="12567" width="9" style="1634" customWidth="1"/>
    <col min="12568" max="12571" width="10.21875" style="1634" customWidth="1"/>
    <col min="12572" max="12572" width="23.44140625" style="1634" customWidth="1"/>
    <col min="12573" max="12573" width="9" style="1634" customWidth="1"/>
    <col min="12574" max="12574" width="92.1093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28" style="1634" customWidth="1"/>
    <col min="12586" max="12586" width="19.21875" style="1634" customWidth="1"/>
    <col min="12587" max="12588" width="23" style="1634" customWidth="1"/>
    <col min="12589" max="12589" width="9" style="1634" customWidth="1"/>
    <col min="12590" max="12800" width="8.88671875" style="1634"/>
    <col min="12801" max="12801" width="62.88671875" style="1634" customWidth="1"/>
    <col min="12802" max="12802" width="0" style="1634" hidden="1" customWidth="1"/>
    <col min="12803" max="12803" width="15.88671875" style="1634" customWidth="1"/>
    <col min="12804" max="12804" width="7.109375" style="1634" customWidth="1"/>
    <col min="12805" max="12805" width="5.21875" style="1634" customWidth="1"/>
    <col min="12806" max="12806" width="14" style="1634" customWidth="1"/>
    <col min="12807" max="12807" width="9" style="1634" customWidth="1"/>
    <col min="12808" max="12808" width="24.109375" style="1634" customWidth="1"/>
    <col min="12809" max="12809" width="26.33203125" style="1634" customWidth="1"/>
    <col min="12810" max="12811" width="15.88671875" style="1634" customWidth="1"/>
    <col min="12812" max="12812" width="7.109375" style="1634" customWidth="1"/>
    <col min="12813" max="12813" width="9" style="1634" customWidth="1"/>
    <col min="12814" max="12814" width="36.88671875" style="1634" customWidth="1"/>
    <col min="12815" max="12815" width="44.21875" style="1634" customWidth="1"/>
    <col min="12816" max="12816" width="11.33203125" style="1634" customWidth="1"/>
    <col min="12817" max="12818" width="17.77734375" style="1634" customWidth="1"/>
    <col min="12819" max="12819" width="73.77734375" style="1634" customWidth="1"/>
    <col min="12820" max="12820" width="57.21875" style="1634" customWidth="1"/>
    <col min="12821" max="12821" width="28" style="1634" customWidth="1"/>
    <col min="12822" max="12822" width="20.33203125" style="1634" customWidth="1"/>
    <col min="12823" max="12823" width="9" style="1634" customWidth="1"/>
    <col min="12824" max="12827" width="10.21875" style="1634" customWidth="1"/>
    <col min="12828" max="12828" width="23.44140625" style="1634" customWidth="1"/>
    <col min="12829" max="12829" width="9" style="1634" customWidth="1"/>
    <col min="12830" max="12830" width="92.1093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28" style="1634" customWidth="1"/>
    <col min="12842" max="12842" width="19.21875" style="1634" customWidth="1"/>
    <col min="12843" max="12844" width="23" style="1634" customWidth="1"/>
    <col min="12845" max="12845" width="9" style="1634" customWidth="1"/>
    <col min="12846" max="13056" width="8.88671875" style="1634"/>
    <col min="13057" max="13057" width="62.88671875" style="1634" customWidth="1"/>
    <col min="13058" max="13058" width="0" style="1634" hidden="1" customWidth="1"/>
    <col min="13059" max="13059" width="15.88671875" style="1634" customWidth="1"/>
    <col min="13060" max="13060" width="7.109375" style="1634" customWidth="1"/>
    <col min="13061" max="13061" width="5.21875" style="1634" customWidth="1"/>
    <col min="13062" max="13062" width="14" style="1634" customWidth="1"/>
    <col min="13063" max="13063" width="9" style="1634" customWidth="1"/>
    <col min="13064" max="13064" width="24.109375" style="1634" customWidth="1"/>
    <col min="13065" max="13065" width="26.33203125" style="1634" customWidth="1"/>
    <col min="13066" max="13067" width="15.88671875" style="1634" customWidth="1"/>
    <col min="13068" max="13068" width="7.109375" style="1634" customWidth="1"/>
    <col min="13069" max="13069" width="9" style="1634" customWidth="1"/>
    <col min="13070" max="13070" width="36.88671875" style="1634" customWidth="1"/>
    <col min="13071" max="13071" width="44.21875" style="1634" customWidth="1"/>
    <col min="13072" max="13072" width="11.33203125" style="1634" customWidth="1"/>
    <col min="13073" max="13074" width="17.77734375" style="1634" customWidth="1"/>
    <col min="13075" max="13075" width="73.77734375" style="1634" customWidth="1"/>
    <col min="13076" max="13076" width="57.21875" style="1634" customWidth="1"/>
    <col min="13077" max="13077" width="28" style="1634" customWidth="1"/>
    <col min="13078" max="13078" width="20.33203125" style="1634" customWidth="1"/>
    <col min="13079" max="13079" width="9" style="1634" customWidth="1"/>
    <col min="13080" max="13083" width="10.21875" style="1634" customWidth="1"/>
    <col min="13084" max="13084" width="23.44140625" style="1634" customWidth="1"/>
    <col min="13085" max="13085" width="9" style="1634" customWidth="1"/>
    <col min="13086" max="13086" width="92.1093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28" style="1634" customWidth="1"/>
    <col min="13098" max="13098" width="19.21875" style="1634" customWidth="1"/>
    <col min="13099" max="13100" width="23" style="1634" customWidth="1"/>
    <col min="13101" max="13101" width="9" style="1634" customWidth="1"/>
    <col min="13102" max="13312" width="8.88671875" style="1634"/>
    <col min="13313" max="13313" width="62.88671875" style="1634" customWidth="1"/>
    <col min="13314" max="13314" width="0" style="1634" hidden="1" customWidth="1"/>
    <col min="13315" max="13315" width="15.88671875" style="1634" customWidth="1"/>
    <col min="13316" max="13316" width="7.109375" style="1634" customWidth="1"/>
    <col min="13317" max="13317" width="5.21875" style="1634" customWidth="1"/>
    <col min="13318" max="13318" width="14" style="1634" customWidth="1"/>
    <col min="13319" max="13319" width="9" style="1634" customWidth="1"/>
    <col min="13320" max="13320" width="24.109375" style="1634" customWidth="1"/>
    <col min="13321" max="13321" width="26.33203125" style="1634" customWidth="1"/>
    <col min="13322" max="13323" width="15.88671875" style="1634" customWidth="1"/>
    <col min="13324" max="13324" width="7.109375" style="1634" customWidth="1"/>
    <col min="13325" max="13325" width="9" style="1634" customWidth="1"/>
    <col min="13326" max="13326" width="36.88671875" style="1634" customWidth="1"/>
    <col min="13327" max="13327" width="44.21875" style="1634" customWidth="1"/>
    <col min="13328" max="13328" width="11.33203125" style="1634" customWidth="1"/>
    <col min="13329" max="13330" width="17.77734375" style="1634" customWidth="1"/>
    <col min="13331" max="13331" width="73.77734375" style="1634" customWidth="1"/>
    <col min="13332" max="13332" width="57.21875" style="1634" customWidth="1"/>
    <col min="13333" max="13333" width="28" style="1634" customWidth="1"/>
    <col min="13334" max="13334" width="20.33203125" style="1634" customWidth="1"/>
    <col min="13335" max="13335" width="9" style="1634" customWidth="1"/>
    <col min="13336" max="13339" width="10.21875" style="1634" customWidth="1"/>
    <col min="13340" max="13340" width="23.44140625" style="1634" customWidth="1"/>
    <col min="13341" max="13341" width="9" style="1634" customWidth="1"/>
    <col min="13342" max="13342" width="92.1093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28" style="1634" customWidth="1"/>
    <col min="13354" max="13354" width="19.21875" style="1634" customWidth="1"/>
    <col min="13355" max="13356" width="23" style="1634" customWidth="1"/>
    <col min="13357" max="13357" width="9" style="1634" customWidth="1"/>
    <col min="13358" max="13568" width="8.88671875" style="1634"/>
    <col min="13569" max="13569" width="62.88671875" style="1634" customWidth="1"/>
    <col min="13570" max="13570" width="0" style="1634" hidden="1" customWidth="1"/>
    <col min="13571" max="13571" width="15.88671875" style="1634" customWidth="1"/>
    <col min="13572" max="13572" width="7.109375" style="1634" customWidth="1"/>
    <col min="13573" max="13573" width="5.21875" style="1634" customWidth="1"/>
    <col min="13574" max="13574" width="14" style="1634" customWidth="1"/>
    <col min="13575" max="13575" width="9" style="1634" customWidth="1"/>
    <col min="13576" max="13576" width="24.109375" style="1634" customWidth="1"/>
    <col min="13577" max="13577" width="26.33203125" style="1634" customWidth="1"/>
    <col min="13578" max="13579" width="15.88671875" style="1634" customWidth="1"/>
    <col min="13580" max="13580" width="7.109375" style="1634" customWidth="1"/>
    <col min="13581" max="13581" width="9" style="1634" customWidth="1"/>
    <col min="13582" max="13582" width="36.88671875" style="1634" customWidth="1"/>
    <col min="13583" max="13583" width="44.21875" style="1634" customWidth="1"/>
    <col min="13584" max="13584" width="11.33203125" style="1634" customWidth="1"/>
    <col min="13585" max="13586" width="17.77734375" style="1634" customWidth="1"/>
    <col min="13587" max="13587" width="73.77734375" style="1634" customWidth="1"/>
    <col min="13588" max="13588" width="57.21875" style="1634" customWidth="1"/>
    <col min="13589" max="13589" width="28" style="1634" customWidth="1"/>
    <col min="13590" max="13590" width="20.33203125" style="1634" customWidth="1"/>
    <col min="13591" max="13591" width="9" style="1634" customWidth="1"/>
    <col min="13592" max="13595" width="10.21875" style="1634" customWidth="1"/>
    <col min="13596" max="13596" width="23.44140625" style="1634" customWidth="1"/>
    <col min="13597" max="13597" width="9" style="1634" customWidth="1"/>
    <col min="13598" max="13598" width="92.1093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28" style="1634" customWidth="1"/>
    <col min="13610" max="13610" width="19.21875" style="1634" customWidth="1"/>
    <col min="13611" max="13612" width="23" style="1634" customWidth="1"/>
    <col min="13613" max="13613" width="9" style="1634" customWidth="1"/>
    <col min="13614" max="13824" width="8.88671875" style="1634"/>
    <col min="13825" max="13825" width="62.88671875" style="1634" customWidth="1"/>
    <col min="13826" max="13826" width="0" style="1634" hidden="1" customWidth="1"/>
    <col min="13827" max="13827" width="15.88671875" style="1634" customWidth="1"/>
    <col min="13828" max="13828" width="7.109375" style="1634" customWidth="1"/>
    <col min="13829" max="13829" width="5.21875" style="1634" customWidth="1"/>
    <col min="13830" max="13830" width="14" style="1634" customWidth="1"/>
    <col min="13831" max="13831" width="9" style="1634" customWidth="1"/>
    <col min="13832" max="13832" width="24.109375" style="1634" customWidth="1"/>
    <col min="13833" max="13833" width="26.33203125" style="1634" customWidth="1"/>
    <col min="13834" max="13835" width="15.88671875" style="1634" customWidth="1"/>
    <col min="13836" max="13836" width="7.109375" style="1634" customWidth="1"/>
    <col min="13837" max="13837" width="9" style="1634" customWidth="1"/>
    <col min="13838" max="13838" width="36.88671875" style="1634" customWidth="1"/>
    <col min="13839" max="13839" width="44.21875" style="1634" customWidth="1"/>
    <col min="13840" max="13840" width="11.33203125" style="1634" customWidth="1"/>
    <col min="13841" max="13842" width="17.77734375" style="1634" customWidth="1"/>
    <col min="13843" max="13843" width="73.77734375" style="1634" customWidth="1"/>
    <col min="13844" max="13844" width="57.21875" style="1634" customWidth="1"/>
    <col min="13845" max="13845" width="28" style="1634" customWidth="1"/>
    <col min="13846" max="13846" width="20.33203125" style="1634" customWidth="1"/>
    <col min="13847" max="13847" width="9" style="1634" customWidth="1"/>
    <col min="13848" max="13851" width="10.21875" style="1634" customWidth="1"/>
    <col min="13852" max="13852" width="23.44140625" style="1634" customWidth="1"/>
    <col min="13853" max="13853" width="9" style="1634" customWidth="1"/>
    <col min="13854" max="13854" width="92.1093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28" style="1634" customWidth="1"/>
    <col min="13866" max="13866" width="19.21875" style="1634" customWidth="1"/>
    <col min="13867" max="13868" width="23" style="1634" customWidth="1"/>
    <col min="13869" max="13869" width="9" style="1634" customWidth="1"/>
    <col min="13870" max="14080" width="8.88671875" style="1634"/>
    <col min="14081" max="14081" width="62.88671875" style="1634" customWidth="1"/>
    <col min="14082" max="14082" width="0" style="1634" hidden="1" customWidth="1"/>
    <col min="14083" max="14083" width="15.88671875" style="1634" customWidth="1"/>
    <col min="14084" max="14084" width="7.109375" style="1634" customWidth="1"/>
    <col min="14085" max="14085" width="5.21875" style="1634" customWidth="1"/>
    <col min="14086" max="14086" width="14" style="1634" customWidth="1"/>
    <col min="14087" max="14087" width="9" style="1634" customWidth="1"/>
    <col min="14088" max="14088" width="24.109375" style="1634" customWidth="1"/>
    <col min="14089" max="14089" width="26.33203125" style="1634" customWidth="1"/>
    <col min="14090" max="14091" width="15.88671875" style="1634" customWidth="1"/>
    <col min="14092" max="14092" width="7.109375" style="1634" customWidth="1"/>
    <col min="14093" max="14093" width="9" style="1634" customWidth="1"/>
    <col min="14094" max="14094" width="36.88671875" style="1634" customWidth="1"/>
    <col min="14095" max="14095" width="44.21875" style="1634" customWidth="1"/>
    <col min="14096" max="14096" width="11.33203125" style="1634" customWidth="1"/>
    <col min="14097" max="14098" width="17.77734375" style="1634" customWidth="1"/>
    <col min="14099" max="14099" width="73.77734375" style="1634" customWidth="1"/>
    <col min="14100" max="14100" width="57.21875" style="1634" customWidth="1"/>
    <col min="14101" max="14101" width="28" style="1634" customWidth="1"/>
    <col min="14102" max="14102" width="20.33203125" style="1634" customWidth="1"/>
    <col min="14103" max="14103" width="9" style="1634" customWidth="1"/>
    <col min="14104" max="14107" width="10.21875" style="1634" customWidth="1"/>
    <col min="14108" max="14108" width="23.44140625" style="1634" customWidth="1"/>
    <col min="14109" max="14109" width="9" style="1634" customWidth="1"/>
    <col min="14110" max="14110" width="92.1093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28" style="1634" customWidth="1"/>
    <col min="14122" max="14122" width="19.21875" style="1634" customWidth="1"/>
    <col min="14123" max="14124" width="23" style="1634" customWidth="1"/>
    <col min="14125" max="14125" width="9" style="1634" customWidth="1"/>
    <col min="14126" max="14336" width="8.88671875" style="1634"/>
    <col min="14337" max="14337" width="62.88671875" style="1634" customWidth="1"/>
    <col min="14338" max="14338" width="0" style="1634" hidden="1" customWidth="1"/>
    <col min="14339" max="14339" width="15.88671875" style="1634" customWidth="1"/>
    <col min="14340" max="14340" width="7.109375" style="1634" customWidth="1"/>
    <col min="14341" max="14341" width="5.21875" style="1634" customWidth="1"/>
    <col min="14342" max="14342" width="14" style="1634" customWidth="1"/>
    <col min="14343" max="14343" width="9" style="1634" customWidth="1"/>
    <col min="14344" max="14344" width="24.109375" style="1634" customWidth="1"/>
    <col min="14345" max="14345" width="26.33203125" style="1634" customWidth="1"/>
    <col min="14346" max="14347" width="15.88671875" style="1634" customWidth="1"/>
    <col min="14348" max="14348" width="7.109375" style="1634" customWidth="1"/>
    <col min="14349" max="14349" width="9" style="1634" customWidth="1"/>
    <col min="14350" max="14350" width="36.88671875" style="1634" customWidth="1"/>
    <col min="14351" max="14351" width="44.21875" style="1634" customWidth="1"/>
    <col min="14352" max="14352" width="11.33203125" style="1634" customWidth="1"/>
    <col min="14353" max="14354" width="17.77734375" style="1634" customWidth="1"/>
    <col min="14355" max="14355" width="73.77734375" style="1634" customWidth="1"/>
    <col min="14356" max="14356" width="57.21875" style="1634" customWidth="1"/>
    <col min="14357" max="14357" width="28" style="1634" customWidth="1"/>
    <col min="14358" max="14358" width="20.33203125" style="1634" customWidth="1"/>
    <col min="14359" max="14359" width="9" style="1634" customWidth="1"/>
    <col min="14360" max="14363" width="10.21875" style="1634" customWidth="1"/>
    <col min="14364" max="14364" width="23.44140625" style="1634" customWidth="1"/>
    <col min="14365" max="14365" width="9" style="1634" customWidth="1"/>
    <col min="14366" max="14366" width="92.1093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28" style="1634" customWidth="1"/>
    <col min="14378" max="14378" width="19.21875" style="1634" customWidth="1"/>
    <col min="14379" max="14380" width="23" style="1634" customWidth="1"/>
    <col min="14381" max="14381" width="9" style="1634" customWidth="1"/>
    <col min="14382" max="14592" width="8.88671875" style="1634"/>
    <col min="14593" max="14593" width="62.88671875" style="1634" customWidth="1"/>
    <col min="14594" max="14594" width="0" style="1634" hidden="1" customWidth="1"/>
    <col min="14595" max="14595" width="15.88671875" style="1634" customWidth="1"/>
    <col min="14596" max="14596" width="7.109375" style="1634" customWidth="1"/>
    <col min="14597" max="14597" width="5.21875" style="1634" customWidth="1"/>
    <col min="14598" max="14598" width="14" style="1634" customWidth="1"/>
    <col min="14599" max="14599" width="9" style="1634" customWidth="1"/>
    <col min="14600" max="14600" width="24.109375" style="1634" customWidth="1"/>
    <col min="14601" max="14601" width="26.33203125" style="1634" customWidth="1"/>
    <col min="14602" max="14603" width="15.88671875" style="1634" customWidth="1"/>
    <col min="14604" max="14604" width="7.109375" style="1634" customWidth="1"/>
    <col min="14605" max="14605" width="9" style="1634" customWidth="1"/>
    <col min="14606" max="14606" width="36.88671875" style="1634" customWidth="1"/>
    <col min="14607" max="14607" width="44.21875" style="1634" customWidth="1"/>
    <col min="14608" max="14608" width="11.33203125" style="1634" customWidth="1"/>
    <col min="14609" max="14610" width="17.77734375" style="1634" customWidth="1"/>
    <col min="14611" max="14611" width="73.77734375" style="1634" customWidth="1"/>
    <col min="14612" max="14612" width="57.21875" style="1634" customWidth="1"/>
    <col min="14613" max="14613" width="28" style="1634" customWidth="1"/>
    <col min="14614" max="14614" width="20.33203125" style="1634" customWidth="1"/>
    <col min="14615" max="14615" width="9" style="1634" customWidth="1"/>
    <col min="14616" max="14619" width="10.21875" style="1634" customWidth="1"/>
    <col min="14620" max="14620" width="23.44140625" style="1634" customWidth="1"/>
    <col min="14621" max="14621" width="9" style="1634" customWidth="1"/>
    <col min="14622" max="14622" width="92.1093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28" style="1634" customWidth="1"/>
    <col min="14634" max="14634" width="19.21875" style="1634" customWidth="1"/>
    <col min="14635" max="14636" width="23" style="1634" customWidth="1"/>
    <col min="14637" max="14637" width="9" style="1634" customWidth="1"/>
    <col min="14638" max="14848" width="8.88671875" style="1634"/>
    <col min="14849" max="14849" width="62.88671875" style="1634" customWidth="1"/>
    <col min="14850" max="14850" width="0" style="1634" hidden="1" customWidth="1"/>
    <col min="14851" max="14851" width="15.88671875" style="1634" customWidth="1"/>
    <col min="14852" max="14852" width="7.109375" style="1634" customWidth="1"/>
    <col min="14853" max="14853" width="5.21875" style="1634" customWidth="1"/>
    <col min="14854" max="14854" width="14" style="1634" customWidth="1"/>
    <col min="14855" max="14855" width="9" style="1634" customWidth="1"/>
    <col min="14856" max="14856" width="24.109375" style="1634" customWidth="1"/>
    <col min="14857" max="14857" width="26.33203125" style="1634" customWidth="1"/>
    <col min="14858" max="14859" width="15.88671875" style="1634" customWidth="1"/>
    <col min="14860" max="14860" width="7.109375" style="1634" customWidth="1"/>
    <col min="14861" max="14861" width="9" style="1634" customWidth="1"/>
    <col min="14862" max="14862" width="36.88671875" style="1634" customWidth="1"/>
    <col min="14863" max="14863" width="44.21875" style="1634" customWidth="1"/>
    <col min="14864" max="14864" width="11.33203125" style="1634" customWidth="1"/>
    <col min="14865" max="14866" width="17.77734375" style="1634" customWidth="1"/>
    <col min="14867" max="14867" width="73.77734375" style="1634" customWidth="1"/>
    <col min="14868" max="14868" width="57.21875" style="1634" customWidth="1"/>
    <col min="14869" max="14869" width="28" style="1634" customWidth="1"/>
    <col min="14870" max="14870" width="20.33203125" style="1634" customWidth="1"/>
    <col min="14871" max="14871" width="9" style="1634" customWidth="1"/>
    <col min="14872" max="14875" width="10.21875" style="1634" customWidth="1"/>
    <col min="14876" max="14876" width="23.44140625" style="1634" customWidth="1"/>
    <col min="14877" max="14877" width="9" style="1634" customWidth="1"/>
    <col min="14878" max="14878" width="92.1093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28" style="1634" customWidth="1"/>
    <col min="14890" max="14890" width="19.21875" style="1634" customWidth="1"/>
    <col min="14891" max="14892" width="23" style="1634" customWidth="1"/>
    <col min="14893" max="14893" width="9" style="1634" customWidth="1"/>
    <col min="14894" max="15104" width="8.88671875" style="1634"/>
    <col min="15105" max="15105" width="62.88671875" style="1634" customWidth="1"/>
    <col min="15106" max="15106" width="0" style="1634" hidden="1" customWidth="1"/>
    <col min="15107" max="15107" width="15.88671875" style="1634" customWidth="1"/>
    <col min="15108" max="15108" width="7.109375" style="1634" customWidth="1"/>
    <col min="15109" max="15109" width="5.21875" style="1634" customWidth="1"/>
    <col min="15110" max="15110" width="14" style="1634" customWidth="1"/>
    <col min="15111" max="15111" width="9" style="1634" customWidth="1"/>
    <col min="15112" max="15112" width="24.109375" style="1634" customWidth="1"/>
    <col min="15113" max="15113" width="26.33203125" style="1634" customWidth="1"/>
    <col min="15114" max="15115" width="15.88671875" style="1634" customWidth="1"/>
    <col min="15116" max="15116" width="7.109375" style="1634" customWidth="1"/>
    <col min="15117" max="15117" width="9" style="1634" customWidth="1"/>
    <col min="15118" max="15118" width="36.88671875" style="1634" customWidth="1"/>
    <col min="15119" max="15119" width="44.21875" style="1634" customWidth="1"/>
    <col min="15120" max="15120" width="11.33203125" style="1634" customWidth="1"/>
    <col min="15121" max="15122" width="17.77734375" style="1634" customWidth="1"/>
    <col min="15123" max="15123" width="73.77734375" style="1634" customWidth="1"/>
    <col min="15124" max="15124" width="57.21875" style="1634" customWidth="1"/>
    <col min="15125" max="15125" width="28" style="1634" customWidth="1"/>
    <col min="15126" max="15126" width="20.33203125" style="1634" customWidth="1"/>
    <col min="15127" max="15127" width="9" style="1634" customWidth="1"/>
    <col min="15128" max="15131" width="10.21875" style="1634" customWidth="1"/>
    <col min="15132" max="15132" width="23.44140625" style="1634" customWidth="1"/>
    <col min="15133" max="15133" width="9" style="1634" customWidth="1"/>
    <col min="15134" max="15134" width="92.1093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28" style="1634" customWidth="1"/>
    <col min="15146" max="15146" width="19.21875" style="1634" customWidth="1"/>
    <col min="15147" max="15148" width="23" style="1634" customWidth="1"/>
    <col min="15149" max="15149" width="9" style="1634" customWidth="1"/>
    <col min="15150" max="15360" width="8.88671875" style="1634"/>
    <col min="15361" max="15361" width="62.88671875" style="1634" customWidth="1"/>
    <col min="15362" max="15362" width="0" style="1634" hidden="1" customWidth="1"/>
    <col min="15363" max="15363" width="15.88671875" style="1634" customWidth="1"/>
    <col min="15364" max="15364" width="7.109375" style="1634" customWidth="1"/>
    <col min="15365" max="15365" width="5.21875" style="1634" customWidth="1"/>
    <col min="15366" max="15366" width="14" style="1634" customWidth="1"/>
    <col min="15367" max="15367" width="9" style="1634" customWidth="1"/>
    <col min="15368" max="15368" width="24.109375" style="1634" customWidth="1"/>
    <col min="15369" max="15369" width="26.33203125" style="1634" customWidth="1"/>
    <col min="15370" max="15371" width="15.88671875" style="1634" customWidth="1"/>
    <col min="15372" max="15372" width="7.109375" style="1634" customWidth="1"/>
    <col min="15373" max="15373" width="9" style="1634" customWidth="1"/>
    <col min="15374" max="15374" width="36.88671875" style="1634" customWidth="1"/>
    <col min="15375" max="15375" width="44.21875" style="1634" customWidth="1"/>
    <col min="15376" max="15376" width="11.33203125" style="1634" customWidth="1"/>
    <col min="15377" max="15378" width="17.77734375" style="1634" customWidth="1"/>
    <col min="15379" max="15379" width="73.77734375" style="1634" customWidth="1"/>
    <col min="15380" max="15380" width="57.21875" style="1634" customWidth="1"/>
    <col min="15381" max="15381" width="28" style="1634" customWidth="1"/>
    <col min="15382" max="15382" width="20.33203125" style="1634" customWidth="1"/>
    <col min="15383" max="15383" width="9" style="1634" customWidth="1"/>
    <col min="15384" max="15387" width="10.21875" style="1634" customWidth="1"/>
    <col min="15388" max="15388" width="23.44140625" style="1634" customWidth="1"/>
    <col min="15389" max="15389" width="9" style="1634" customWidth="1"/>
    <col min="15390" max="15390" width="92.1093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28" style="1634" customWidth="1"/>
    <col min="15402" max="15402" width="19.21875" style="1634" customWidth="1"/>
    <col min="15403" max="15404" width="23" style="1634" customWidth="1"/>
    <col min="15405" max="15405" width="9" style="1634" customWidth="1"/>
    <col min="15406" max="15616" width="8.88671875" style="1634"/>
    <col min="15617" max="15617" width="62.88671875" style="1634" customWidth="1"/>
    <col min="15618" max="15618" width="0" style="1634" hidden="1" customWidth="1"/>
    <col min="15619" max="15619" width="15.88671875" style="1634" customWidth="1"/>
    <col min="15620" max="15620" width="7.109375" style="1634" customWidth="1"/>
    <col min="15621" max="15621" width="5.21875" style="1634" customWidth="1"/>
    <col min="15622" max="15622" width="14" style="1634" customWidth="1"/>
    <col min="15623" max="15623" width="9" style="1634" customWidth="1"/>
    <col min="15624" max="15624" width="24.109375" style="1634" customWidth="1"/>
    <col min="15625" max="15625" width="26.33203125" style="1634" customWidth="1"/>
    <col min="15626" max="15627" width="15.88671875" style="1634" customWidth="1"/>
    <col min="15628" max="15628" width="7.109375" style="1634" customWidth="1"/>
    <col min="15629" max="15629" width="9" style="1634" customWidth="1"/>
    <col min="15630" max="15630" width="36.88671875" style="1634" customWidth="1"/>
    <col min="15631" max="15631" width="44.21875" style="1634" customWidth="1"/>
    <col min="15632" max="15632" width="11.33203125" style="1634" customWidth="1"/>
    <col min="15633" max="15634" width="17.77734375" style="1634" customWidth="1"/>
    <col min="15635" max="15635" width="73.77734375" style="1634" customWidth="1"/>
    <col min="15636" max="15636" width="57.21875" style="1634" customWidth="1"/>
    <col min="15637" max="15637" width="28" style="1634" customWidth="1"/>
    <col min="15638" max="15638" width="20.33203125" style="1634" customWidth="1"/>
    <col min="15639" max="15639" width="9" style="1634" customWidth="1"/>
    <col min="15640" max="15643" width="10.21875" style="1634" customWidth="1"/>
    <col min="15644" max="15644" width="23.44140625" style="1634" customWidth="1"/>
    <col min="15645" max="15645" width="9" style="1634" customWidth="1"/>
    <col min="15646" max="15646" width="92.1093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28" style="1634" customWidth="1"/>
    <col min="15658" max="15658" width="19.21875" style="1634" customWidth="1"/>
    <col min="15659" max="15660" width="23" style="1634" customWidth="1"/>
    <col min="15661" max="15661" width="9" style="1634" customWidth="1"/>
    <col min="15662" max="15872" width="8.88671875" style="1634"/>
    <col min="15873" max="15873" width="62.88671875" style="1634" customWidth="1"/>
    <col min="15874" max="15874" width="0" style="1634" hidden="1" customWidth="1"/>
    <col min="15875" max="15875" width="15.88671875" style="1634" customWidth="1"/>
    <col min="15876" max="15876" width="7.109375" style="1634" customWidth="1"/>
    <col min="15877" max="15877" width="5.21875" style="1634" customWidth="1"/>
    <col min="15878" max="15878" width="14" style="1634" customWidth="1"/>
    <col min="15879" max="15879" width="9" style="1634" customWidth="1"/>
    <col min="15880" max="15880" width="24.109375" style="1634" customWidth="1"/>
    <col min="15881" max="15881" width="26.33203125" style="1634" customWidth="1"/>
    <col min="15882" max="15883" width="15.88671875" style="1634" customWidth="1"/>
    <col min="15884" max="15884" width="7.109375" style="1634" customWidth="1"/>
    <col min="15885" max="15885" width="9" style="1634" customWidth="1"/>
    <col min="15886" max="15886" width="36.88671875" style="1634" customWidth="1"/>
    <col min="15887" max="15887" width="44.21875" style="1634" customWidth="1"/>
    <col min="15888" max="15888" width="11.33203125" style="1634" customWidth="1"/>
    <col min="15889" max="15890" width="17.77734375" style="1634" customWidth="1"/>
    <col min="15891" max="15891" width="73.77734375" style="1634" customWidth="1"/>
    <col min="15892" max="15892" width="57.21875" style="1634" customWidth="1"/>
    <col min="15893" max="15893" width="28" style="1634" customWidth="1"/>
    <col min="15894" max="15894" width="20.33203125" style="1634" customWidth="1"/>
    <col min="15895" max="15895" width="9" style="1634" customWidth="1"/>
    <col min="15896" max="15899" width="10.21875" style="1634" customWidth="1"/>
    <col min="15900" max="15900" width="23.44140625" style="1634" customWidth="1"/>
    <col min="15901" max="15901" width="9" style="1634" customWidth="1"/>
    <col min="15902" max="15902" width="92.1093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28" style="1634" customWidth="1"/>
    <col min="15914" max="15914" width="19.21875" style="1634" customWidth="1"/>
    <col min="15915" max="15916" width="23" style="1634" customWidth="1"/>
    <col min="15917" max="15917" width="9" style="1634" customWidth="1"/>
    <col min="15918" max="16128" width="8.88671875" style="1634"/>
    <col min="16129" max="16129" width="62.88671875" style="1634" customWidth="1"/>
    <col min="16130" max="16130" width="0" style="1634" hidden="1" customWidth="1"/>
    <col min="16131" max="16131" width="15.88671875" style="1634" customWidth="1"/>
    <col min="16132" max="16132" width="7.109375" style="1634" customWidth="1"/>
    <col min="16133" max="16133" width="5.21875" style="1634" customWidth="1"/>
    <col min="16134" max="16134" width="14" style="1634" customWidth="1"/>
    <col min="16135" max="16135" width="9" style="1634" customWidth="1"/>
    <col min="16136" max="16136" width="24.109375" style="1634" customWidth="1"/>
    <col min="16137" max="16137" width="26.33203125" style="1634" customWidth="1"/>
    <col min="16138" max="16139" width="15.88671875" style="1634" customWidth="1"/>
    <col min="16140" max="16140" width="7.109375" style="1634" customWidth="1"/>
    <col min="16141" max="16141" width="9" style="1634" customWidth="1"/>
    <col min="16142" max="16142" width="36.88671875" style="1634" customWidth="1"/>
    <col min="16143" max="16143" width="44.21875" style="1634" customWidth="1"/>
    <col min="16144" max="16144" width="11.33203125" style="1634" customWidth="1"/>
    <col min="16145" max="16146" width="17.77734375" style="1634" customWidth="1"/>
    <col min="16147" max="16147" width="73.77734375" style="1634" customWidth="1"/>
    <col min="16148" max="16148" width="57.21875" style="1634" customWidth="1"/>
    <col min="16149" max="16149" width="28" style="1634" customWidth="1"/>
    <col min="16150" max="16150" width="20.33203125" style="1634" customWidth="1"/>
    <col min="16151" max="16151" width="9" style="1634" customWidth="1"/>
    <col min="16152" max="16155" width="10.21875" style="1634" customWidth="1"/>
    <col min="16156" max="16156" width="23.44140625" style="1634" customWidth="1"/>
    <col min="16157" max="16157" width="9" style="1634" customWidth="1"/>
    <col min="16158" max="16158" width="92.1093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28"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3130</v>
      </c>
      <c r="B1" s="1634" t="s">
        <v>3131</v>
      </c>
      <c r="C1" s="1634" t="s">
        <v>3132</v>
      </c>
      <c r="D1" s="1634" t="s">
        <v>3133</v>
      </c>
      <c r="E1" s="1634" t="s">
        <v>3134</v>
      </c>
      <c r="F1" s="1634" t="s">
        <v>3135</v>
      </c>
      <c r="G1" s="1634" t="s">
        <v>3136</v>
      </c>
      <c r="H1" s="1634" t="s">
        <v>3137</v>
      </c>
      <c r="I1" s="1634" t="s">
        <v>3138</v>
      </c>
      <c r="J1" s="1634" t="s">
        <v>3139</v>
      </c>
      <c r="K1" s="1634" t="s">
        <v>3140</v>
      </c>
      <c r="L1" s="1634" t="s">
        <v>3141</v>
      </c>
      <c r="M1" s="1634" t="s">
        <v>3142</v>
      </c>
      <c r="N1" s="1634" t="s">
        <v>3143</v>
      </c>
      <c r="O1" s="1634" t="s">
        <v>3144</v>
      </c>
      <c r="P1" s="1634" t="s">
        <v>3145</v>
      </c>
      <c r="Q1" s="1634" t="s">
        <v>3146</v>
      </c>
      <c r="R1" s="1634" t="s">
        <v>3147</v>
      </c>
      <c r="S1" s="1634" t="s">
        <v>3148</v>
      </c>
      <c r="T1" s="1634" t="s">
        <v>3149</v>
      </c>
      <c r="U1" s="1634" t="s">
        <v>3150</v>
      </c>
      <c r="V1" s="1634" t="s">
        <v>3151</v>
      </c>
      <c r="W1" s="1634" t="s">
        <v>3152</v>
      </c>
      <c r="X1" s="1634" t="s">
        <v>3153</v>
      </c>
      <c r="Y1" s="1634" t="s">
        <v>3154</v>
      </c>
      <c r="Z1" s="1634" t="s">
        <v>3155</v>
      </c>
      <c r="AA1" s="1634" t="s">
        <v>3156</v>
      </c>
      <c r="AB1" s="1634" t="s">
        <v>3157</v>
      </c>
      <c r="AC1" s="1634" t="s">
        <v>3158</v>
      </c>
      <c r="AD1" s="1634" t="s">
        <v>3159</v>
      </c>
      <c r="AE1" s="1634" t="s">
        <v>3160</v>
      </c>
      <c r="AF1" s="1634" t="s">
        <v>3161</v>
      </c>
      <c r="AG1" s="1634" t="s">
        <v>3162</v>
      </c>
      <c r="AH1" s="1634" t="s">
        <v>3163</v>
      </c>
      <c r="AI1" s="1634" t="s">
        <v>3164</v>
      </c>
      <c r="AJ1" s="1634" t="s">
        <v>3165</v>
      </c>
      <c r="AK1" s="1634" t="s">
        <v>3166</v>
      </c>
      <c r="AL1" s="1634" t="s">
        <v>3167</v>
      </c>
      <c r="AM1" s="1634" t="s">
        <v>3168</v>
      </c>
      <c r="AN1" s="1634" t="s">
        <v>3169</v>
      </c>
      <c r="AO1" s="1634" t="s">
        <v>3170</v>
      </c>
      <c r="AP1" s="1634" t="s">
        <v>3171</v>
      </c>
      <c r="AQ1" s="1634" t="s">
        <v>3172</v>
      </c>
      <c r="AR1" s="1634" t="s">
        <v>3173</v>
      </c>
      <c r="AS1" s="1634" t="s">
        <v>3174</v>
      </c>
    </row>
    <row r="2" spans="1:45">
      <c r="A2" s="1634" t="s">
        <v>3175</v>
      </c>
      <c r="B2" s="1634" t="s">
        <v>3092</v>
      </c>
      <c r="C2" s="1634" t="s">
        <v>3176</v>
      </c>
      <c r="D2" s="1634" t="s">
        <v>3177</v>
      </c>
      <c r="E2" s="1634" t="s">
        <v>1327</v>
      </c>
      <c r="F2" s="1634" t="s">
        <v>3178</v>
      </c>
      <c r="G2" s="1634" t="s">
        <v>3179</v>
      </c>
      <c r="H2" s="1634" t="s">
        <v>3180</v>
      </c>
      <c r="I2" s="1634" t="s">
        <v>3181</v>
      </c>
      <c r="J2" s="1634">
        <v>121729.8</v>
      </c>
      <c r="K2" s="1634">
        <v>327948</v>
      </c>
      <c r="L2" s="1634">
        <v>2.69</v>
      </c>
      <c r="M2" s="1634" t="s">
        <v>1327</v>
      </c>
      <c r="N2" s="1634" t="s">
        <v>3182</v>
      </c>
      <c r="O2" s="1634" t="s">
        <v>3183</v>
      </c>
      <c r="P2" s="1634" t="s">
        <v>1327</v>
      </c>
      <c r="Q2" s="1634" t="s">
        <v>1327</v>
      </c>
      <c r="R2" s="1634" t="s">
        <v>1327</v>
      </c>
      <c r="S2" s="1634" t="s">
        <v>1327</v>
      </c>
      <c r="T2" s="1634" t="s">
        <v>3184</v>
      </c>
      <c r="U2" s="1634" t="s">
        <v>3185</v>
      </c>
      <c r="V2" s="1634" t="s">
        <v>1327</v>
      </c>
      <c r="W2" s="1634" t="s">
        <v>3186</v>
      </c>
      <c r="X2" s="1634" t="s">
        <v>3187</v>
      </c>
      <c r="Y2" s="1634" t="s">
        <v>3188</v>
      </c>
      <c r="Z2" s="1634" t="s">
        <v>3189</v>
      </c>
      <c r="AA2" s="1634" t="s">
        <v>3189</v>
      </c>
      <c r="AB2" s="1634" t="s">
        <v>3180</v>
      </c>
      <c r="AC2" s="1634" t="s">
        <v>3190</v>
      </c>
      <c r="AD2" s="1634" t="s">
        <v>3191</v>
      </c>
      <c r="AE2" s="1634">
        <v>121900</v>
      </c>
      <c r="AF2" s="1634">
        <v>609400</v>
      </c>
      <c r="AG2" s="1634">
        <v>690000</v>
      </c>
      <c r="AH2" s="1634">
        <v>3337.45</v>
      </c>
      <c r="AI2" s="1634">
        <v>3778.86</v>
      </c>
      <c r="AJ2" s="1634">
        <v>18582.21</v>
      </c>
      <c r="AK2" s="1634">
        <v>21039.91</v>
      </c>
      <c r="AL2" s="1634" t="s">
        <v>1327</v>
      </c>
      <c r="AM2" s="1634" t="s">
        <v>1327</v>
      </c>
      <c r="AN2" s="1634">
        <v>13.23</v>
      </c>
      <c r="AO2" s="1634" t="s">
        <v>3192</v>
      </c>
      <c r="AP2" s="1634" t="s">
        <v>1327</v>
      </c>
      <c r="AQ2" s="1634" t="s">
        <v>1327</v>
      </c>
      <c r="AR2" s="1634" t="s">
        <v>1327</v>
      </c>
      <c r="AS2" s="1634" t="s">
        <v>3193</v>
      </c>
    </row>
    <row r="3" spans="1:45">
      <c r="A3" s="1634" t="s">
        <v>3194</v>
      </c>
      <c r="B3" s="1634" t="s">
        <v>3092</v>
      </c>
      <c r="C3" s="1634" t="s">
        <v>3195</v>
      </c>
      <c r="D3" s="1634" t="s">
        <v>3177</v>
      </c>
      <c r="E3" s="1634" t="s">
        <v>1327</v>
      </c>
      <c r="F3" s="1634" t="s">
        <v>3178</v>
      </c>
      <c r="G3" s="1634" t="s">
        <v>3179</v>
      </c>
      <c r="H3" s="1634" t="s">
        <v>3196</v>
      </c>
      <c r="I3" s="1634" t="s">
        <v>3197</v>
      </c>
      <c r="J3" s="1634">
        <v>28622.32</v>
      </c>
      <c r="K3" s="1634">
        <v>71556</v>
      </c>
      <c r="L3" s="1634">
        <v>2.5</v>
      </c>
      <c r="M3" s="1634" t="s">
        <v>1327</v>
      </c>
      <c r="N3" s="1634" t="s">
        <v>3198</v>
      </c>
      <c r="O3" s="1634" t="s">
        <v>3199</v>
      </c>
      <c r="P3" s="1634" t="s">
        <v>1327</v>
      </c>
      <c r="Q3" s="1634" t="s">
        <v>1327</v>
      </c>
      <c r="R3" s="1634" t="s">
        <v>1327</v>
      </c>
      <c r="S3" s="1634" t="s">
        <v>1327</v>
      </c>
      <c r="T3" s="1634" t="s">
        <v>3200</v>
      </c>
      <c r="U3" s="1634" t="s">
        <v>3200</v>
      </c>
      <c r="V3" s="1634" t="s">
        <v>1327</v>
      </c>
      <c r="W3" s="1634" t="s">
        <v>3186</v>
      </c>
      <c r="X3" s="1634" t="s">
        <v>3201</v>
      </c>
      <c r="Y3" s="1634" t="s">
        <v>3202</v>
      </c>
      <c r="Z3" s="1634" t="s">
        <v>3187</v>
      </c>
      <c r="AA3" s="1634" t="s">
        <v>3187</v>
      </c>
      <c r="AB3" s="1634" t="s">
        <v>3196</v>
      </c>
      <c r="AC3" s="1634" t="s">
        <v>3190</v>
      </c>
      <c r="AD3" s="1634" t="s">
        <v>3203</v>
      </c>
      <c r="AE3" s="1634">
        <v>26400</v>
      </c>
      <c r="AF3" s="1634">
        <v>132000</v>
      </c>
      <c r="AG3" s="1634">
        <v>132000</v>
      </c>
      <c r="AH3" s="1634">
        <v>3074.52</v>
      </c>
      <c r="AI3" s="1634">
        <v>3074.52</v>
      </c>
      <c r="AJ3" s="1634">
        <v>18447.09</v>
      </c>
      <c r="AK3" s="1634">
        <v>18447.09</v>
      </c>
      <c r="AL3" s="1634" t="s">
        <v>1327</v>
      </c>
      <c r="AM3" s="1634" t="s">
        <v>1327</v>
      </c>
      <c r="AN3" s="1634">
        <v>0</v>
      </c>
      <c r="AO3" s="1634" t="s">
        <v>3204</v>
      </c>
      <c r="AP3" s="1634" t="s">
        <v>1327</v>
      </c>
      <c r="AQ3" s="1634" t="s">
        <v>1327</v>
      </c>
      <c r="AR3" s="1634" t="s">
        <v>1327</v>
      </c>
      <c r="AS3" s="1634" t="s">
        <v>3205</v>
      </c>
    </row>
    <row r="4" spans="1:45" s="2958" customFormat="1">
      <c r="A4" s="2958" t="s">
        <v>3206</v>
      </c>
      <c r="B4" s="2958" t="s">
        <v>3092</v>
      </c>
      <c r="C4" s="2978" t="s">
        <v>3615</v>
      </c>
      <c r="D4" s="2958" t="s">
        <v>3177</v>
      </c>
      <c r="E4" s="2958" t="s">
        <v>1327</v>
      </c>
      <c r="F4" s="2958" t="s">
        <v>3207</v>
      </c>
      <c r="G4" s="2958" t="s">
        <v>3179</v>
      </c>
      <c r="H4" s="2958" t="s">
        <v>3208</v>
      </c>
      <c r="I4" s="2958" t="s">
        <v>3209</v>
      </c>
      <c r="J4" s="2958">
        <v>97107.81</v>
      </c>
      <c r="K4" s="2958">
        <v>194226</v>
      </c>
      <c r="L4" s="2958">
        <v>2</v>
      </c>
      <c r="M4" s="2958" t="s">
        <v>1327</v>
      </c>
      <c r="N4" s="2958" t="s">
        <v>3183</v>
      </c>
      <c r="O4" s="2958" t="s">
        <v>3183</v>
      </c>
      <c r="P4" s="2958" t="s">
        <v>1327</v>
      </c>
      <c r="Q4" s="2958" t="s">
        <v>1327</v>
      </c>
      <c r="R4" s="2958" t="s">
        <v>1327</v>
      </c>
      <c r="S4" s="2958" t="s">
        <v>1327</v>
      </c>
      <c r="T4" s="2958" t="s">
        <v>3184</v>
      </c>
      <c r="U4" s="2958" t="s">
        <v>3185</v>
      </c>
      <c r="V4" s="2958" t="s">
        <v>1327</v>
      </c>
      <c r="W4" s="2958" t="s">
        <v>3186</v>
      </c>
      <c r="X4" s="2958" t="s">
        <v>3210</v>
      </c>
      <c r="Y4" s="2958" t="s">
        <v>3202</v>
      </c>
      <c r="Z4" s="2958" t="s">
        <v>3187</v>
      </c>
      <c r="AA4" s="2958" t="s">
        <v>3187</v>
      </c>
      <c r="AB4" s="2958" t="s">
        <v>3208</v>
      </c>
      <c r="AC4" s="2958" t="s">
        <v>3190</v>
      </c>
      <c r="AD4" s="2958" t="s">
        <v>3211</v>
      </c>
      <c r="AE4" s="2958">
        <v>81200</v>
      </c>
      <c r="AF4" s="2958">
        <v>406000</v>
      </c>
      <c r="AG4" s="2958">
        <v>410000</v>
      </c>
      <c r="AH4" s="2958">
        <v>2787.28</v>
      </c>
      <c r="AI4" s="2958">
        <v>2814.74</v>
      </c>
      <c r="AJ4" s="2958">
        <v>20903.48</v>
      </c>
      <c r="AK4" s="2958">
        <v>21109.43</v>
      </c>
      <c r="AL4" s="2958" t="s">
        <v>1327</v>
      </c>
      <c r="AM4" s="2958" t="s">
        <v>1327</v>
      </c>
      <c r="AN4" s="2958">
        <v>0.99</v>
      </c>
      <c r="AO4" s="2958" t="s">
        <v>3192</v>
      </c>
      <c r="AP4" s="2958" t="s">
        <v>1327</v>
      </c>
      <c r="AQ4" s="2958" t="s">
        <v>1327</v>
      </c>
      <c r="AR4" s="2958" t="s">
        <v>1327</v>
      </c>
      <c r="AS4" s="2958" t="s">
        <v>3212</v>
      </c>
    </row>
    <row r="5" spans="1:45" s="2958" customFormat="1">
      <c r="A5" s="2958" t="s">
        <v>3213</v>
      </c>
      <c r="B5" s="2958" t="s">
        <v>3092</v>
      </c>
      <c r="C5" s="2958" t="s">
        <v>3176</v>
      </c>
      <c r="D5" s="2958" t="s">
        <v>3177</v>
      </c>
      <c r="E5" s="2958" t="s">
        <v>1327</v>
      </c>
      <c r="F5" s="2958" t="s">
        <v>3214</v>
      </c>
      <c r="G5" s="2958" t="s">
        <v>3179</v>
      </c>
      <c r="H5" s="2958" t="s">
        <v>3215</v>
      </c>
      <c r="I5" s="2958" t="s">
        <v>3216</v>
      </c>
      <c r="J5" s="2958">
        <v>46848.3</v>
      </c>
      <c r="K5" s="2958">
        <v>137272</v>
      </c>
      <c r="L5" s="2958">
        <v>2.93</v>
      </c>
      <c r="M5" s="2958" t="s">
        <v>1327</v>
      </c>
      <c r="N5" s="2958" t="s">
        <v>3217</v>
      </c>
      <c r="O5" s="2958" t="s">
        <v>3218</v>
      </c>
      <c r="P5" s="2958" t="s">
        <v>1327</v>
      </c>
      <c r="Q5" s="2958" t="s">
        <v>1327</v>
      </c>
      <c r="R5" s="2958" t="s">
        <v>1327</v>
      </c>
      <c r="S5" s="2958" t="s">
        <v>1327</v>
      </c>
      <c r="T5" s="2958" t="s">
        <v>3219</v>
      </c>
      <c r="U5" s="2958" t="s">
        <v>3220</v>
      </c>
      <c r="V5" s="2958" t="s">
        <v>1327</v>
      </c>
      <c r="W5" s="2958" t="s">
        <v>3186</v>
      </c>
      <c r="X5" s="2958" t="s">
        <v>3221</v>
      </c>
      <c r="Y5" s="2958" t="s">
        <v>3210</v>
      </c>
      <c r="Z5" s="2958" t="s">
        <v>3222</v>
      </c>
      <c r="AA5" s="2958" t="s">
        <v>3222</v>
      </c>
      <c r="AB5" s="2958" t="s">
        <v>3215</v>
      </c>
      <c r="AC5" s="2958" t="s">
        <v>3190</v>
      </c>
      <c r="AD5" s="2958" t="s">
        <v>3223</v>
      </c>
      <c r="AE5" s="2958">
        <v>53200</v>
      </c>
      <c r="AF5" s="2958">
        <v>265700</v>
      </c>
      <c r="AG5" s="2958">
        <v>265700</v>
      </c>
      <c r="AH5" s="2958">
        <v>3781</v>
      </c>
      <c r="AI5" s="2958">
        <v>3781</v>
      </c>
      <c r="AJ5" s="2958">
        <v>19355.73</v>
      </c>
      <c r="AK5" s="2958">
        <v>19355.72</v>
      </c>
      <c r="AL5" s="2958" t="s">
        <v>1327</v>
      </c>
      <c r="AM5" s="2958" t="s">
        <v>1327</v>
      </c>
      <c r="AN5" s="2958">
        <v>0</v>
      </c>
      <c r="AO5" s="2958" t="s">
        <v>3192</v>
      </c>
      <c r="AP5" s="2958" t="s">
        <v>1327</v>
      </c>
      <c r="AQ5" s="2958" t="s">
        <v>1327</v>
      </c>
      <c r="AR5" s="2958" t="s">
        <v>1327</v>
      </c>
      <c r="AS5" s="2958" t="s">
        <v>3205</v>
      </c>
    </row>
    <row r="6" spans="1:45">
      <c r="A6" s="1634" t="s">
        <v>3224</v>
      </c>
      <c r="B6" s="1634" t="s">
        <v>3092</v>
      </c>
      <c r="C6" s="1634" t="s">
        <v>3176</v>
      </c>
      <c r="D6" s="1634" t="s">
        <v>3177</v>
      </c>
      <c r="E6" s="1634" t="s">
        <v>1327</v>
      </c>
      <c r="F6" s="1634" t="s">
        <v>3214</v>
      </c>
      <c r="G6" s="1634" t="s">
        <v>3179</v>
      </c>
      <c r="H6" s="1634" t="s">
        <v>3225</v>
      </c>
      <c r="I6" s="1634" t="s">
        <v>3226</v>
      </c>
      <c r="J6" s="1634">
        <v>175114.7</v>
      </c>
      <c r="K6" s="1634">
        <v>299579</v>
      </c>
      <c r="L6" s="1634">
        <v>1.7</v>
      </c>
      <c r="M6" s="1634" t="s">
        <v>1327</v>
      </c>
      <c r="N6" s="1634" t="s">
        <v>3227</v>
      </c>
      <c r="O6" s="1634" t="s">
        <v>3228</v>
      </c>
      <c r="P6" s="1634" t="s">
        <v>1327</v>
      </c>
      <c r="Q6" s="1634" t="s">
        <v>1327</v>
      </c>
      <c r="R6" s="1634" t="s">
        <v>1327</v>
      </c>
      <c r="S6" s="1634" t="s">
        <v>1327</v>
      </c>
      <c r="T6" s="1634" t="s">
        <v>3229</v>
      </c>
      <c r="U6" s="1634" t="s">
        <v>3230</v>
      </c>
      <c r="V6" s="1634" t="s">
        <v>1327</v>
      </c>
      <c r="W6" s="1634" t="s">
        <v>3231</v>
      </c>
      <c r="X6" s="1634" t="s">
        <v>3232</v>
      </c>
      <c r="Y6" s="1634" t="s">
        <v>3233</v>
      </c>
      <c r="Z6" s="1634" t="s">
        <v>3234</v>
      </c>
      <c r="AA6" s="1634" t="s">
        <v>3234</v>
      </c>
      <c r="AB6" s="1634" t="s">
        <v>3225</v>
      </c>
      <c r="AC6" s="1634" t="s">
        <v>3190</v>
      </c>
      <c r="AD6" s="1634" t="s">
        <v>3235</v>
      </c>
      <c r="AE6" s="1634">
        <v>136000</v>
      </c>
      <c r="AF6" s="1634">
        <v>453000</v>
      </c>
      <c r="AG6" s="1634">
        <v>545000</v>
      </c>
      <c r="AH6" s="1634">
        <v>1724.58</v>
      </c>
      <c r="AI6" s="1634">
        <v>2074.83</v>
      </c>
      <c r="AJ6" s="1634">
        <v>15121.21</v>
      </c>
      <c r="AK6" s="1634">
        <v>18192.2</v>
      </c>
      <c r="AL6" s="1634" t="s">
        <v>1327</v>
      </c>
      <c r="AM6" s="1634" t="s">
        <v>1327</v>
      </c>
      <c r="AN6" s="1634">
        <v>20.309999999999999</v>
      </c>
      <c r="AO6" s="1634" t="s">
        <v>3192</v>
      </c>
      <c r="AP6" s="1634" t="s">
        <v>1327</v>
      </c>
      <c r="AQ6" s="1634" t="s">
        <v>1327</v>
      </c>
      <c r="AR6" s="1634" t="s">
        <v>1327</v>
      </c>
      <c r="AS6" s="1634" t="s">
        <v>3193</v>
      </c>
    </row>
    <row r="7" spans="1:45">
      <c r="A7" s="1634" t="s">
        <v>3236</v>
      </c>
      <c r="B7" s="1634" t="s">
        <v>3092</v>
      </c>
      <c r="C7" s="1634" t="s">
        <v>3176</v>
      </c>
      <c r="D7" s="1634" t="s">
        <v>3177</v>
      </c>
      <c r="E7" s="1634" t="s">
        <v>1327</v>
      </c>
      <c r="F7" s="1634" t="s">
        <v>3237</v>
      </c>
      <c r="G7" s="1634" t="s">
        <v>3179</v>
      </c>
      <c r="H7" s="1634" t="s">
        <v>3238</v>
      </c>
      <c r="I7" s="1634" t="s">
        <v>3239</v>
      </c>
      <c r="J7" s="1634">
        <v>122262</v>
      </c>
      <c r="K7" s="1634">
        <v>285496</v>
      </c>
      <c r="L7" s="1634">
        <v>2.335</v>
      </c>
      <c r="M7" s="1634" t="s">
        <v>1327</v>
      </c>
      <c r="N7" s="1634" t="s">
        <v>3240</v>
      </c>
      <c r="O7" s="1634" t="s">
        <v>3241</v>
      </c>
      <c r="P7" s="1634" t="s">
        <v>1327</v>
      </c>
      <c r="Q7" s="1634" t="s">
        <v>1327</v>
      </c>
      <c r="R7" s="1634" t="s">
        <v>1327</v>
      </c>
      <c r="S7" s="1634" t="s">
        <v>3242</v>
      </c>
      <c r="T7" s="1634" t="s">
        <v>3243</v>
      </c>
      <c r="U7" s="1634" t="s">
        <v>3243</v>
      </c>
      <c r="V7" s="1634" t="s">
        <v>1327</v>
      </c>
      <c r="W7" s="1634" t="s">
        <v>3231</v>
      </c>
      <c r="X7" s="1634" t="s">
        <v>3244</v>
      </c>
      <c r="Y7" s="1634" t="s">
        <v>3245</v>
      </c>
      <c r="Z7" s="1634" t="s">
        <v>3246</v>
      </c>
      <c r="AA7" s="1634" t="s">
        <v>3246</v>
      </c>
      <c r="AB7" s="1634" t="s">
        <v>3238</v>
      </c>
      <c r="AC7" s="1634" t="s">
        <v>3190</v>
      </c>
      <c r="AD7" s="1634" t="s">
        <v>3247</v>
      </c>
      <c r="AE7" s="1634">
        <v>99000</v>
      </c>
      <c r="AF7" s="1634">
        <v>328500</v>
      </c>
      <c r="AG7" s="1634">
        <v>328500</v>
      </c>
      <c r="AH7" s="1634">
        <v>1791.24</v>
      </c>
      <c r="AI7" s="1634">
        <v>1791.24</v>
      </c>
      <c r="AJ7" s="1634">
        <v>11506.29</v>
      </c>
      <c r="AK7" s="1634">
        <v>11506.29</v>
      </c>
      <c r="AL7" s="1634" t="s">
        <v>1327</v>
      </c>
      <c r="AM7" s="1634" t="s">
        <v>1327</v>
      </c>
      <c r="AN7" s="1634">
        <v>0</v>
      </c>
      <c r="AO7" s="1634" t="s">
        <v>3192</v>
      </c>
      <c r="AP7" s="1634" t="s">
        <v>1327</v>
      </c>
      <c r="AQ7" s="1634" t="s">
        <v>1327</v>
      </c>
      <c r="AR7" s="1634" t="s">
        <v>1327</v>
      </c>
      <c r="AS7" s="1634" t="s">
        <v>3212</v>
      </c>
    </row>
    <row r="8" spans="1:45">
      <c r="A8" s="1634" t="s">
        <v>3248</v>
      </c>
      <c r="B8" s="1634" t="s">
        <v>3092</v>
      </c>
      <c r="C8" s="1634" t="s">
        <v>3176</v>
      </c>
      <c r="D8" s="1634" t="s">
        <v>3177</v>
      </c>
      <c r="E8" s="1634" t="s">
        <v>1327</v>
      </c>
      <c r="F8" s="1634" t="s">
        <v>3249</v>
      </c>
      <c r="G8" s="1634" t="s">
        <v>3179</v>
      </c>
      <c r="H8" s="1634" t="s">
        <v>3250</v>
      </c>
      <c r="I8" s="1634" t="s">
        <v>3251</v>
      </c>
      <c r="J8" s="1634">
        <v>71022.78</v>
      </c>
      <c r="K8" s="1634">
        <v>170414</v>
      </c>
      <c r="L8" s="1634">
        <v>2.4</v>
      </c>
      <c r="M8" s="1634" t="s">
        <v>1327</v>
      </c>
      <c r="N8" s="1634" t="s">
        <v>3252</v>
      </c>
      <c r="O8" s="1634" t="s">
        <v>3253</v>
      </c>
      <c r="P8" s="1634" t="s">
        <v>1327</v>
      </c>
      <c r="Q8" s="1634" t="s">
        <v>1327</v>
      </c>
      <c r="R8" s="1634" t="s">
        <v>1327</v>
      </c>
      <c r="S8" s="1634" t="s">
        <v>1327</v>
      </c>
      <c r="T8" s="1634" t="s">
        <v>3184</v>
      </c>
      <c r="U8" s="1634" t="s">
        <v>3254</v>
      </c>
      <c r="V8" s="1634" t="s">
        <v>1327</v>
      </c>
      <c r="W8" s="1634" t="s">
        <v>3255</v>
      </c>
      <c r="X8" s="1634" t="s">
        <v>3256</v>
      </c>
      <c r="Y8" s="1634" t="s">
        <v>3257</v>
      </c>
      <c r="Z8" s="1634" t="s">
        <v>3258</v>
      </c>
      <c r="AA8" s="1634" t="s">
        <v>3258</v>
      </c>
      <c r="AB8" s="1634" t="s">
        <v>3250</v>
      </c>
      <c r="AC8" s="1634" t="s">
        <v>3190</v>
      </c>
      <c r="AD8" s="1634" t="s">
        <v>3259</v>
      </c>
      <c r="AE8" s="1634">
        <v>135000</v>
      </c>
      <c r="AF8" s="1634">
        <v>450000</v>
      </c>
      <c r="AG8" s="1634">
        <v>648000</v>
      </c>
      <c r="AH8" s="1634">
        <v>4224</v>
      </c>
      <c r="AI8" s="1634">
        <v>6082.56</v>
      </c>
      <c r="AJ8" s="1634">
        <v>26406.28</v>
      </c>
      <c r="AK8" s="1634">
        <v>38025.040000000001</v>
      </c>
      <c r="AL8" s="1634" t="s">
        <v>1327</v>
      </c>
      <c r="AM8" s="1634" t="s">
        <v>1327</v>
      </c>
      <c r="AN8" s="1634">
        <v>44</v>
      </c>
      <c r="AO8" s="1634" t="s">
        <v>3192</v>
      </c>
      <c r="AP8" s="1634" t="s">
        <v>1327</v>
      </c>
      <c r="AQ8" s="1634">
        <v>3</v>
      </c>
      <c r="AR8" s="1634" t="s">
        <v>1327</v>
      </c>
      <c r="AS8" s="1634" t="s">
        <v>3205</v>
      </c>
    </row>
    <row r="9" spans="1:45">
      <c r="A9" s="1634" t="s">
        <v>3260</v>
      </c>
      <c r="B9" s="1634" t="s">
        <v>3092</v>
      </c>
      <c r="C9" s="1634" t="s">
        <v>3261</v>
      </c>
      <c r="D9" s="1634" t="s">
        <v>3177</v>
      </c>
      <c r="E9" s="1634" t="s">
        <v>1327</v>
      </c>
      <c r="F9" s="1634" t="s">
        <v>3262</v>
      </c>
      <c r="G9" s="1634" t="s">
        <v>3179</v>
      </c>
      <c r="H9" s="1634" t="s">
        <v>3263</v>
      </c>
      <c r="I9" s="1634" t="s">
        <v>3264</v>
      </c>
      <c r="J9" s="1634">
        <v>66465.42</v>
      </c>
      <c r="K9" s="1634">
        <v>99698</v>
      </c>
      <c r="L9" s="1634">
        <v>1.5</v>
      </c>
      <c r="M9" s="1634" t="s">
        <v>1327</v>
      </c>
      <c r="N9" s="1634" t="s">
        <v>3265</v>
      </c>
      <c r="O9" s="1634" t="s">
        <v>3266</v>
      </c>
      <c r="P9" s="1634" t="s">
        <v>1327</v>
      </c>
      <c r="Q9" s="1634" t="s">
        <v>1327</v>
      </c>
      <c r="R9" s="1634" t="s">
        <v>1327</v>
      </c>
      <c r="S9" s="1634" t="s">
        <v>3267</v>
      </c>
      <c r="T9" s="1634" t="s">
        <v>3243</v>
      </c>
      <c r="U9" s="1634" t="s">
        <v>3243</v>
      </c>
      <c r="V9" s="1634" t="s">
        <v>1327</v>
      </c>
      <c r="W9" s="1634" t="s">
        <v>3231</v>
      </c>
      <c r="X9" s="1634" t="s">
        <v>3268</v>
      </c>
      <c r="Y9" s="1634" t="s">
        <v>3269</v>
      </c>
      <c r="Z9" s="1634" t="s">
        <v>3270</v>
      </c>
      <c r="AA9" s="1634" t="s">
        <v>3270</v>
      </c>
      <c r="AB9" s="1634" t="s">
        <v>3263</v>
      </c>
      <c r="AC9" s="1634" t="s">
        <v>3190</v>
      </c>
      <c r="AD9" s="1634" t="s">
        <v>3247</v>
      </c>
      <c r="AE9" s="1634">
        <v>56000</v>
      </c>
      <c r="AF9" s="1634">
        <v>185000</v>
      </c>
      <c r="AG9" s="1634">
        <v>190000</v>
      </c>
      <c r="AH9" s="1634">
        <v>1855.6</v>
      </c>
      <c r="AI9" s="1634">
        <v>1905.75</v>
      </c>
      <c r="AJ9" s="1634">
        <v>18556.04</v>
      </c>
      <c r="AK9" s="1634">
        <v>19057.54</v>
      </c>
      <c r="AL9" s="1634" t="s">
        <v>1327</v>
      </c>
      <c r="AM9" s="1634" t="s">
        <v>1327</v>
      </c>
      <c r="AN9" s="1634">
        <v>2.7</v>
      </c>
      <c r="AO9" s="1634" t="s">
        <v>3192</v>
      </c>
      <c r="AP9" s="1634" t="s">
        <v>1327</v>
      </c>
      <c r="AQ9" s="1634" t="s">
        <v>1327</v>
      </c>
      <c r="AR9" s="1634" t="s">
        <v>1327</v>
      </c>
      <c r="AS9" s="1634" t="s">
        <v>3212</v>
      </c>
    </row>
    <row r="10" spans="1:45">
      <c r="A10" s="1634" t="s">
        <v>3271</v>
      </c>
      <c r="B10" s="1634" t="s">
        <v>3092</v>
      </c>
      <c r="C10" s="1634" t="s">
        <v>3261</v>
      </c>
      <c r="D10" s="1634" t="s">
        <v>3177</v>
      </c>
      <c r="E10" s="1634" t="s">
        <v>1327</v>
      </c>
      <c r="F10" s="1634" t="s">
        <v>3272</v>
      </c>
      <c r="G10" s="1634" t="s">
        <v>3179</v>
      </c>
      <c r="H10" s="1634" t="s">
        <v>3273</v>
      </c>
      <c r="I10" s="1634" t="s">
        <v>3264</v>
      </c>
      <c r="J10" s="1634">
        <v>30890.99</v>
      </c>
      <c r="K10" s="1634">
        <v>67960</v>
      </c>
      <c r="L10" s="1634">
        <v>2.2000000000000002</v>
      </c>
      <c r="M10" s="1634" t="s">
        <v>1327</v>
      </c>
      <c r="N10" s="1634" t="s">
        <v>3265</v>
      </c>
      <c r="O10" s="1634" t="s">
        <v>3274</v>
      </c>
      <c r="P10" s="1634" t="s">
        <v>1327</v>
      </c>
      <c r="Q10" s="1634" t="s">
        <v>1327</v>
      </c>
      <c r="R10" s="1634" t="s">
        <v>1327</v>
      </c>
      <c r="S10" s="1634" t="s">
        <v>1327</v>
      </c>
      <c r="T10" s="1634" t="s">
        <v>3184</v>
      </c>
      <c r="U10" s="1634" t="s">
        <v>3254</v>
      </c>
      <c r="V10" s="1634" t="s">
        <v>1327</v>
      </c>
      <c r="W10" s="1634" t="s">
        <v>3231</v>
      </c>
      <c r="X10" s="1634" t="s">
        <v>3275</v>
      </c>
      <c r="Y10" s="1634" t="s">
        <v>3276</v>
      </c>
      <c r="Z10" s="1634" t="s">
        <v>3277</v>
      </c>
      <c r="AA10" s="1634" t="s">
        <v>3277</v>
      </c>
      <c r="AB10" s="1634" t="s">
        <v>3273</v>
      </c>
      <c r="AC10" s="1634" t="s">
        <v>3190</v>
      </c>
      <c r="AD10" s="1634" t="s">
        <v>3278</v>
      </c>
      <c r="AE10" s="1634">
        <v>48000</v>
      </c>
      <c r="AF10" s="1634">
        <v>160000</v>
      </c>
      <c r="AG10" s="1634">
        <v>238000</v>
      </c>
      <c r="AH10" s="1634">
        <v>3453</v>
      </c>
      <c r="AI10" s="1634">
        <v>5136.34</v>
      </c>
      <c r="AJ10" s="1634">
        <v>23543.25</v>
      </c>
      <c r="AK10" s="1634">
        <v>35020.589999999997</v>
      </c>
      <c r="AL10" s="1634" t="s">
        <v>1327</v>
      </c>
      <c r="AM10" s="1634" t="s">
        <v>1327</v>
      </c>
      <c r="AN10" s="1634">
        <v>48.75</v>
      </c>
      <c r="AO10" s="1634" t="s">
        <v>3192</v>
      </c>
      <c r="AP10" s="1634" t="s">
        <v>1327</v>
      </c>
      <c r="AQ10" s="1634">
        <v>15</v>
      </c>
      <c r="AR10" s="1634" t="s">
        <v>1327</v>
      </c>
      <c r="AS10" s="1634" t="s">
        <v>3193</v>
      </c>
    </row>
    <row r="11" spans="1:45" s="2958" customFormat="1">
      <c r="A11" s="2958" t="s">
        <v>3279</v>
      </c>
      <c r="B11" s="2958" t="s">
        <v>3092</v>
      </c>
      <c r="C11" s="2958" t="s">
        <v>3176</v>
      </c>
      <c r="D11" s="2958" t="s">
        <v>3177</v>
      </c>
      <c r="E11" s="2958" t="s">
        <v>1327</v>
      </c>
      <c r="F11" s="2958" t="s">
        <v>3237</v>
      </c>
      <c r="G11" s="2958" t="s">
        <v>3179</v>
      </c>
      <c r="H11" s="2958" t="s">
        <v>3280</v>
      </c>
      <c r="I11" s="2958" t="s">
        <v>3281</v>
      </c>
      <c r="J11" s="2958">
        <v>101259.5</v>
      </c>
      <c r="K11" s="2958">
        <v>202324</v>
      </c>
      <c r="L11" s="2958">
        <v>2</v>
      </c>
      <c r="M11" s="2958" t="s">
        <v>1327</v>
      </c>
      <c r="N11" s="2958" t="s">
        <v>3282</v>
      </c>
      <c r="O11" s="2958" t="s">
        <v>3282</v>
      </c>
      <c r="P11" s="2958" t="s">
        <v>1327</v>
      </c>
      <c r="Q11" s="2958" t="s">
        <v>1327</v>
      </c>
      <c r="R11" s="2958" t="s">
        <v>1327</v>
      </c>
      <c r="S11" s="2958" t="s">
        <v>1327</v>
      </c>
      <c r="T11" s="2958" t="s">
        <v>3219</v>
      </c>
      <c r="U11" s="2958" t="s">
        <v>3220</v>
      </c>
      <c r="V11" s="2958" t="s">
        <v>1327</v>
      </c>
      <c r="W11" s="2958" t="s">
        <v>3231</v>
      </c>
      <c r="X11" s="2958" t="s">
        <v>3283</v>
      </c>
      <c r="Y11" s="2958" t="s">
        <v>3284</v>
      </c>
      <c r="Z11" s="2958" t="s">
        <v>3285</v>
      </c>
      <c r="AA11" s="2958" t="s">
        <v>3285</v>
      </c>
      <c r="AB11" s="2958" t="s">
        <v>3280</v>
      </c>
      <c r="AC11" s="2958" t="s">
        <v>3190</v>
      </c>
      <c r="AD11" s="2958" t="s">
        <v>3286</v>
      </c>
      <c r="AE11" s="2958">
        <v>110000</v>
      </c>
      <c r="AF11" s="2958">
        <v>370000</v>
      </c>
      <c r="AG11" s="2958">
        <v>395000</v>
      </c>
      <c r="AH11" s="2958">
        <v>2435.9899999999998</v>
      </c>
      <c r="AI11" s="2958">
        <v>2600.58</v>
      </c>
      <c r="AJ11" s="2958">
        <v>18287.5</v>
      </c>
      <c r="AK11" s="2958">
        <v>19523.13</v>
      </c>
      <c r="AL11" s="2958" t="s">
        <v>1327</v>
      </c>
      <c r="AM11" s="2958" t="s">
        <v>1327</v>
      </c>
      <c r="AN11" s="2958">
        <v>6.76</v>
      </c>
      <c r="AO11" s="2958" t="s">
        <v>3192</v>
      </c>
      <c r="AP11" s="2958" t="s">
        <v>1327</v>
      </c>
      <c r="AQ11" s="2958" t="s">
        <v>1327</v>
      </c>
      <c r="AR11" s="2958" t="s">
        <v>1327</v>
      </c>
      <c r="AS11" s="2958" t="s">
        <v>3193</v>
      </c>
    </row>
    <row r="12" spans="1:45">
      <c r="A12" s="1634" t="s">
        <v>3287</v>
      </c>
      <c r="B12" s="1634" t="s">
        <v>3092</v>
      </c>
      <c r="C12" s="1634" t="s">
        <v>3261</v>
      </c>
      <c r="D12" s="1634" t="s">
        <v>3177</v>
      </c>
      <c r="E12" s="1634" t="s">
        <v>1327</v>
      </c>
      <c r="F12" s="1634" t="s">
        <v>3237</v>
      </c>
      <c r="G12" s="1634" t="s">
        <v>3179</v>
      </c>
      <c r="H12" s="1634" t="s">
        <v>3288</v>
      </c>
      <c r="I12" s="1634" t="s">
        <v>3264</v>
      </c>
      <c r="J12" s="1634">
        <v>44353.34</v>
      </c>
      <c r="K12" s="1634">
        <v>97577</v>
      </c>
      <c r="L12" s="1634">
        <v>2.2000000000000002</v>
      </c>
      <c r="M12" s="1634" t="s">
        <v>1327</v>
      </c>
      <c r="N12" s="1634" t="s">
        <v>3265</v>
      </c>
      <c r="O12" s="1634" t="s">
        <v>3289</v>
      </c>
      <c r="P12" s="1634" t="s">
        <v>1327</v>
      </c>
      <c r="Q12" s="1634" t="s">
        <v>1327</v>
      </c>
      <c r="R12" s="1634" t="s">
        <v>1327</v>
      </c>
      <c r="S12" s="1634" t="s">
        <v>3290</v>
      </c>
      <c r="T12" s="1634" t="s">
        <v>3243</v>
      </c>
      <c r="U12" s="1634" t="s">
        <v>3243</v>
      </c>
      <c r="V12" s="1634" t="s">
        <v>1327</v>
      </c>
      <c r="W12" s="1634" t="s">
        <v>3231</v>
      </c>
      <c r="X12" s="1634" t="s">
        <v>3291</v>
      </c>
      <c r="Y12" s="1634" t="s">
        <v>3292</v>
      </c>
      <c r="Z12" s="1634" t="s">
        <v>3293</v>
      </c>
      <c r="AA12" s="1634" t="s">
        <v>3293</v>
      </c>
      <c r="AB12" s="1634" t="s">
        <v>3288</v>
      </c>
      <c r="AC12" s="1634" t="s">
        <v>3190</v>
      </c>
      <c r="AD12" s="1634" t="s">
        <v>3294</v>
      </c>
      <c r="AE12" s="1634">
        <v>53000</v>
      </c>
      <c r="AF12" s="1634">
        <v>175000</v>
      </c>
      <c r="AG12" s="1634">
        <v>222000</v>
      </c>
      <c r="AH12" s="1634">
        <v>2630.39</v>
      </c>
      <c r="AI12" s="1634">
        <v>3336.84</v>
      </c>
      <c r="AJ12" s="1634">
        <v>17934.55</v>
      </c>
      <c r="AK12" s="1634">
        <v>22751.25</v>
      </c>
      <c r="AL12" s="1634" t="s">
        <v>1327</v>
      </c>
      <c r="AM12" s="1634" t="s">
        <v>1327</v>
      </c>
      <c r="AN12" s="1634">
        <v>26.86</v>
      </c>
      <c r="AO12" s="1634" t="s">
        <v>3192</v>
      </c>
      <c r="AP12" s="1634" t="s">
        <v>1327</v>
      </c>
      <c r="AQ12" s="1634" t="s">
        <v>1327</v>
      </c>
      <c r="AR12" s="1634" t="s">
        <v>1327</v>
      </c>
      <c r="AS12" s="1634" t="s">
        <v>3193</v>
      </c>
    </row>
    <row r="13" spans="1:45">
      <c r="A13" s="1634" t="s">
        <v>3295</v>
      </c>
      <c r="B13" s="1634" t="s">
        <v>3092</v>
      </c>
      <c r="C13" s="1634" t="s">
        <v>3176</v>
      </c>
      <c r="D13" s="1634" t="s">
        <v>3177</v>
      </c>
      <c r="E13" s="1634" t="s">
        <v>1327</v>
      </c>
      <c r="F13" s="1634" t="s">
        <v>3296</v>
      </c>
      <c r="G13" s="1634" t="s">
        <v>3179</v>
      </c>
      <c r="H13" s="1634" t="s">
        <v>3297</v>
      </c>
      <c r="I13" s="1634" t="s">
        <v>3298</v>
      </c>
      <c r="J13" s="1634">
        <v>89347.09</v>
      </c>
      <c r="K13" s="1634">
        <v>178694</v>
      </c>
      <c r="L13" s="1634">
        <v>2</v>
      </c>
      <c r="M13" s="1634" t="s">
        <v>1327</v>
      </c>
      <c r="N13" s="1634" t="s">
        <v>1327</v>
      </c>
      <c r="O13" s="1634" t="s">
        <v>1327</v>
      </c>
      <c r="P13" s="1634" t="s">
        <v>3299</v>
      </c>
      <c r="Q13" s="1634">
        <v>37500</v>
      </c>
      <c r="R13" s="1634">
        <v>57500</v>
      </c>
      <c r="S13" s="1634" t="s">
        <v>1327</v>
      </c>
      <c r="T13" s="1634" t="s">
        <v>1327</v>
      </c>
      <c r="U13" s="1634" t="s">
        <v>1327</v>
      </c>
      <c r="V13" s="1634" t="s">
        <v>1327</v>
      </c>
      <c r="W13" s="1634" t="s">
        <v>3255</v>
      </c>
      <c r="X13" s="1634" t="s">
        <v>3300</v>
      </c>
      <c r="Y13" s="1634" t="s">
        <v>3301</v>
      </c>
      <c r="Z13" s="1634" t="s">
        <v>3302</v>
      </c>
      <c r="AA13" s="1634" t="s">
        <v>3302</v>
      </c>
      <c r="AB13" s="1634" t="s">
        <v>3297</v>
      </c>
      <c r="AC13" s="1634" t="s">
        <v>3190</v>
      </c>
      <c r="AD13" s="1634" t="s">
        <v>3303</v>
      </c>
      <c r="AE13" s="1634">
        <v>64000</v>
      </c>
      <c r="AF13" s="1634">
        <v>213000</v>
      </c>
      <c r="AG13" s="1634">
        <v>319500</v>
      </c>
      <c r="AH13" s="1634">
        <v>1589.31</v>
      </c>
      <c r="AI13" s="1634">
        <v>2383.96</v>
      </c>
      <c r="AJ13" s="1634">
        <v>11919.81</v>
      </c>
      <c r="AK13" s="1634">
        <v>17879.72</v>
      </c>
      <c r="AL13" s="1634">
        <v>15086</v>
      </c>
      <c r="AM13" s="1634">
        <v>26363</v>
      </c>
      <c r="AN13" s="1634">
        <v>50</v>
      </c>
      <c r="AO13" s="1634" t="s">
        <v>3192</v>
      </c>
      <c r="AP13" s="1634" t="s">
        <v>1327</v>
      </c>
      <c r="AQ13" s="1634" t="s">
        <v>1327</v>
      </c>
      <c r="AR13" s="1634" t="s">
        <v>1327</v>
      </c>
      <c r="AS13" s="1634" t="s">
        <v>3193</v>
      </c>
    </row>
    <row r="14" spans="1:45">
      <c r="A14" s="1634" t="s">
        <v>3304</v>
      </c>
      <c r="B14" s="1634" t="s">
        <v>3092</v>
      </c>
      <c r="C14" s="1634" t="s">
        <v>3176</v>
      </c>
      <c r="D14" s="1634" t="s">
        <v>3177</v>
      </c>
      <c r="E14" s="1634" t="s">
        <v>1327</v>
      </c>
      <c r="F14" s="1634" t="s">
        <v>3296</v>
      </c>
      <c r="G14" s="1634" t="s">
        <v>3179</v>
      </c>
      <c r="H14" s="1634" t="s">
        <v>3305</v>
      </c>
      <c r="I14" s="1634" t="s">
        <v>3298</v>
      </c>
      <c r="J14" s="1634">
        <v>83732.679999999993</v>
      </c>
      <c r="K14" s="1634">
        <v>167465</v>
      </c>
      <c r="L14" s="1634">
        <v>2</v>
      </c>
      <c r="M14" s="1634" t="s">
        <v>1327</v>
      </c>
      <c r="N14" s="1634" t="s">
        <v>1327</v>
      </c>
      <c r="O14" s="1634" t="s">
        <v>1327</v>
      </c>
      <c r="P14" s="1634" t="s">
        <v>1327</v>
      </c>
      <c r="Q14" s="1634">
        <v>35200</v>
      </c>
      <c r="R14" s="1634">
        <v>57200</v>
      </c>
      <c r="S14" s="1634" t="s">
        <v>1327</v>
      </c>
      <c r="T14" s="1634" t="s">
        <v>1327</v>
      </c>
      <c r="U14" s="1634" t="s">
        <v>1327</v>
      </c>
      <c r="V14" s="1634" t="s">
        <v>1327</v>
      </c>
      <c r="W14" s="1634" t="s">
        <v>3255</v>
      </c>
      <c r="X14" s="1634" t="s">
        <v>3300</v>
      </c>
      <c r="Y14" s="1634" t="s">
        <v>3301</v>
      </c>
      <c r="Z14" s="1634" t="s">
        <v>3302</v>
      </c>
      <c r="AA14" s="1634" t="s">
        <v>3302</v>
      </c>
      <c r="AB14" s="1634" t="s">
        <v>3305</v>
      </c>
      <c r="AC14" s="1634" t="s">
        <v>3190</v>
      </c>
      <c r="AD14" s="1634" t="s">
        <v>3303</v>
      </c>
      <c r="AE14" s="1634">
        <v>60000</v>
      </c>
      <c r="AF14" s="1634">
        <v>200000</v>
      </c>
      <c r="AG14" s="1634">
        <v>300000</v>
      </c>
      <c r="AH14" s="1634">
        <v>1592.37</v>
      </c>
      <c r="AI14" s="1634">
        <v>2388.5500000000002</v>
      </c>
      <c r="AJ14" s="1634">
        <v>11942.79</v>
      </c>
      <c r="AK14" s="1634">
        <v>17914.18</v>
      </c>
      <c r="AL14" s="1634">
        <v>15121</v>
      </c>
      <c r="AM14" s="1634">
        <v>27207</v>
      </c>
      <c r="AN14" s="1634">
        <v>50</v>
      </c>
      <c r="AO14" s="1634" t="s">
        <v>3192</v>
      </c>
      <c r="AP14" s="1634" t="s">
        <v>1327</v>
      </c>
      <c r="AQ14" s="1634" t="s">
        <v>1327</v>
      </c>
      <c r="AR14" s="1634" t="s">
        <v>1327</v>
      </c>
      <c r="AS14" s="1634" t="s">
        <v>3193</v>
      </c>
    </row>
    <row r="15" spans="1:45">
      <c r="A15" s="1634" t="s">
        <v>3306</v>
      </c>
      <c r="B15" s="1634" t="s">
        <v>3092</v>
      </c>
      <c r="C15" s="1634" t="s">
        <v>3176</v>
      </c>
      <c r="D15" s="1634" t="s">
        <v>3177</v>
      </c>
      <c r="E15" s="1634" t="s">
        <v>1327</v>
      </c>
      <c r="F15" s="1634" t="s">
        <v>3307</v>
      </c>
      <c r="G15" s="1634" t="s">
        <v>3179</v>
      </c>
      <c r="H15" s="1634" t="s">
        <v>3308</v>
      </c>
      <c r="I15" s="1634" t="s">
        <v>3309</v>
      </c>
      <c r="J15" s="1634">
        <v>52140.02</v>
      </c>
      <c r="K15" s="1634">
        <v>83940</v>
      </c>
      <c r="L15" s="1634">
        <v>1.6</v>
      </c>
      <c r="M15" s="1634" t="s">
        <v>1327</v>
      </c>
      <c r="N15" s="1634" t="s">
        <v>1327</v>
      </c>
      <c r="O15" s="1634" t="s">
        <v>1327</v>
      </c>
      <c r="P15" s="1634" t="s">
        <v>3310</v>
      </c>
      <c r="Q15" s="1634" t="s">
        <v>1327</v>
      </c>
      <c r="R15" s="1634" t="s">
        <v>1327</v>
      </c>
      <c r="S15" s="1634" t="s">
        <v>1327</v>
      </c>
      <c r="T15" s="1634" t="s">
        <v>1327</v>
      </c>
      <c r="U15" s="1634" t="s">
        <v>1327</v>
      </c>
      <c r="V15" s="1634" t="s">
        <v>1327</v>
      </c>
      <c r="W15" s="1634" t="s">
        <v>3255</v>
      </c>
      <c r="X15" s="1634" t="s">
        <v>3311</v>
      </c>
      <c r="Y15" s="1634" t="s">
        <v>3312</v>
      </c>
      <c r="Z15" s="1634" t="s">
        <v>3313</v>
      </c>
      <c r="AA15" s="1634" t="s">
        <v>3313</v>
      </c>
      <c r="AB15" s="1634" t="s">
        <v>3308</v>
      </c>
      <c r="AC15" s="1634" t="s">
        <v>3190</v>
      </c>
      <c r="AD15" s="1634" t="s">
        <v>3314</v>
      </c>
      <c r="AE15" s="1634">
        <v>16000</v>
      </c>
      <c r="AF15" s="1634">
        <v>50450</v>
      </c>
      <c r="AG15" s="1634">
        <v>50450</v>
      </c>
      <c r="AH15" s="1634">
        <v>645.05999999999995</v>
      </c>
      <c r="AI15" s="1634">
        <v>645.05999999999995</v>
      </c>
      <c r="AJ15" s="1634">
        <v>6010.24</v>
      </c>
      <c r="AK15" s="1634">
        <v>6010.25</v>
      </c>
      <c r="AL15" s="1634" t="s">
        <v>1327</v>
      </c>
      <c r="AM15" s="1634" t="s">
        <v>1327</v>
      </c>
      <c r="AN15" s="1634">
        <v>0</v>
      </c>
      <c r="AO15" s="1634" t="s">
        <v>3192</v>
      </c>
      <c r="AP15" s="1634" t="s">
        <v>1327</v>
      </c>
      <c r="AQ15" s="1634" t="s">
        <v>1327</v>
      </c>
      <c r="AR15" s="1634" t="s">
        <v>1327</v>
      </c>
      <c r="AS15" s="1634" t="s">
        <v>3205</v>
      </c>
    </row>
    <row r="16" spans="1:45">
      <c r="A16" s="1634" t="s">
        <v>3315</v>
      </c>
      <c r="B16" s="1634" t="s">
        <v>3092</v>
      </c>
      <c r="C16" s="1634" t="s">
        <v>3176</v>
      </c>
      <c r="D16" s="1634" t="s">
        <v>3177</v>
      </c>
      <c r="E16" s="1634" t="s">
        <v>1327</v>
      </c>
      <c r="F16" s="1634" t="s">
        <v>3316</v>
      </c>
      <c r="G16" s="1634" t="s">
        <v>3179</v>
      </c>
      <c r="H16" s="1634" t="s">
        <v>3317</v>
      </c>
      <c r="I16" s="1634" t="s">
        <v>3318</v>
      </c>
      <c r="J16" s="1634">
        <v>42685.77</v>
      </c>
      <c r="K16" s="1634">
        <v>124350</v>
      </c>
      <c r="L16" s="1634">
        <v>2.91</v>
      </c>
      <c r="M16" s="1634" t="s">
        <v>1327</v>
      </c>
      <c r="N16" s="1634" t="s">
        <v>1327</v>
      </c>
      <c r="O16" s="1634" t="s">
        <v>1327</v>
      </c>
      <c r="P16" s="1634" t="s">
        <v>3299</v>
      </c>
      <c r="Q16" s="1634">
        <v>17400</v>
      </c>
      <c r="R16" s="1634">
        <v>17400</v>
      </c>
      <c r="S16" s="1634" t="s">
        <v>1327</v>
      </c>
      <c r="T16" s="1634" t="s">
        <v>1327</v>
      </c>
      <c r="U16" s="1634" t="s">
        <v>1327</v>
      </c>
      <c r="V16" s="1634" t="s">
        <v>1327</v>
      </c>
      <c r="W16" s="1634" t="s">
        <v>3255</v>
      </c>
      <c r="X16" s="1634" t="s">
        <v>3319</v>
      </c>
      <c r="Y16" s="1634" t="s">
        <v>3320</v>
      </c>
      <c r="Z16" s="1634" t="s">
        <v>3321</v>
      </c>
      <c r="AA16" s="1634" t="s">
        <v>3321</v>
      </c>
      <c r="AB16" s="1634" t="s">
        <v>3317</v>
      </c>
      <c r="AC16" s="1634" t="s">
        <v>3190</v>
      </c>
      <c r="AD16" s="1634" t="s">
        <v>3322</v>
      </c>
      <c r="AE16" s="1634">
        <v>38000</v>
      </c>
      <c r="AF16" s="1634">
        <v>126100</v>
      </c>
      <c r="AG16" s="1634">
        <v>172000</v>
      </c>
      <c r="AH16" s="1634">
        <v>1969.43</v>
      </c>
      <c r="AI16" s="1634">
        <v>2686.3</v>
      </c>
      <c r="AJ16" s="1634">
        <v>10140.73</v>
      </c>
      <c r="AK16" s="1634">
        <v>13831.93</v>
      </c>
      <c r="AL16" s="1634">
        <v>11791</v>
      </c>
      <c r="AM16" s="1634">
        <v>16082</v>
      </c>
      <c r="AN16" s="1634">
        <v>36.4</v>
      </c>
      <c r="AO16" s="1634" t="s">
        <v>3192</v>
      </c>
      <c r="AP16" s="1634" t="s">
        <v>1327</v>
      </c>
      <c r="AQ16" s="1634" t="s">
        <v>1327</v>
      </c>
      <c r="AR16" s="1634" t="s">
        <v>1327</v>
      </c>
      <c r="AS16" s="1634" t="s">
        <v>3193</v>
      </c>
    </row>
    <row r="17" spans="1:45">
      <c r="A17" s="1634" t="s">
        <v>3323</v>
      </c>
      <c r="B17" s="1634" t="s">
        <v>3092</v>
      </c>
      <c r="C17" s="1634" t="s">
        <v>3176</v>
      </c>
      <c r="D17" s="1634" t="s">
        <v>3177</v>
      </c>
      <c r="E17" s="1634" t="s">
        <v>1327</v>
      </c>
      <c r="F17" s="1634" t="s">
        <v>3316</v>
      </c>
      <c r="G17" s="1634" t="s">
        <v>3179</v>
      </c>
      <c r="H17" s="1634" t="s">
        <v>3324</v>
      </c>
      <c r="I17" s="1634" t="s">
        <v>3325</v>
      </c>
      <c r="J17" s="1634">
        <v>90996.11</v>
      </c>
      <c r="K17" s="1634">
        <v>343161</v>
      </c>
      <c r="L17" s="1634">
        <v>3.77</v>
      </c>
      <c r="M17" s="1634" t="s">
        <v>1327</v>
      </c>
      <c r="N17" s="1634" t="s">
        <v>1327</v>
      </c>
      <c r="O17" s="1634" t="s">
        <v>1327</v>
      </c>
      <c r="P17" s="1634" t="s">
        <v>3299</v>
      </c>
      <c r="Q17" s="1634">
        <v>26300</v>
      </c>
      <c r="R17" s="1634">
        <v>26300</v>
      </c>
      <c r="S17" s="1634" t="s">
        <v>1327</v>
      </c>
      <c r="T17" s="1634" t="s">
        <v>1327</v>
      </c>
      <c r="U17" s="1634" t="s">
        <v>1327</v>
      </c>
      <c r="V17" s="1634" t="s">
        <v>1327</v>
      </c>
      <c r="W17" s="1634" t="s">
        <v>3255</v>
      </c>
      <c r="X17" s="1634" t="s">
        <v>3319</v>
      </c>
      <c r="Y17" s="1634" t="s">
        <v>3320</v>
      </c>
      <c r="Z17" s="1634" t="s">
        <v>3321</v>
      </c>
      <c r="AA17" s="1634" t="s">
        <v>3321</v>
      </c>
      <c r="AB17" s="1634" t="s">
        <v>3324</v>
      </c>
      <c r="AC17" s="1634" t="s">
        <v>3190</v>
      </c>
      <c r="AD17" s="1634" t="s">
        <v>3322</v>
      </c>
      <c r="AE17" s="1634">
        <v>99000</v>
      </c>
      <c r="AF17" s="1634">
        <v>330000</v>
      </c>
      <c r="AG17" s="1634">
        <v>330000</v>
      </c>
      <c r="AH17" s="1634">
        <v>2417.69</v>
      </c>
      <c r="AI17" s="1634">
        <v>2417.69</v>
      </c>
      <c r="AJ17" s="1634">
        <v>9616.4699999999993</v>
      </c>
      <c r="AK17" s="1634">
        <v>9616.4699999999993</v>
      </c>
      <c r="AL17" s="1634">
        <v>10415</v>
      </c>
      <c r="AM17" s="1634">
        <v>10415</v>
      </c>
      <c r="AN17" s="1634">
        <v>0</v>
      </c>
      <c r="AO17" s="1634" t="s">
        <v>3326</v>
      </c>
      <c r="AP17" s="1634" t="s">
        <v>1327</v>
      </c>
      <c r="AQ17" s="1634" t="s">
        <v>1327</v>
      </c>
      <c r="AR17" s="1634" t="s">
        <v>1327</v>
      </c>
      <c r="AS17" s="1634" t="s">
        <v>3193</v>
      </c>
    </row>
    <row r="18" spans="1:45">
      <c r="A18" s="1634" t="s">
        <v>3327</v>
      </c>
      <c r="B18" s="1634" t="s">
        <v>3092</v>
      </c>
      <c r="C18" s="1634" t="s">
        <v>3176</v>
      </c>
      <c r="D18" s="1634" t="s">
        <v>3177</v>
      </c>
      <c r="E18" s="1634" t="s">
        <v>1327</v>
      </c>
      <c r="F18" s="1634" t="s">
        <v>3237</v>
      </c>
      <c r="G18" s="1634" t="s">
        <v>3179</v>
      </c>
      <c r="H18" s="1634" t="s">
        <v>3328</v>
      </c>
      <c r="I18" s="1634" t="s">
        <v>3329</v>
      </c>
      <c r="J18" s="1634">
        <v>73293.58</v>
      </c>
      <c r="K18" s="1634">
        <v>143980</v>
      </c>
      <c r="L18" s="1634">
        <v>1.96</v>
      </c>
      <c r="M18" s="1634" t="s">
        <v>1327</v>
      </c>
      <c r="N18" s="1634" t="s">
        <v>1327</v>
      </c>
      <c r="O18" s="1634" t="s">
        <v>1327</v>
      </c>
      <c r="P18" s="1634" t="s">
        <v>3310</v>
      </c>
      <c r="Q18" s="1634">
        <v>34700</v>
      </c>
      <c r="R18" s="1634">
        <v>72700</v>
      </c>
      <c r="S18" s="1634" t="s">
        <v>1327</v>
      </c>
      <c r="T18" s="1634" t="s">
        <v>1327</v>
      </c>
      <c r="U18" s="1634" t="s">
        <v>1327</v>
      </c>
      <c r="V18" s="1634" t="s">
        <v>1327</v>
      </c>
      <c r="W18" s="1634" t="s">
        <v>3255</v>
      </c>
      <c r="X18" s="1634" t="s">
        <v>3330</v>
      </c>
      <c r="Y18" s="1634" t="s">
        <v>3331</v>
      </c>
      <c r="Z18" s="1634" t="s">
        <v>3332</v>
      </c>
      <c r="AA18" s="1634" t="s">
        <v>3332</v>
      </c>
      <c r="AB18" s="1634" t="s">
        <v>3328</v>
      </c>
      <c r="AC18" s="1634" t="s">
        <v>3190</v>
      </c>
      <c r="AD18" s="1634" t="s">
        <v>3333</v>
      </c>
      <c r="AE18" s="1634">
        <v>40000</v>
      </c>
      <c r="AF18" s="1634">
        <v>131500</v>
      </c>
      <c r="AG18" s="1634">
        <v>197200</v>
      </c>
      <c r="AH18" s="1634">
        <v>1196.0999999999999</v>
      </c>
      <c r="AI18" s="1634">
        <v>1793.7</v>
      </c>
      <c r="AJ18" s="1634">
        <v>9133.2099999999991</v>
      </c>
      <c r="AK18" s="1634">
        <v>13696.35</v>
      </c>
      <c r="AL18" s="1634">
        <v>12033</v>
      </c>
      <c r="AM18" s="1634">
        <v>27666</v>
      </c>
      <c r="AN18" s="1634">
        <v>49.96</v>
      </c>
      <c r="AO18" s="1634" t="s">
        <v>3326</v>
      </c>
      <c r="AP18" s="1634" t="s">
        <v>1327</v>
      </c>
      <c r="AQ18" s="1634" t="s">
        <v>1327</v>
      </c>
      <c r="AR18" s="1634" t="s">
        <v>1327</v>
      </c>
      <c r="AS18" s="1634" t="s">
        <v>3212</v>
      </c>
    </row>
    <row r="19" spans="1:45">
      <c r="A19" s="1634" t="s">
        <v>3334</v>
      </c>
      <c r="B19" s="1634" t="s">
        <v>3092</v>
      </c>
      <c r="C19" s="1634" t="s">
        <v>3176</v>
      </c>
      <c r="D19" s="1634" t="s">
        <v>3177</v>
      </c>
      <c r="E19" s="1634" t="s">
        <v>1327</v>
      </c>
      <c r="F19" s="1634" t="s">
        <v>3237</v>
      </c>
      <c r="G19" s="1634" t="s">
        <v>3179</v>
      </c>
      <c r="H19" s="1634" t="s">
        <v>3335</v>
      </c>
      <c r="I19" s="1634" t="s">
        <v>3336</v>
      </c>
      <c r="J19" s="1634">
        <v>94198.62</v>
      </c>
      <c r="K19" s="1634">
        <v>187481</v>
      </c>
      <c r="L19" s="1634">
        <v>2</v>
      </c>
      <c r="M19" s="1634" t="s">
        <v>1327</v>
      </c>
      <c r="N19" s="1634" t="s">
        <v>1327</v>
      </c>
      <c r="O19" s="1634" t="s">
        <v>1327</v>
      </c>
      <c r="P19" s="1634" t="s">
        <v>1327</v>
      </c>
      <c r="Q19" s="1634">
        <v>73600</v>
      </c>
      <c r="R19" s="1634">
        <v>115600</v>
      </c>
      <c r="S19" s="1634" t="s">
        <v>1327</v>
      </c>
      <c r="T19" s="1634" t="s">
        <v>1327</v>
      </c>
      <c r="U19" s="1634" t="s">
        <v>1327</v>
      </c>
      <c r="V19" s="1634" t="s">
        <v>1327</v>
      </c>
      <c r="W19" s="1634" t="s">
        <v>3255</v>
      </c>
      <c r="X19" s="1634" t="s">
        <v>3330</v>
      </c>
      <c r="Y19" s="1634" t="s">
        <v>3331</v>
      </c>
      <c r="Z19" s="1634" t="s">
        <v>3332</v>
      </c>
      <c r="AA19" s="1634" t="s">
        <v>3332</v>
      </c>
      <c r="AB19" s="1634" t="s">
        <v>3335</v>
      </c>
      <c r="AC19" s="1634" t="s">
        <v>3190</v>
      </c>
      <c r="AD19" s="1634" t="s">
        <v>3333</v>
      </c>
      <c r="AE19" s="1634">
        <v>51000</v>
      </c>
      <c r="AF19" s="1634">
        <v>168300</v>
      </c>
      <c r="AG19" s="1634">
        <v>252400</v>
      </c>
      <c r="AH19" s="1634">
        <v>1191.0999999999999</v>
      </c>
      <c r="AI19" s="1634">
        <v>1786.3</v>
      </c>
      <c r="AJ19" s="1634">
        <v>8976.9</v>
      </c>
      <c r="AK19" s="1634">
        <v>13462.7</v>
      </c>
      <c r="AL19" s="1634">
        <v>14779</v>
      </c>
      <c r="AM19" s="1634">
        <v>35114</v>
      </c>
      <c r="AN19" s="1634">
        <v>49.97</v>
      </c>
      <c r="AO19" s="1634" t="s">
        <v>3326</v>
      </c>
      <c r="AP19" s="1634" t="s">
        <v>1327</v>
      </c>
      <c r="AQ19" s="1634" t="s">
        <v>1327</v>
      </c>
      <c r="AR19" s="1634" t="s">
        <v>1327</v>
      </c>
      <c r="AS19" s="1634" t="s">
        <v>3212</v>
      </c>
    </row>
    <row r="20" spans="1:45">
      <c r="A20" s="1634" t="s">
        <v>3337</v>
      </c>
      <c r="B20" s="1634" t="s">
        <v>3092</v>
      </c>
      <c r="C20" s="1634" t="s">
        <v>3195</v>
      </c>
      <c r="D20" s="1634" t="s">
        <v>3177</v>
      </c>
      <c r="E20" s="1634" t="s">
        <v>1327</v>
      </c>
      <c r="F20" s="1634" t="s">
        <v>3237</v>
      </c>
      <c r="G20" s="1634" t="s">
        <v>3179</v>
      </c>
      <c r="H20" s="1634" t="s">
        <v>3338</v>
      </c>
      <c r="I20" s="1634" t="s">
        <v>3197</v>
      </c>
      <c r="J20" s="1634">
        <v>74500</v>
      </c>
      <c r="K20" s="1634">
        <v>475640</v>
      </c>
      <c r="L20" s="1634">
        <v>6.38</v>
      </c>
      <c r="M20" s="1634" t="s">
        <v>1327</v>
      </c>
      <c r="N20" s="1634" t="s">
        <v>1327</v>
      </c>
      <c r="O20" s="1634" t="s">
        <v>1327</v>
      </c>
      <c r="P20" s="1634" t="s">
        <v>1327</v>
      </c>
      <c r="Q20" s="1634" t="s">
        <v>1327</v>
      </c>
      <c r="R20" s="1634" t="s">
        <v>1327</v>
      </c>
      <c r="S20" s="1634" t="s">
        <v>1327</v>
      </c>
      <c r="T20" s="1634" t="s">
        <v>1327</v>
      </c>
      <c r="U20" s="1634" t="s">
        <v>1327</v>
      </c>
      <c r="V20" s="1634" t="s">
        <v>1327</v>
      </c>
      <c r="W20" s="1634" t="s">
        <v>3255</v>
      </c>
      <c r="X20" s="1634" t="s">
        <v>3330</v>
      </c>
      <c r="Y20" s="1634" t="s">
        <v>3331</v>
      </c>
      <c r="Z20" s="1634" t="s">
        <v>3332</v>
      </c>
      <c r="AA20" s="1634" t="s">
        <v>3332</v>
      </c>
      <c r="AB20" s="1634" t="s">
        <v>3338</v>
      </c>
      <c r="AC20" s="1634" t="s">
        <v>3190</v>
      </c>
      <c r="AD20" s="1634" t="s">
        <v>3339</v>
      </c>
      <c r="AE20" s="1634">
        <v>126000</v>
      </c>
      <c r="AF20" s="1634">
        <v>420000</v>
      </c>
      <c r="AG20" s="1634">
        <v>420000</v>
      </c>
      <c r="AH20" s="1634">
        <v>3758.39</v>
      </c>
      <c r="AI20" s="1634">
        <v>3758.39</v>
      </c>
      <c r="AJ20" s="1634">
        <v>8830.2000000000007</v>
      </c>
      <c r="AK20" s="1634">
        <v>8830.2000000000007</v>
      </c>
      <c r="AL20" s="1634" t="s">
        <v>1327</v>
      </c>
      <c r="AM20" s="1634" t="s">
        <v>1327</v>
      </c>
      <c r="AN20" s="1634">
        <v>0</v>
      </c>
      <c r="AO20" s="1634" t="s">
        <v>3204</v>
      </c>
      <c r="AP20" s="1634" t="s">
        <v>1327</v>
      </c>
      <c r="AQ20" s="1634" t="s">
        <v>1327</v>
      </c>
      <c r="AR20" s="1634" t="s">
        <v>1327</v>
      </c>
      <c r="AS20" s="1634" t="s">
        <v>3212</v>
      </c>
    </row>
    <row r="21" spans="1:45">
      <c r="A21" s="1634" t="s">
        <v>3340</v>
      </c>
      <c r="B21" s="1634" t="s">
        <v>3092</v>
      </c>
      <c r="C21" s="1634" t="s">
        <v>3176</v>
      </c>
      <c r="D21" s="1634" t="s">
        <v>3177</v>
      </c>
      <c r="E21" s="1634" t="s">
        <v>1327</v>
      </c>
      <c r="F21" s="1634" t="s">
        <v>3296</v>
      </c>
      <c r="G21" s="1634" t="s">
        <v>3179</v>
      </c>
      <c r="H21" s="1634" t="s">
        <v>3341</v>
      </c>
      <c r="I21" s="1634" t="s">
        <v>3298</v>
      </c>
      <c r="J21" s="1634">
        <v>48775.519999999997</v>
      </c>
      <c r="K21" s="1634">
        <v>121939</v>
      </c>
      <c r="L21" s="1634">
        <v>2.5</v>
      </c>
      <c r="M21" s="1634" t="s">
        <v>1327</v>
      </c>
      <c r="N21" s="1634" t="s">
        <v>1327</v>
      </c>
      <c r="O21" s="1634" t="s">
        <v>1327</v>
      </c>
      <c r="P21" s="1634" t="s">
        <v>3299</v>
      </c>
      <c r="Q21" s="1634">
        <v>25600</v>
      </c>
      <c r="R21" s="1634">
        <v>45600</v>
      </c>
      <c r="S21" s="1634" t="s">
        <v>1327</v>
      </c>
      <c r="T21" s="1634" t="s">
        <v>1327</v>
      </c>
      <c r="U21" s="1634" t="s">
        <v>1327</v>
      </c>
      <c r="V21" s="1634" t="s">
        <v>1327</v>
      </c>
      <c r="W21" s="1634" t="s">
        <v>3255</v>
      </c>
      <c r="X21" s="1634" t="s">
        <v>3342</v>
      </c>
      <c r="Y21" s="1634" t="s">
        <v>3343</v>
      </c>
      <c r="Z21" s="1634" t="s">
        <v>3344</v>
      </c>
      <c r="AA21" s="1634" t="s">
        <v>3344</v>
      </c>
      <c r="AB21" s="1634" t="s">
        <v>3341</v>
      </c>
      <c r="AC21" s="1634" t="s">
        <v>3190</v>
      </c>
      <c r="AD21" s="1634" t="s">
        <v>3345</v>
      </c>
      <c r="AE21" s="1634">
        <v>29000</v>
      </c>
      <c r="AF21" s="1634">
        <v>95000</v>
      </c>
      <c r="AG21" s="1634">
        <v>142500</v>
      </c>
      <c r="AH21" s="1634">
        <v>1298.47</v>
      </c>
      <c r="AI21" s="1634">
        <v>1947.7</v>
      </c>
      <c r="AJ21" s="1634">
        <v>7790.78</v>
      </c>
      <c r="AK21" s="1634">
        <v>11686.17</v>
      </c>
      <c r="AL21" s="1634">
        <v>9861</v>
      </c>
      <c r="AM21" s="1634">
        <v>18667</v>
      </c>
      <c r="AN21" s="1634">
        <v>50</v>
      </c>
      <c r="AO21" s="1634" t="s">
        <v>3326</v>
      </c>
      <c r="AP21" s="1634" t="s">
        <v>1327</v>
      </c>
      <c r="AQ21" s="1634" t="s">
        <v>1327</v>
      </c>
      <c r="AR21" s="1634" t="s">
        <v>1327</v>
      </c>
      <c r="AS21" s="1634" t="s">
        <v>3205</v>
      </c>
    </row>
    <row r="22" spans="1:45">
      <c r="A22" s="1634" t="s">
        <v>3346</v>
      </c>
      <c r="B22" s="1634" t="s">
        <v>3092</v>
      </c>
      <c r="C22" s="1634" t="s">
        <v>3176</v>
      </c>
      <c r="D22" s="1634" t="s">
        <v>3177</v>
      </c>
      <c r="E22" s="1634" t="s">
        <v>1327</v>
      </c>
      <c r="F22" s="1634" t="s">
        <v>3296</v>
      </c>
      <c r="G22" s="1634" t="s">
        <v>3179</v>
      </c>
      <c r="H22" s="1634" t="s">
        <v>3347</v>
      </c>
      <c r="I22" s="1634" t="s">
        <v>3298</v>
      </c>
      <c r="J22" s="1634">
        <v>83892.99</v>
      </c>
      <c r="K22" s="1634">
        <v>209732</v>
      </c>
      <c r="L22" s="1634">
        <v>2.5</v>
      </c>
      <c r="M22" s="1634" t="s">
        <v>1327</v>
      </c>
      <c r="N22" s="1634" t="s">
        <v>1327</v>
      </c>
      <c r="O22" s="1634" t="s">
        <v>1327</v>
      </c>
      <c r="P22" s="1634" t="s">
        <v>3310</v>
      </c>
      <c r="Q22" s="1634">
        <v>44000</v>
      </c>
      <c r="R22" s="1634">
        <v>49000</v>
      </c>
      <c r="S22" s="1634" t="s">
        <v>1327</v>
      </c>
      <c r="T22" s="1634" t="s">
        <v>1327</v>
      </c>
      <c r="U22" s="1634" t="s">
        <v>1327</v>
      </c>
      <c r="V22" s="1634" t="s">
        <v>1327</v>
      </c>
      <c r="W22" s="1634" t="s">
        <v>3255</v>
      </c>
      <c r="X22" s="1634" t="s">
        <v>3342</v>
      </c>
      <c r="Y22" s="1634" t="s">
        <v>3343</v>
      </c>
      <c r="Z22" s="1634" t="s">
        <v>3344</v>
      </c>
      <c r="AA22" s="1634" t="s">
        <v>3344</v>
      </c>
      <c r="AB22" s="1634" t="s">
        <v>3347</v>
      </c>
      <c r="AC22" s="1634" t="s">
        <v>3190</v>
      </c>
      <c r="AD22" s="1634" t="s">
        <v>3348</v>
      </c>
      <c r="AE22" s="1634">
        <v>56000</v>
      </c>
      <c r="AF22" s="1634">
        <v>185000</v>
      </c>
      <c r="AG22" s="1634">
        <v>277500</v>
      </c>
      <c r="AH22" s="1634">
        <v>1470.13</v>
      </c>
      <c r="AI22" s="1634">
        <v>2205.19</v>
      </c>
      <c r="AJ22" s="1634">
        <v>8820.7800000000007</v>
      </c>
      <c r="AK22" s="1634">
        <v>13231.17</v>
      </c>
      <c r="AL22" s="1634">
        <v>11163</v>
      </c>
      <c r="AM22" s="1634">
        <v>17265</v>
      </c>
      <c r="AN22" s="1634">
        <v>50</v>
      </c>
      <c r="AO22" s="1634" t="s">
        <v>3326</v>
      </c>
      <c r="AP22" s="1634" t="s">
        <v>1327</v>
      </c>
      <c r="AQ22" s="1634" t="s">
        <v>1327</v>
      </c>
      <c r="AR22" s="1634" t="s">
        <v>1327</v>
      </c>
      <c r="AS22" s="1634" t="s">
        <v>3205</v>
      </c>
    </row>
    <row r="23" spans="1:45" s="2959" customFormat="1" ht="13.2">
      <c r="A23" s="2959" t="s">
        <v>3349</v>
      </c>
      <c r="B23" s="2959" t="s">
        <v>3092</v>
      </c>
      <c r="C23" s="2959" t="s">
        <v>3176</v>
      </c>
      <c r="D23" s="2959" t="s">
        <v>3177</v>
      </c>
      <c r="E23" s="2959" t="s">
        <v>1327</v>
      </c>
      <c r="F23" s="2959" t="s">
        <v>3350</v>
      </c>
      <c r="G23" s="2959" t="s">
        <v>3179</v>
      </c>
      <c r="H23" s="2959" t="s">
        <v>3351</v>
      </c>
      <c r="I23" s="2959" t="s">
        <v>3216</v>
      </c>
      <c r="J23" s="2959">
        <v>23730.99</v>
      </c>
      <c r="K23" s="2959">
        <v>82887</v>
      </c>
      <c r="L23" s="2959">
        <v>3.49</v>
      </c>
      <c r="M23" s="2959" t="s">
        <v>1327</v>
      </c>
      <c r="N23" s="2959" t="s">
        <v>1327</v>
      </c>
      <c r="O23" s="2959" t="s">
        <v>1327</v>
      </c>
      <c r="P23" s="2959" t="s">
        <v>3299</v>
      </c>
      <c r="Q23" s="2959">
        <v>7600</v>
      </c>
      <c r="R23" s="2959">
        <v>7600</v>
      </c>
      <c r="S23" s="2959" t="s">
        <v>1327</v>
      </c>
      <c r="T23" s="2959" t="s">
        <v>1327</v>
      </c>
      <c r="U23" s="2959" t="s">
        <v>1327</v>
      </c>
      <c r="V23" s="2959" t="s">
        <v>1327</v>
      </c>
      <c r="W23" s="2959" t="s">
        <v>3255</v>
      </c>
      <c r="X23" s="2959" t="s">
        <v>3352</v>
      </c>
      <c r="Y23" s="2959" t="s">
        <v>3353</v>
      </c>
      <c r="Z23" s="2959" t="s">
        <v>3354</v>
      </c>
      <c r="AA23" s="2959" t="s">
        <v>3354</v>
      </c>
      <c r="AB23" s="2959" t="s">
        <v>3351</v>
      </c>
      <c r="AC23" s="2959" t="s">
        <v>3190</v>
      </c>
      <c r="AD23" s="2959" t="s">
        <v>3355</v>
      </c>
      <c r="AE23" s="2959">
        <v>28000</v>
      </c>
      <c r="AF23" s="2959">
        <v>92000</v>
      </c>
      <c r="AG23" s="2959">
        <v>95000</v>
      </c>
      <c r="AH23" s="2959">
        <v>2584.52</v>
      </c>
      <c r="AI23" s="2959">
        <v>2668.8</v>
      </c>
      <c r="AJ23" s="2959">
        <v>11099.44</v>
      </c>
      <c r="AK23" s="2959">
        <v>11461.38</v>
      </c>
      <c r="AL23" s="2959">
        <v>12220</v>
      </c>
      <c r="AM23" s="2959">
        <v>12618</v>
      </c>
      <c r="AN23" s="2959">
        <v>3.26</v>
      </c>
      <c r="AO23" s="2959" t="s">
        <v>3356</v>
      </c>
      <c r="AP23" s="2959" t="s">
        <v>1327</v>
      </c>
      <c r="AQ23" s="2959" t="s">
        <v>1327</v>
      </c>
      <c r="AR23" s="2959" t="s">
        <v>1327</v>
      </c>
      <c r="AS23" s="2959" t="s">
        <v>3212</v>
      </c>
    </row>
    <row r="24" spans="1:45">
      <c r="A24" s="1634" t="s">
        <v>3357</v>
      </c>
      <c r="B24" s="1634" t="s">
        <v>3092</v>
      </c>
      <c r="C24" s="1634" t="s">
        <v>3176</v>
      </c>
      <c r="D24" s="1634" t="s">
        <v>3177</v>
      </c>
      <c r="E24" s="1634" t="s">
        <v>1327</v>
      </c>
      <c r="F24" s="1634" t="s">
        <v>3237</v>
      </c>
      <c r="G24" s="1634" t="s">
        <v>3179</v>
      </c>
      <c r="H24" s="1634" t="s">
        <v>3358</v>
      </c>
      <c r="I24" s="1634" t="s">
        <v>3298</v>
      </c>
      <c r="J24" s="1634">
        <v>27393.33</v>
      </c>
      <c r="K24" s="1634">
        <v>86217</v>
      </c>
      <c r="L24" s="1634">
        <v>3.15</v>
      </c>
      <c r="M24" s="1634" t="s">
        <v>1327</v>
      </c>
      <c r="N24" s="1634" t="s">
        <v>1327</v>
      </c>
      <c r="O24" s="1634" t="s">
        <v>1327</v>
      </c>
      <c r="P24" s="1634" t="s">
        <v>3299</v>
      </c>
      <c r="Q24" s="1634">
        <v>18100</v>
      </c>
      <c r="R24" s="1634">
        <v>18100</v>
      </c>
      <c r="S24" s="1634" t="s">
        <v>3359</v>
      </c>
      <c r="T24" s="1634" t="s">
        <v>1327</v>
      </c>
      <c r="U24" s="1634" t="s">
        <v>1327</v>
      </c>
      <c r="V24" s="1634" t="s">
        <v>1327</v>
      </c>
      <c r="W24" s="1634" t="s">
        <v>3255</v>
      </c>
      <c r="X24" s="1634" t="s">
        <v>3352</v>
      </c>
      <c r="Y24" s="1634" t="s">
        <v>3353</v>
      </c>
      <c r="Z24" s="1634" t="s">
        <v>3354</v>
      </c>
      <c r="AA24" s="1634" t="s">
        <v>3354</v>
      </c>
      <c r="AB24" s="1634" t="s">
        <v>3358</v>
      </c>
      <c r="AC24" s="1634" t="s">
        <v>3190</v>
      </c>
      <c r="AD24" s="1634" t="s">
        <v>3360</v>
      </c>
      <c r="AE24" s="1634">
        <v>30000</v>
      </c>
      <c r="AF24" s="1634">
        <v>97600</v>
      </c>
      <c r="AG24" s="1634">
        <v>136600</v>
      </c>
      <c r="AH24" s="1634">
        <v>2375.27</v>
      </c>
      <c r="AI24" s="1634">
        <v>3324.41</v>
      </c>
      <c r="AJ24" s="1634">
        <v>11320.27</v>
      </c>
      <c r="AK24" s="1634">
        <v>15843.73</v>
      </c>
      <c r="AL24" s="1634">
        <v>14328</v>
      </c>
      <c r="AM24" s="1634">
        <v>20054</v>
      </c>
      <c r="AN24" s="1634">
        <v>39.96</v>
      </c>
      <c r="AO24" s="1634" t="s">
        <v>3356</v>
      </c>
      <c r="AP24" s="1634" t="s">
        <v>1327</v>
      </c>
      <c r="AQ24" s="1634" t="s">
        <v>1327</v>
      </c>
      <c r="AR24" s="1634" t="s">
        <v>1327</v>
      </c>
      <c r="AS24" s="1634" t="s">
        <v>3212</v>
      </c>
    </row>
    <row r="25" spans="1:45">
      <c r="A25" s="1634" t="s">
        <v>3361</v>
      </c>
      <c r="B25" s="1634" t="s">
        <v>3092</v>
      </c>
      <c r="C25" s="1634" t="s">
        <v>3176</v>
      </c>
      <c r="D25" s="1634" t="s">
        <v>3177</v>
      </c>
      <c r="E25" s="1634" t="s">
        <v>1327</v>
      </c>
      <c r="F25" s="1634" t="s">
        <v>3237</v>
      </c>
      <c r="G25" s="1634" t="s">
        <v>3362</v>
      </c>
      <c r="H25" s="1634" t="s">
        <v>3363</v>
      </c>
      <c r="I25" s="1634" t="s">
        <v>3364</v>
      </c>
      <c r="J25" s="1634">
        <v>255074.7</v>
      </c>
      <c r="K25" s="1634">
        <v>430883</v>
      </c>
      <c r="L25" s="1634">
        <v>1.69</v>
      </c>
      <c r="M25" s="1634" t="s">
        <v>1327</v>
      </c>
      <c r="N25" s="1634" t="s">
        <v>1327</v>
      </c>
      <c r="O25" s="1634" t="s">
        <v>1327</v>
      </c>
      <c r="P25" s="1634" t="s">
        <v>3310</v>
      </c>
      <c r="Q25" s="1634">
        <v>99600</v>
      </c>
      <c r="R25" s="1634">
        <v>99600</v>
      </c>
      <c r="S25" s="1634" t="s">
        <v>1327</v>
      </c>
      <c r="T25" s="1634" t="s">
        <v>1327</v>
      </c>
      <c r="U25" s="1634" t="s">
        <v>1327</v>
      </c>
      <c r="V25" s="1634" t="s">
        <v>1327</v>
      </c>
      <c r="W25" s="1634" t="s">
        <v>3255</v>
      </c>
      <c r="X25" s="1634" t="s">
        <v>3365</v>
      </c>
      <c r="Y25" s="1634" t="s">
        <v>3366</v>
      </c>
      <c r="Z25" s="1634" t="s">
        <v>3366</v>
      </c>
      <c r="AA25" s="1634" t="s">
        <v>3366</v>
      </c>
      <c r="AB25" s="1634" t="s">
        <v>3363</v>
      </c>
      <c r="AC25" s="1634" t="s">
        <v>3190</v>
      </c>
      <c r="AD25" s="1634" t="s">
        <v>3367</v>
      </c>
      <c r="AE25" s="1634">
        <v>120000</v>
      </c>
      <c r="AF25" s="1634" t="s">
        <v>1327</v>
      </c>
      <c r="AG25" s="1634">
        <v>451600</v>
      </c>
      <c r="AH25" s="1634" t="s">
        <v>1327</v>
      </c>
      <c r="AI25" s="1634">
        <v>1180.31</v>
      </c>
      <c r="AJ25" s="1634" t="s">
        <v>1327</v>
      </c>
      <c r="AK25" s="1634">
        <v>10480.790000000001</v>
      </c>
      <c r="AL25" s="1634" t="s">
        <v>1327</v>
      </c>
      <c r="AM25" s="1634">
        <v>13632</v>
      </c>
      <c r="AN25" s="1634" t="s">
        <v>1327</v>
      </c>
      <c r="AO25" s="1634" t="s">
        <v>3368</v>
      </c>
      <c r="AP25" s="1634" t="s">
        <v>1327</v>
      </c>
      <c r="AQ25" s="1634" t="s">
        <v>1327</v>
      </c>
      <c r="AR25" s="1634" t="s">
        <v>1327</v>
      </c>
      <c r="AS25" s="1634" t="s">
        <v>3205</v>
      </c>
    </row>
    <row r="26" spans="1:45">
      <c r="A26" s="1634" t="s">
        <v>3369</v>
      </c>
      <c r="B26" s="1634" t="s">
        <v>3092</v>
      </c>
      <c r="C26" s="1634" t="s">
        <v>3176</v>
      </c>
      <c r="D26" s="1634" t="s">
        <v>3177</v>
      </c>
      <c r="E26" s="1634" t="s">
        <v>1327</v>
      </c>
      <c r="F26" s="1634" t="s">
        <v>3237</v>
      </c>
      <c r="G26" s="1634" t="s">
        <v>3179</v>
      </c>
      <c r="H26" s="1634" t="s">
        <v>3370</v>
      </c>
      <c r="I26" s="1634" t="s">
        <v>3216</v>
      </c>
      <c r="J26" s="1634">
        <v>42900</v>
      </c>
      <c r="K26" s="1634">
        <v>156420</v>
      </c>
      <c r="L26" s="1634">
        <v>3.65</v>
      </c>
      <c r="M26" s="1634" t="s">
        <v>1327</v>
      </c>
      <c r="N26" s="1634" t="s">
        <v>1327</v>
      </c>
      <c r="O26" s="1634" t="s">
        <v>1327</v>
      </c>
      <c r="P26" s="1634" t="s">
        <v>3299</v>
      </c>
      <c r="Q26" s="1634">
        <v>13400</v>
      </c>
      <c r="R26" s="1634">
        <v>13400</v>
      </c>
      <c r="S26" s="1634" t="s">
        <v>1327</v>
      </c>
      <c r="T26" s="1634" t="s">
        <v>1327</v>
      </c>
      <c r="U26" s="1634" t="s">
        <v>1327</v>
      </c>
      <c r="V26" s="1634" t="s">
        <v>1327</v>
      </c>
      <c r="W26" s="1634" t="s">
        <v>3255</v>
      </c>
      <c r="X26" s="1634" t="s">
        <v>3371</v>
      </c>
      <c r="Y26" s="1634" t="s">
        <v>3372</v>
      </c>
      <c r="Z26" s="1634" t="s">
        <v>3373</v>
      </c>
      <c r="AA26" s="1634" t="s">
        <v>3373</v>
      </c>
      <c r="AB26" s="1634" t="s">
        <v>3370</v>
      </c>
      <c r="AC26" s="1634" t="s">
        <v>3190</v>
      </c>
      <c r="AD26" s="1634" t="s">
        <v>3360</v>
      </c>
      <c r="AE26" s="1634">
        <v>51000</v>
      </c>
      <c r="AF26" s="1634">
        <v>169400</v>
      </c>
      <c r="AG26" s="1634">
        <v>169400</v>
      </c>
      <c r="AH26" s="1634">
        <v>2632.48</v>
      </c>
      <c r="AI26" s="1634">
        <v>2632.48</v>
      </c>
      <c r="AJ26" s="1634">
        <v>10829.81</v>
      </c>
      <c r="AK26" s="1634">
        <v>10829.81</v>
      </c>
      <c r="AL26" s="1634">
        <v>11844</v>
      </c>
      <c r="AM26" s="1634">
        <v>11844</v>
      </c>
      <c r="AN26" s="1634">
        <v>0</v>
      </c>
      <c r="AO26" s="1634" t="s">
        <v>3356</v>
      </c>
      <c r="AP26" s="1634" t="s">
        <v>1327</v>
      </c>
      <c r="AQ26" s="1634" t="s">
        <v>1327</v>
      </c>
      <c r="AR26" s="1634" t="s">
        <v>1327</v>
      </c>
      <c r="AS26" s="1634" t="s">
        <v>3374</v>
      </c>
    </row>
    <row r="27" spans="1:45">
      <c r="A27" s="1634" t="s">
        <v>3375</v>
      </c>
      <c r="B27" s="1634" t="s">
        <v>3092</v>
      </c>
      <c r="C27" s="1634" t="s">
        <v>3195</v>
      </c>
      <c r="D27" s="1634" t="s">
        <v>3177</v>
      </c>
      <c r="E27" s="1634" t="s">
        <v>1327</v>
      </c>
      <c r="F27" s="1634" t="s">
        <v>3296</v>
      </c>
      <c r="G27" s="1634" t="s">
        <v>3179</v>
      </c>
      <c r="H27" s="1634" t="s">
        <v>3376</v>
      </c>
      <c r="I27" s="1634" t="s">
        <v>3377</v>
      </c>
      <c r="J27" s="1634">
        <v>17300</v>
      </c>
      <c r="K27" s="1634">
        <v>25950</v>
      </c>
      <c r="L27" s="1634">
        <v>1.5</v>
      </c>
      <c r="M27" s="1634" t="s">
        <v>1327</v>
      </c>
      <c r="N27" s="1634" t="s">
        <v>1327</v>
      </c>
      <c r="O27" s="1634" t="s">
        <v>1327</v>
      </c>
      <c r="P27" s="1634" t="s">
        <v>1327</v>
      </c>
      <c r="Q27" s="1634" t="s">
        <v>1327</v>
      </c>
      <c r="R27" s="1634" t="s">
        <v>1327</v>
      </c>
      <c r="S27" s="1634" t="s">
        <v>1327</v>
      </c>
      <c r="T27" s="1634" t="s">
        <v>1327</v>
      </c>
      <c r="U27" s="1634" t="s">
        <v>1327</v>
      </c>
      <c r="V27" s="1634" t="s">
        <v>1327</v>
      </c>
      <c r="W27" s="1634" t="s">
        <v>3255</v>
      </c>
      <c r="X27" s="1634" t="s">
        <v>3378</v>
      </c>
      <c r="Y27" s="1634" t="s">
        <v>3379</v>
      </c>
      <c r="Z27" s="1634" t="s">
        <v>3380</v>
      </c>
      <c r="AA27" s="1634" t="s">
        <v>3380</v>
      </c>
      <c r="AB27" s="1634" t="s">
        <v>3376</v>
      </c>
      <c r="AC27" s="1634" t="s">
        <v>3190</v>
      </c>
      <c r="AD27" s="1634" t="s">
        <v>3381</v>
      </c>
      <c r="AE27" s="1634">
        <v>4300</v>
      </c>
      <c r="AF27" s="1634">
        <v>14300</v>
      </c>
      <c r="AG27" s="1634">
        <v>15600</v>
      </c>
      <c r="AH27" s="1634">
        <v>551.05999999999995</v>
      </c>
      <c r="AI27" s="1634">
        <v>601.16</v>
      </c>
      <c r="AJ27" s="1634">
        <v>5510.59</v>
      </c>
      <c r="AK27" s="1634">
        <v>6011.56</v>
      </c>
      <c r="AL27" s="1634" t="s">
        <v>1327</v>
      </c>
      <c r="AM27" s="1634" t="s">
        <v>1327</v>
      </c>
      <c r="AN27" s="1634">
        <v>9.09</v>
      </c>
      <c r="AO27" s="1634" t="s">
        <v>3382</v>
      </c>
      <c r="AP27" s="1634" t="s">
        <v>1327</v>
      </c>
      <c r="AQ27" s="1634" t="s">
        <v>1327</v>
      </c>
      <c r="AR27" s="1634" t="s">
        <v>1327</v>
      </c>
      <c r="AS27" s="1634" t="s">
        <v>3205</v>
      </c>
    </row>
    <row r="28" spans="1:45">
      <c r="A28" s="1634" t="s">
        <v>3383</v>
      </c>
      <c r="B28" s="1634" t="s">
        <v>3092</v>
      </c>
      <c r="C28" s="1634" t="s">
        <v>3261</v>
      </c>
      <c r="D28" s="1634" t="s">
        <v>3177</v>
      </c>
      <c r="E28" s="1634" t="s">
        <v>1327</v>
      </c>
      <c r="F28" s="1634" t="s">
        <v>3384</v>
      </c>
      <c r="G28" s="1634" t="s">
        <v>3179</v>
      </c>
      <c r="H28" s="1634" t="s">
        <v>3385</v>
      </c>
      <c r="I28" s="1634" t="s">
        <v>3264</v>
      </c>
      <c r="J28" s="1634">
        <v>78813.75</v>
      </c>
      <c r="K28" s="1634">
        <v>82754</v>
      </c>
      <c r="L28" s="1634">
        <v>1.05</v>
      </c>
      <c r="M28" s="1634" t="s">
        <v>1327</v>
      </c>
      <c r="N28" s="1634" t="s">
        <v>1327</v>
      </c>
      <c r="O28" s="1634" t="s">
        <v>1327</v>
      </c>
      <c r="P28" s="1634" t="s">
        <v>1327</v>
      </c>
      <c r="Q28" s="1634" t="s">
        <v>1327</v>
      </c>
      <c r="R28" s="1634" t="s">
        <v>1327</v>
      </c>
      <c r="S28" s="1634" t="s">
        <v>1327</v>
      </c>
      <c r="T28" s="1634" t="s">
        <v>1327</v>
      </c>
      <c r="U28" s="1634" t="s">
        <v>1327</v>
      </c>
      <c r="V28" s="1634" t="s">
        <v>1327</v>
      </c>
      <c r="W28" s="1634" t="s">
        <v>3255</v>
      </c>
      <c r="X28" s="1634" t="s">
        <v>3386</v>
      </c>
      <c r="Y28" s="1634" t="s">
        <v>3387</v>
      </c>
      <c r="Z28" s="1634" t="s">
        <v>3388</v>
      </c>
      <c r="AA28" s="1634" t="s">
        <v>3388</v>
      </c>
      <c r="AB28" s="1634" t="s">
        <v>3385</v>
      </c>
      <c r="AC28" s="1634" t="s">
        <v>3190</v>
      </c>
      <c r="AD28" s="1634" t="s">
        <v>3389</v>
      </c>
      <c r="AE28" s="1634">
        <v>66000</v>
      </c>
      <c r="AF28" s="1634">
        <v>220000</v>
      </c>
      <c r="AG28" s="1634">
        <v>233000</v>
      </c>
      <c r="AH28" s="1634">
        <v>1860.93</v>
      </c>
      <c r="AI28" s="1634">
        <v>1970.89</v>
      </c>
      <c r="AJ28" s="1634">
        <v>26584.81</v>
      </c>
      <c r="AK28" s="1634">
        <v>28155.74</v>
      </c>
      <c r="AL28" s="1634" t="s">
        <v>1327</v>
      </c>
      <c r="AM28" s="1634" t="s">
        <v>1327</v>
      </c>
      <c r="AN28" s="1634">
        <v>5.91</v>
      </c>
      <c r="AO28" s="1634" t="s">
        <v>3356</v>
      </c>
      <c r="AP28" s="1634" t="s">
        <v>1327</v>
      </c>
      <c r="AQ28" s="1634" t="s">
        <v>1327</v>
      </c>
      <c r="AR28" s="1634" t="s">
        <v>1327</v>
      </c>
      <c r="AS28" s="1634" t="s">
        <v>3193</v>
      </c>
    </row>
    <row r="29" spans="1:45">
      <c r="A29" s="1634" t="s">
        <v>3390</v>
      </c>
      <c r="B29" s="1634" t="s">
        <v>3092</v>
      </c>
      <c r="C29" s="1634" t="s">
        <v>3176</v>
      </c>
      <c r="D29" s="1634" t="s">
        <v>3177</v>
      </c>
      <c r="E29" s="1634" t="s">
        <v>1327</v>
      </c>
      <c r="F29" s="1634" t="s">
        <v>3237</v>
      </c>
      <c r="G29" s="1634" t="s">
        <v>3362</v>
      </c>
      <c r="H29" s="1634" t="s">
        <v>3391</v>
      </c>
      <c r="I29" s="1634" t="s">
        <v>3392</v>
      </c>
      <c r="J29" s="1634">
        <v>216360.2</v>
      </c>
      <c r="K29" s="1634">
        <v>471796</v>
      </c>
      <c r="L29" s="1634">
        <v>2.1800000000000002</v>
      </c>
      <c r="M29" s="1634" t="s">
        <v>1327</v>
      </c>
      <c r="N29" s="1634" t="s">
        <v>1327</v>
      </c>
      <c r="O29" s="1634" t="s">
        <v>1327</v>
      </c>
      <c r="P29" s="1634" t="s">
        <v>1327</v>
      </c>
      <c r="Q29" s="1634" t="s">
        <v>1327</v>
      </c>
      <c r="R29" s="1634" t="s">
        <v>1327</v>
      </c>
      <c r="S29" s="1634" t="s">
        <v>3393</v>
      </c>
      <c r="T29" s="1634" t="s">
        <v>1327</v>
      </c>
      <c r="U29" s="1634" t="s">
        <v>1327</v>
      </c>
      <c r="V29" s="1634" t="s">
        <v>1327</v>
      </c>
      <c r="W29" s="1634" t="s">
        <v>3255</v>
      </c>
      <c r="X29" s="1634" t="s">
        <v>3394</v>
      </c>
      <c r="Y29" s="1634" t="s">
        <v>3395</v>
      </c>
      <c r="Z29" s="1634" t="s">
        <v>3396</v>
      </c>
      <c r="AA29" s="1634" t="s">
        <v>3396</v>
      </c>
      <c r="AB29" s="1634" t="s">
        <v>3391</v>
      </c>
      <c r="AC29" s="1634" t="s">
        <v>3190</v>
      </c>
      <c r="AD29" s="1634" t="s">
        <v>3397</v>
      </c>
      <c r="AE29" s="1634">
        <v>97500</v>
      </c>
      <c r="AF29" s="1634" t="s">
        <v>1327</v>
      </c>
      <c r="AG29" s="1634">
        <v>488180</v>
      </c>
      <c r="AH29" s="1634" t="s">
        <v>1327</v>
      </c>
      <c r="AI29" s="1634">
        <v>1504.22</v>
      </c>
      <c r="AJ29" s="1634" t="s">
        <v>1327</v>
      </c>
      <c r="AK29" s="1634">
        <v>10347.27</v>
      </c>
      <c r="AL29" s="1634" t="s">
        <v>1327</v>
      </c>
      <c r="AM29" s="1634" t="s">
        <v>1327</v>
      </c>
      <c r="AN29" s="1634" t="s">
        <v>1327</v>
      </c>
      <c r="AO29" s="1634" t="s">
        <v>3398</v>
      </c>
      <c r="AP29" s="1634" t="s">
        <v>1327</v>
      </c>
      <c r="AQ29" s="1634" t="s">
        <v>1327</v>
      </c>
      <c r="AR29" s="1634" t="s">
        <v>1327</v>
      </c>
      <c r="AS29" s="1634" t="s">
        <v>3205</v>
      </c>
    </row>
    <row r="30" spans="1:45">
      <c r="A30" s="1634" t="s">
        <v>3399</v>
      </c>
      <c r="B30" s="1634" t="s">
        <v>3092</v>
      </c>
      <c r="C30" s="1634" t="s">
        <v>3176</v>
      </c>
      <c r="D30" s="1634" t="s">
        <v>3177</v>
      </c>
      <c r="E30" s="1634" t="s">
        <v>1327</v>
      </c>
      <c r="F30" s="1634" t="s">
        <v>3178</v>
      </c>
      <c r="G30" s="1634" t="s">
        <v>3362</v>
      </c>
      <c r="H30" s="1634" t="s">
        <v>3400</v>
      </c>
      <c r="I30" s="1634" t="s">
        <v>3401</v>
      </c>
      <c r="J30" s="1634">
        <v>68943.539999999994</v>
      </c>
      <c r="K30" s="1634">
        <v>202777</v>
      </c>
      <c r="L30" s="1634">
        <v>2.94</v>
      </c>
      <c r="M30" s="1634" t="s">
        <v>1327</v>
      </c>
      <c r="N30" s="1634" t="s">
        <v>1327</v>
      </c>
      <c r="O30" s="1634" t="s">
        <v>1327</v>
      </c>
      <c r="P30" s="1634" t="s">
        <v>1327</v>
      </c>
      <c r="Q30" s="1634" t="s">
        <v>1327</v>
      </c>
      <c r="R30" s="1634" t="s">
        <v>1327</v>
      </c>
      <c r="S30" s="1634" t="s">
        <v>3402</v>
      </c>
      <c r="T30" s="1634" t="s">
        <v>1327</v>
      </c>
      <c r="U30" s="1634" t="s">
        <v>1327</v>
      </c>
      <c r="V30" s="1634" t="s">
        <v>1327</v>
      </c>
      <c r="W30" s="1634" t="s">
        <v>3255</v>
      </c>
      <c r="X30" s="1634" t="s">
        <v>3403</v>
      </c>
      <c r="Y30" s="1634" t="s">
        <v>3404</v>
      </c>
      <c r="Z30" s="1634" t="s">
        <v>3404</v>
      </c>
      <c r="AA30" s="1634" t="s">
        <v>3404</v>
      </c>
      <c r="AB30" s="1634" t="s">
        <v>3400</v>
      </c>
      <c r="AC30" s="1634" t="s">
        <v>3190</v>
      </c>
      <c r="AD30" s="1634" t="s">
        <v>3405</v>
      </c>
      <c r="AE30" s="1634">
        <v>50000</v>
      </c>
      <c r="AF30" s="1634" t="s">
        <v>1327</v>
      </c>
      <c r="AG30" s="1634">
        <v>360770</v>
      </c>
      <c r="AH30" s="1634" t="s">
        <v>1327</v>
      </c>
      <c r="AI30" s="1634">
        <v>3488.56</v>
      </c>
      <c r="AJ30" s="1634" t="s">
        <v>1327</v>
      </c>
      <c r="AK30" s="1634">
        <v>17791.47</v>
      </c>
      <c r="AL30" s="1634" t="s">
        <v>1327</v>
      </c>
      <c r="AM30" s="1634" t="s">
        <v>1327</v>
      </c>
      <c r="AN30" s="1634" t="s">
        <v>1327</v>
      </c>
      <c r="AO30" s="1634" t="s">
        <v>3398</v>
      </c>
      <c r="AP30" s="1634" t="s">
        <v>1327</v>
      </c>
      <c r="AQ30" s="1634" t="s">
        <v>1327</v>
      </c>
      <c r="AR30" s="1634" t="s">
        <v>1327</v>
      </c>
      <c r="AS30" s="1634" t="s">
        <v>3205</v>
      </c>
    </row>
    <row r="31" spans="1:45">
      <c r="A31" s="1634" t="s">
        <v>3406</v>
      </c>
      <c r="B31" s="1634" t="s">
        <v>3092</v>
      </c>
      <c r="C31" s="1634" t="s">
        <v>3176</v>
      </c>
      <c r="D31" s="1634" t="s">
        <v>3177</v>
      </c>
      <c r="E31" s="1634" t="s">
        <v>1327</v>
      </c>
      <c r="F31" s="1634" t="s">
        <v>3407</v>
      </c>
      <c r="G31" s="1634" t="s">
        <v>3362</v>
      </c>
      <c r="H31" s="1634" t="s">
        <v>3408</v>
      </c>
      <c r="I31" s="1634" t="s">
        <v>3216</v>
      </c>
      <c r="J31" s="1634">
        <v>47446.64</v>
      </c>
      <c r="K31" s="1634">
        <v>178966</v>
      </c>
      <c r="L31" s="1634">
        <v>3.77</v>
      </c>
      <c r="M31" s="1634" t="s">
        <v>1327</v>
      </c>
      <c r="N31" s="1634" t="s">
        <v>1327</v>
      </c>
      <c r="O31" s="1634" t="s">
        <v>1327</v>
      </c>
      <c r="P31" s="1634" t="s">
        <v>3299</v>
      </c>
      <c r="Q31" s="1634">
        <v>16200</v>
      </c>
      <c r="R31" s="1634">
        <v>16200</v>
      </c>
      <c r="S31" s="1634" t="s">
        <v>3409</v>
      </c>
      <c r="T31" s="1634" t="s">
        <v>1327</v>
      </c>
      <c r="U31" s="1634" t="s">
        <v>1327</v>
      </c>
      <c r="V31" s="1634" t="s">
        <v>1327</v>
      </c>
      <c r="W31" s="1634" t="s">
        <v>3255</v>
      </c>
      <c r="X31" s="1634" t="s">
        <v>3403</v>
      </c>
      <c r="Y31" s="1634" t="s">
        <v>3404</v>
      </c>
      <c r="Z31" s="1634" t="s">
        <v>3404</v>
      </c>
      <c r="AA31" s="1634" t="s">
        <v>3404</v>
      </c>
      <c r="AB31" s="1634" t="s">
        <v>3408</v>
      </c>
      <c r="AC31" s="1634" t="s">
        <v>3190</v>
      </c>
      <c r="AD31" s="1634" t="s">
        <v>3410</v>
      </c>
      <c r="AE31" s="1634">
        <v>40000</v>
      </c>
      <c r="AF31" s="1634" t="s">
        <v>1327</v>
      </c>
      <c r="AG31" s="1634">
        <v>235000</v>
      </c>
      <c r="AH31" s="1634" t="s">
        <v>1327</v>
      </c>
      <c r="AI31" s="1634">
        <v>3301.95</v>
      </c>
      <c r="AJ31" s="1634" t="s">
        <v>1327</v>
      </c>
      <c r="AK31" s="1634">
        <v>13130.98</v>
      </c>
      <c r="AL31" s="1634" t="s">
        <v>1327</v>
      </c>
      <c r="AM31" s="1634">
        <v>14438</v>
      </c>
      <c r="AN31" s="1634" t="s">
        <v>1327</v>
      </c>
      <c r="AO31" s="1634" t="s">
        <v>3398</v>
      </c>
      <c r="AP31" s="1634" t="s">
        <v>1327</v>
      </c>
      <c r="AQ31" s="1634" t="s">
        <v>1327</v>
      </c>
      <c r="AR31" s="1634" t="s">
        <v>1327</v>
      </c>
      <c r="AS31" s="1634" t="s">
        <v>3212</v>
      </c>
    </row>
    <row r="32" spans="1:45">
      <c r="A32" s="1634" t="s">
        <v>3411</v>
      </c>
      <c r="B32" s="1634" t="s">
        <v>3092</v>
      </c>
      <c r="C32" s="1634" t="s">
        <v>3195</v>
      </c>
      <c r="D32" s="1634" t="s">
        <v>3177</v>
      </c>
      <c r="E32" s="1634" t="s">
        <v>1327</v>
      </c>
      <c r="F32" s="1634" t="s">
        <v>3412</v>
      </c>
      <c r="G32" s="1634" t="s">
        <v>3362</v>
      </c>
      <c r="H32" s="1634" t="s">
        <v>3413</v>
      </c>
      <c r="I32" s="1634" t="s">
        <v>3414</v>
      </c>
      <c r="J32" s="1634">
        <v>51670.01</v>
      </c>
      <c r="K32" s="1634">
        <v>180844</v>
      </c>
      <c r="L32" s="1634">
        <v>3.5</v>
      </c>
      <c r="M32" s="1634" t="s">
        <v>1327</v>
      </c>
      <c r="N32" s="1634" t="s">
        <v>1327</v>
      </c>
      <c r="O32" s="1634" t="s">
        <v>1327</v>
      </c>
      <c r="P32" s="1634" t="s">
        <v>1327</v>
      </c>
      <c r="Q32" s="1634" t="s">
        <v>1327</v>
      </c>
      <c r="R32" s="1634" t="s">
        <v>1327</v>
      </c>
      <c r="S32" s="1634" t="s">
        <v>1327</v>
      </c>
      <c r="T32" s="1634" t="s">
        <v>1327</v>
      </c>
      <c r="U32" s="1634" t="s">
        <v>1327</v>
      </c>
      <c r="V32" s="1634" t="s">
        <v>1327</v>
      </c>
      <c r="W32" s="1634" t="s">
        <v>3255</v>
      </c>
      <c r="X32" s="1634" t="s">
        <v>3403</v>
      </c>
      <c r="Y32" s="1634" t="s">
        <v>3404</v>
      </c>
      <c r="Z32" s="1634" t="s">
        <v>3404</v>
      </c>
      <c r="AA32" s="1634" t="s">
        <v>3404</v>
      </c>
      <c r="AB32" s="1634" t="s">
        <v>3413</v>
      </c>
      <c r="AC32" s="1634" t="s">
        <v>3190</v>
      </c>
      <c r="AD32" s="1634" t="s">
        <v>3415</v>
      </c>
      <c r="AE32" s="1634">
        <v>36000</v>
      </c>
      <c r="AF32" s="1634" t="s">
        <v>1327</v>
      </c>
      <c r="AG32" s="1634">
        <v>166000</v>
      </c>
      <c r="AH32" s="1634" t="s">
        <v>1327</v>
      </c>
      <c r="AI32" s="1634">
        <v>2141.8000000000002</v>
      </c>
      <c r="AJ32" s="1634" t="s">
        <v>1327</v>
      </c>
      <c r="AK32" s="1634">
        <v>9179.18</v>
      </c>
      <c r="AL32" s="1634" t="s">
        <v>1327</v>
      </c>
      <c r="AM32" s="1634" t="s">
        <v>1327</v>
      </c>
      <c r="AN32" s="1634" t="s">
        <v>1327</v>
      </c>
      <c r="AO32" s="1634" t="s">
        <v>3382</v>
      </c>
      <c r="AP32" s="1634" t="s">
        <v>1327</v>
      </c>
      <c r="AQ32" s="1634" t="s">
        <v>1327</v>
      </c>
      <c r="AR32" s="1634" t="s">
        <v>1327</v>
      </c>
      <c r="AS32" s="1634" t="s">
        <v>3212</v>
      </c>
    </row>
    <row r="33" spans="1:45">
      <c r="A33" s="1634" t="s">
        <v>3416</v>
      </c>
      <c r="B33" s="1634" t="s">
        <v>3092</v>
      </c>
      <c r="C33" s="1634" t="s">
        <v>3176</v>
      </c>
      <c r="D33" s="1634" t="s">
        <v>3177</v>
      </c>
      <c r="E33" s="1634" t="s">
        <v>1327</v>
      </c>
      <c r="F33" s="1634" t="s">
        <v>3214</v>
      </c>
      <c r="G33" s="1634" t="s">
        <v>3179</v>
      </c>
      <c r="H33" s="1634" t="s">
        <v>3417</v>
      </c>
      <c r="I33" s="1634" t="s">
        <v>3418</v>
      </c>
      <c r="J33" s="1634">
        <v>136680.29999999999</v>
      </c>
      <c r="K33" s="1634">
        <v>276965</v>
      </c>
      <c r="L33" s="1634">
        <v>2.0299999999999998</v>
      </c>
      <c r="M33" s="1634" t="s">
        <v>1327</v>
      </c>
      <c r="N33" s="1634" t="s">
        <v>1327</v>
      </c>
      <c r="O33" s="1634" t="s">
        <v>1327</v>
      </c>
      <c r="P33" s="1634" t="s">
        <v>3299</v>
      </c>
      <c r="Q33" s="1634">
        <v>57300</v>
      </c>
      <c r="R33" s="1634">
        <v>57300</v>
      </c>
      <c r="S33" s="1634" t="s">
        <v>1327</v>
      </c>
      <c r="T33" s="1634" t="s">
        <v>1327</v>
      </c>
      <c r="U33" s="1634" t="s">
        <v>1327</v>
      </c>
      <c r="V33" s="1634" t="s">
        <v>1327</v>
      </c>
      <c r="W33" s="1634" t="s">
        <v>3255</v>
      </c>
      <c r="X33" s="1634" t="s">
        <v>3419</v>
      </c>
      <c r="Y33" s="1634" t="s">
        <v>3420</v>
      </c>
      <c r="Z33" s="1634" t="s">
        <v>3421</v>
      </c>
      <c r="AA33" s="1634" t="s">
        <v>3421</v>
      </c>
      <c r="AB33" s="1634" t="s">
        <v>3417</v>
      </c>
      <c r="AC33" s="1634" t="s">
        <v>3190</v>
      </c>
      <c r="AD33" s="1634" t="s">
        <v>3422</v>
      </c>
      <c r="AE33" s="1634">
        <v>65000</v>
      </c>
      <c r="AF33" s="1634">
        <v>214000</v>
      </c>
      <c r="AG33" s="1634">
        <v>216000</v>
      </c>
      <c r="AH33" s="1634">
        <v>1043.8</v>
      </c>
      <c r="AI33" s="1634">
        <v>1053.55</v>
      </c>
      <c r="AJ33" s="1634">
        <v>7726.6</v>
      </c>
      <c r="AK33" s="1634">
        <v>7798.81</v>
      </c>
      <c r="AL33" s="1634">
        <v>9742</v>
      </c>
      <c r="AM33" s="1634">
        <v>9833</v>
      </c>
      <c r="AN33" s="1634">
        <v>0.93</v>
      </c>
      <c r="AO33" s="1634" t="s">
        <v>3356</v>
      </c>
      <c r="AP33" s="1634" t="s">
        <v>1327</v>
      </c>
      <c r="AQ33" s="1634" t="s">
        <v>1327</v>
      </c>
      <c r="AR33" s="1634" t="s">
        <v>1327</v>
      </c>
      <c r="AS33" s="1634" t="s">
        <v>3205</v>
      </c>
    </row>
    <row r="34" spans="1:45" hidden="1">
      <c r="A34" s="1634" t="s">
        <v>3423</v>
      </c>
      <c r="B34" s="1634" t="s">
        <v>3092</v>
      </c>
      <c r="C34" s="1634" t="s">
        <v>3195</v>
      </c>
      <c r="D34" s="1634" t="s">
        <v>3177</v>
      </c>
      <c r="E34" s="1634" t="s">
        <v>1327</v>
      </c>
      <c r="F34" s="1634" t="s">
        <v>3424</v>
      </c>
      <c r="G34" s="1634" t="s">
        <v>3179</v>
      </c>
      <c r="H34" s="1634" t="s">
        <v>3425</v>
      </c>
      <c r="I34" s="1634" t="s">
        <v>3426</v>
      </c>
      <c r="J34" s="1634">
        <v>37490</v>
      </c>
      <c r="K34" s="1634">
        <v>67565</v>
      </c>
      <c r="L34" s="1634">
        <v>1.8</v>
      </c>
      <c r="M34" s="1634" t="s">
        <v>1327</v>
      </c>
      <c r="N34" s="1634" t="s">
        <v>1327</v>
      </c>
      <c r="O34" s="1634" t="s">
        <v>1327</v>
      </c>
      <c r="P34" s="1634" t="s">
        <v>1327</v>
      </c>
      <c r="Q34" s="1634" t="s">
        <v>1327</v>
      </c>
      <c r="R34" s="1634" t="s">
        <v>1327</v>
      </c>
      <c r="S34" s="1634" t="s">
        <v>1327</v>
      </c>
      <c r="T34" s="1634" t="s">
        <v>1327</v>
      </c>
      <c r="U34" s="1634" t="s">
        <v>1327</v>
      </c>
      <c r="V34" s="1634" t="s">
        <v>1327</v>
      </c>
      <c r="W34" s="1634" t="s">
        <v>3255</v>
      </c>
      <c r="X34" s="1634" t="s">
        <v>3427</v>
      </c>
      <c r="Y34" s="1634" t="s">
        <v>3428</v>
      </c>
      <c r="Z34" s="1634" t="s">
        <v>3429</v>
      </c>
      <c r="AA34" s="1634" t="s">
        <v>3429</v>
      </c>
      <c r="AB34" s="1634" t="s">
        <v>3425</v>
      </c>
      <c r="AC34" s="1634" t="s">
        <v>3190</v>
      </c>
      <c r="AD34" s="1634" t="s">
        <v>3430</v>
      </c>
      <c r="AE34" s="1634">
        <v>14000</v>
      </c>
      <c r="AF34" s="1634">
        <v>44100</v>
      </c>
      <c r="AG34" s="1634">
        <v>85500</v>
      </c>
      <c r="AH34" s="1634">
        <v>784.21</v>
      </c>
      <c r="AI34" s="1634">
        <v>1520.41</v>
      </c>
      <c r="AJ34" s="1634">
        <v>6527.04</v>
      </c>
      <c r="AK34" s="1634">
        <v>12654.47</v>
      </c>
      <c r="AL34" s="1634" t="s">
        <v>1327</v>
      </c>
      <c r="AM34" s="1634" t="s">
        <v>1327</v>
      </c>
      <c r="AN34" s="1634">
        <v>93.88</v>
      </c>
      <c r="AO34" s="1634" t="s">
        <v>3431</v>
      </c>
      <c r="AP34" s="1634" t="s">
        <v>1327</v>
      </c>
      <c r="AQ34" s="1634" t="s">
        <v>1327</v>
      </c>
      <c r="AR34" s="1634" t="s">
        <v>1327</v>
      </c>
      <c r="AS34" s="1634" t="s">
        <v>3193</v>
      </c>
    </row>
    <row r="35" spans="1:45" hidden="1">
      <c r="A35" s="1634" t="s">
        <v>3432</v>
      </c>
      <c r="B35" s="1634" t="s">
        <v>3092</v>
      </c>
      <c r="C35" s="1634" t="s">
        <v>3176</v>
      </c>
      <c r="D35" s="1634" t="s">
        <v>3177</v>
      </c>
      <c r="E35" s="1634" t="s">
        <v>1327</v>
      </c>
      <c r="F35" s="1634" t="s">
        <v>3433</v>
      </c>
      <c r="G35" s="1634" t="s">
        <v>3179</v>
      </c>
      <c r="H35" s="1634" t="s">
        <v>3434</v>
      </c>
      <c r="I35" s="1634" t="s">
        <v>3435</v>
      </c>
      <c r="J35" s="1634">
        <v>118111</v>
      </c>
      <c r="K35" s="1634">
        <v>288137</v>
      </c>
      <c r="L35" s="1634">
        <v>2.44</v>
      </c>
      <c r="M35" s="1634" t="s">
        <v>1327</v>
      </c>
      <c r="N35" s="1634" t="s">
        <v>1327</v>
      </c>
      <c r="O35" s="1634" t="s">
        <v>1327</v>
      </c>
      <c r="P35" s="1634" t="s">
        <v>3310</v>
      </c>
      <c r="Q35" s="1634">
        <v>40000</v>
      </c>
      <c r="R35" s="1634">
        <v>40000</v>
      </c>
      <c r="S35" s="1634" t="s">
        <v>3436</v>
      </c>
      <c r="T35" s="1634" t="s">
        <v>1327</v>
      </c>
      <c r="U35" s="1634" t="s">
        <v>1327</v>
      </c>
      <c r="V35" s="1634" t="s">
        <v>1327</v>
      </c>
      <c r="W35" s="1634" t="s">
        <v>3255</v>
      </c>
      <c r="X35" s="1634" t="s">
        <v>3437</v>
      </c>
      <c r="Y35" s="1634" t="s">
        <v>3438</v>
      </c>
      <c r="Z35" s="1634" t="s">
        <v>3439</v>
      </c>
      <c r="AA35" s="1634" t="s">
        <v>3439</v>
      </c>
      <c r="AB35" s="1634" t="s">
        <v>3434</v>
      </c>
      <c r="AC35" s="1634" t="s">
        <v>3190</v>
      </c>
      <c r="AD35" s="1634" t="s">
        <v>3440</v>
      </c>
      <c r="AE35" s="1634">
        <v>40000</v>
      </c>
      <c r="AF35" s="1634">
        <v>129000</v>
      </c>
      <c r="AG35" s="1634">
        <v>154800</v>
      </c>
      <c r="AH35" s="1634">
        <v>728.13</v>
      </c>
      <c r="AI35" s="1634">
        <v>873.75</v>
      </c>
      <c r="AJ35" s="1634">
        <v>4477.03</v>
      </c>
      <c r="AK35" s="1634">
        <v>5372.43</v>
      </c>
      <c r="AL35" s="1634">
        <v>5199</v>
      </c>
      <c r="AM35" s="1634">
        <v>6238</v>
      </c>
      <c r="AN35" s="1634">
        <v>20</v>
      </c>
      <c r="AO35" s="1634" t="s">
        <v>3356</v>
      </c>
      <c r="AP35" s="1634" t="s">
        <v>1327</v>
      </c>
      <c r="AQ35" s="1634" t="s">
        <v>1327</v>
      </c>
      <c r="AR35" s="1634" t="s">
        <v>1327</v>
      </c>
      <c r="AS35" s="1634" t="s">
        <v>3193</v>
      </c>
    </row>
    <row r="36" spans="1:45" hidden="1">
      <c r="A36" s="1634" t="s">
        <v>3441</v>
      </c>
      <c r="B36" s="1634" t="s">
        <v>3092</v>
      </c>
      <c r="C36" s="1634" t="s">
        <v>3261</v>
      </c>
      <c r="D36" s="1634" t="s">
        <v>3177</v>
      </c>
      <c r="E36" s="1634" t="s">
        <v>1327</v>
      </c>
      <c r="F36" s="1634" t="s">
        <v>3214</v>
      </c>
      <c r="G36" s="1634" t="s">
        <v>3179</v>
      </c>
      <c r="H36" s="1634" t="s">
        <v>3442</v>
      </c>
      <c r="I36" s="1634" t="s">
        <v>3443</v>
      </c>
      <c r="J36" s="1634">
        <v>182569</v>
      </c>
      <c r="K36" s="1634">
        <v>511193</v>
      </c>
      <c r="L36" s="1634">
        <v>2.8</v>
      </c>
      <c r="M36" s="1634" t="s">
        <v>1327</v>
      </c>
      <c r="N36" s="1634" t="s">
        <v>1327</v>
      </c>
      <c r="O36" s="1634" t="s">
        <v>1327</v>
      </c>
      <c r="P36" s="1634" t="s">
        <v>3299</v>
      </c>
      <c r="Q36" s="1634">
        <v>511193</v>
      </c>
      <c r="R36" s="1634">
        <v>511193</v>
      </c>
      <c r="S36" s="1634" t="s">
        <v>1327</v>
      </c>
      <c r="T36" s="1634" t="s">
        <v>1327</v>
      </c>
      <c r="U36" s="1634" t="s">
        <v>1327</v>
      </c>
      <c r="V36" s="1634" t="s">
        <v>1327</v>
      </c>
      <c r="W36" s="1634" t="s">
        <v>3255</v>
      </c>
      <c r="X36" s="1634" t="s">
        <v>3444</v>
      </c>
      <c r="Y36" s="1634" t="s">
        <v>3445</v>
      </c>
      <c r="Z36" s="1634" t="s">
        <v>3446</v>
      </c>
      <c r="AA36" s="1634" t="s">
        <v>3446</v>
      </c>
      <c r="AB36" s="1634" t="s">
        <v>3442</v>
      </c>
      <c r="AC36" s="1634" t="s">
        <v>3190</v>
      </c>
      <c r="AD36" s="1634" t="s">
        <v>3447</v>
      </c>
      <c r="AE36" s="1634">
        <v>8000</v>
      </c>
      <c r="AF36" s="1634">
        <v>305125</v>
      </c>
      <c r="AG36" s="1634">
        <v>356000</v>
      </c>
      <c r="AH36" s="1634">
        <v>1114.19</v>
      </c>
      <c r="AI36" s="1634">
        <v>1299.97</v>
      </c>
      <c r="AJ36" s="1634">
        <v>5968.88</v>
      </c>
      <c r="AK36" s="1634">
        <v>6964.1</v>
      </c>
      <c r="AL36" s="1634" t="s">
        <v>1327</v>
      </c>
      <c r="AM36" s="1634" t="s">
        <v>1327</v>
      </c>
      <c r="AN36" s="1634">
        <v>16.670000000000002</v>
      </c>
      <c r="AO36" s="1634" t="s">
        <v>3356</v>
      </c>
      <c r="AP36" s="1634" t="s">
        <v>1327</v>
      </c>
      <c r="AQ36" s="1634" t="s">
        <v>1327</v>
      </c>
      <c r="AR36" s="1634" t="s">
        <v>1327</v>
      </c>
      <c r="AS36" s="1634" t="s">
        <v>3205</v>
      </c>
    </row>
    <row r="37" spans="1:45" hidden="1">
      <c r="A37" s="1634" t="s">
        <v>3448</v>
      </c>
      <c r="B37" s="1634" t="s">
        <v>3092</v>
      </c>
      <c r="C37" s="1634" t="s">
        <v>3176</v>
      </c>
      <c r="D37" s="1634" t="s">
        <v>3177</v>
      </c>
      <c r="E37" s="1634" t="s">
        <v>1327</v>
      </c>
      <c r="F37" s="1634" t="s">
        <v>3316</v>
      </c>
      <c r="G37" s="1634" t="s">
        <v>3362</v>
      </c>
      <c r="H37" s="1634" t="s">
        <v>3449</v>
      </c>
      <c r="I37" s="1634" t="s">
        <v>3450</v>
      </c>
      <c r="J37" s="1634">
        <v>55300.86</v>
      </c>
      <c r="K37" s="1634">
        <v>177941</v>
      </c>
      <c r="L37" s="1634">
        <v>3.22</v>
      </c>
      <c r="M37" s="1634" t="s">
        <v>1327</v>
      </c>
      <c r="N37" s="1634" t="s">
        <v>1327</v>
      </c>
      <c r="O37" s="1634" t="s">
        <v>1327</v>
      </c>
      <c r="P37" s="1634" t="s">
        <v>3451</v>
      </c>
      <c r="Q37" s="1634">
        <v>5600</v>
      </c>
      <c r="R37" s="1634">
        <v>5600</v>
      </c>
      <c r="S37" s="1634" t="s">
        <v>1327</v>
      </c>
      <c r="T37" s="1634" t="s">
        <v>1327</v>
      </c>
      <c r="U37" s="1634" t="s">
        <v>1327</v>
      </c>
      <c r="V37" s="1634" t="s">
        <v>1327</v>
      </c>
      <c r="W37" s="1634" t="s">
        <v>3255</v>
      </c>
      <c r="X37" s="1634" t="s">
        <v>3452</v>
      </c>
      <c r="Y37" s="1634" t="s">
        <v>3453</v>
      </c>
      <c r="Z37" s="1634" t="s">
        <v>3453</v>
      </c>
      <c r="AA37" s="1634" t="s">
        <v>3453</v>
      </c>
      <c r="AB37" s="1634" t="s">
        <v>3449</v>
      </c>
      <c r="AC37" s="1634" t="s">
        <v>3190</v>
      </c>
      <c r="AD37" s="1634" t="s">
        <v>3367</v>
      </c>
      <c r="AE37" s="1634">
        <v>35000</v>
      </c>
      <c r="AF37" s="1634" t="s">
        <v>1327</v>
      </c>
      <c r="AG37" s="1634">
        <v>118800</v>
      </c>
      <c r="AH37" s="1634" t="s">
        <v>1327</v>
      </c>
      <c r="AI37" s="1634">
        <v>1432.17</v>
      </c>
      <c r="AJ37" s="1634" t="s">
        <v>1327</v>
      </c>
      <c r="AK37" s="1634">
        <v>6676.36</v>
      </c>
      <c r="AL37" s="1634" t="s">
        <v>1327</v>
      </c>
      <c r="AM37" s="1634">
        <v>6893</v>
      </c>
      <c r="AN37" s="1634" t="s">
        <v>1327</v>
      </c>
      <c r="AO37" s="1634" t="s">
        <v>3398</v>
      </c>
      <c r="AP37" s="1634" t="s">
        <v>1327</v>
      </c>
      <c r="AQ37" s="1634" t="s">
        <v>1327</v>
      </c>
      <c r="AR37" s="1634" t="s">
        <v>1327</v>
      </c>
      <c r="AS37" s="1634" t="s">
        <v>3205</v>
      </c>
    </row>
    <row r="38" spans="1:45" hidden="1">
      <c r="A38" s="1634" t="s">
        <v>3454</v>
      </c>
      <c r="B38" s="1634" t="s">
        <v>3092</v>
      </c>
      <c r="C38" s="1634" t="s">
        <v>3176</v>
      </c>
      <c r="D38" s="1634" t="s">
        <v>3177</v>
      </c>
      <c r="E38" s="1634" t="s">
        <v>1327</v>
      </c>
      <c r="F38" s="1634" t="s">
        <v>3237</v>
      </c>
      <c r="G38" s="1634" t="s">
        <v>3362</v>
      </c>
      <c r="H38" s="1634" t="s">
        <v>3455</v>
      </c>
      <c r="I38" s="1634" t="s">
        <v>3216</v>
      </c>
      <c r="J38" s="1634">
        <v>68833.649999999994</v>
      </c>
      <c r="K38" s="1634">
        <v>172084</v>
      </c>
      <c r="L38" s="1634">
        <v>2.5</v>
      </c>
      <c r="M38" s="1634" t="s">
        <v>1327</v>
      </c>
      <c r="N38" s="1634" t="s">
        <v>1327</v>
      </c>
      <c r="O38" s="1634" t="s">
        <v>1327</v>
      </c>
      <c r="P38" s="1634" t="s">
        <v>3456</v>
      </c>
      <c r="Q38" s="1634">
        <v>20000</v>
      </c>
      <c r="R38" s="1634">
        <v>20000</v>
      </c>
      <c r="S38" s="1634" t="s">
        <v>1327</v>
      </c>
      <c r="T38" s="1634" t="s">
        <v>1327</v>
      </c>
      <c r="U38" s="1634" t="s">
        <v>1327</v>
      </c>
      <c r="V38" s="1634" t="s">
        <v>1327</v>
      </c>
      <c r="W38" s="1634" t="s">
        <v>3255</v>
      </c>
      <c r="X38" s="1634" t="s">
        <v>3452</v>
      </c>
      <c r="Y38" s="1634" t="s">
        <v>3453</v>
      </c>
      <c r="Z38" s="1634" t="s">
        <v>3453</v>
      </c>
      <c r="AA38" s="1634" t="s">
        <v>3453</v>
      </c>
      <c r="AB38" s="1634" t="s">
        <v>3455</v>
      </c>
      <c r="AC38" s="1634" t="s">
        <v>3190</v>
      </c>
      <c r="AD38" s="1634" t="s">
        <v>3457</v>
      </c>
      <c r="AE38" s="1634">
        <v>35000</v>
      </c>
      <c r="AF38" s="1634" t="s">
        <v>1327</v>
      </c>
      <c r="AG38" s="1634">
        <v>105080</v>
      </c>
      <c r="AH38" s="1634" t="s">
        <v>1327</v>
      </c>
      <c r="AI38" s="1634">
        <v>1017.72</v>
      </c>
      <c r="AJ38" s="1634" t="s">
        <v>1327</v>
      </c>
      <c r="AK38" s="1634">
        <v>6106.31</v>
      </c>
      <c r="AL38" s="1634" t="s">
        <v>1327</v>
      </c>
      <c r="AM38" s="1634">
        <v>6909</v>
      </c>
      <c r="AN38" s="1634" t="s">
        <v>1327</v>
      </c>
      <c r="AO38" s="1634" t="s">
        <v>3398</v>
      </c>
      <c r="AP38" s="1634" t="s">
        <v>1327</v>
      </c>
      <c r="AQ38" s="1634" t="s">
        <v>1327</v>
      </c>
      <c r="AR38" s="1634" t="s">
        <v>1327</v>
      </c>
      <c r="AS38" s="1634" t="s">
        <v>3193</v>
      </c>
    </row>
    <row r="39" spans="1:45" hidden="1">
      <c r="A39" s="1634" t="s">
        <v>3458</v>
      </c>
      <c r="B39" s="1634" t="s">
        <v>3092</v>
      </c>
      <c r="C39" s="1634" t="s">
        <v>3176</v>
      </c>
      <c r="D39" s="1634" t="s">
        <v>3177</v>
      </c>
      <c r="E39" s="1634" t="s">
        <v>1327</v>
      </c>
      <c r="F39" s="1634" t="s">
        <v>3424</v>
      </c>
      <c r="G39" s="1634" t="s">
        <v>3362</v>
      </c>
      <c r="H39" s="1634" t="s">
        <v>3459</v>
      </c>
      <c r="I39" s="1634" t="s">
        <v>3298</v>
      </c>
      <c r="J39" s="1634">
        <v>259387.5</v>
      </c>
      <c r="K39" s="1634">
        <v>516351</v>
      </c>
      <c r="L39" s="1634">
        <v>2</v>
      </c>
      <c r="M39" s="1634" t="s">
        <v>1327</v>
      </c>
      <c r="N39" s="1634" t="s">
        <v>1327</v>
      </c>
      <c r="O39" s="1634" t="s">
        <v>1327</v>
      </c>
      <c r="P39" s="1634" t="s">
        <v>1327</v>
      </c>
      <c r="Q39" s="1634" t="s">
        <v>1327</v>
      </c>
      <c r="R39" s="1634" t="s">
        <v>1327</v>
      </c>
      <c r="S39" s="1634" t="s">
        <v>1327</v>
      </c>
      <c r="T39" s="1634" t="s">
        <v>1327</v>
      </c>
      <c r="U39" s="1634" t="s">
        <v>1327</v>
      </c>
      <c r="V39" s="1634" t="s">
        <v>1327</v>
      </c>
      <c r="W39" s="1634" t="s">
        <v>3255</v>
      </c>
      <c r="X39" s="1634" t="s">
        <v>3460</v>
      </c>
      <c r="Y39" s="1634" t="s">
        <v>3461</v>
      </c>
      <c r="Z39" s="1634" t="s">
        <v>3461</v>
      </c>
      <c r="AA39" s="1634" t="s">
        <v>3461</v>
      </c>
      <c r="AB39" s="1634" t="s">
        <v>3459</v>
      </c>
      <c r="AC39" s="1634" t="s">
        <v>3190</v>
      </c>
      <c r="AD39" s="1634" t="s">
        <v>3462</v>
      </c>
      <c r="AE39" s="1634">
        <v>92000</v>
      </c>
      <c r="AF39" s="1634" t="s">
        <v>1327</v>
      </c>
      <c r="AG39" s="1634">
        <v>470000</v>
      </c>
      <c r="AH39" s="1634" t="s">
        <v>1327</v>
      </c>
      <c r="AI39" s="1634">
        <v>1207.97</v>
      </c>
      <c r="AJ39" s="1634" t="s">
        <v>1327</v>
      </c>
      <c r="AK39" s="1634">
        <v>9102.34</v>
      </c>
      <c r="AL39" s="1634" t="s">
        <v>1327</v>
      </c>
      <c r="AM39" s="1634" t="s">
        <v>1327</v>
      </c>
      <c r="AN39" s="1634" t="s">
        <v>1327</v>
      </c>
      <c r="AO39" s="1634" t="s">
        <v>3398</v>
      </c>
      <c r="AP39" s="1634" t="s">
        <v>1327</v>
      </c>
      <c r="AQ39" s="1634" t="s">
        <v>1327</v>
      </c>
      <c r="AR39" s="1634" t="s">
        <v>1327</v>
      </c>
      <c r="AS39" s="1634" t="s">
        <v>3212</v>
      </c>
    </row>
    <row r="40" spans="1:45" hidden="1">
      <c r="A40" s="1634" t="s">
        <v>3463</v>
      </c>
      <c r="B40" s="1634" t="s">
        <v>3092</v>
      </c>
      <c r="C40" s="1634" t="s">
        <v>3176</v>
      </c>
      <c r="D40" s="1634" t="s">
        <v>3177</v>
      </c>
      <c r="E40" s="1634" t="s">
        <v>1327</v>
      </c>
      <c r="F40" s="1634" t="s">
        <v>3296</v>
      </c>
      <c r="G40" s="1634" t="s">
        <v>3179</v>
      </c>
      <c r="H40" s="1634" t="s">
        <v>3464</v>
      </c>
      <c r="I40" s="1634" t="s">
        <v>3298</v>
      </c>
      <c r="J40" s="1634">
        <v>76854</v>
      </c>
      <c r="K40" s="1634">
        <v>169079</v>
      </c>
      <c r="L40" s="1634">
        <v>2.2000000000000002</v>
      </c>
      <c r="M40" s="1634" t="s">
        <v>1327</v>
      </c>
      <c r="N40" s="1634" t="s">
        <v>1327</v>
      </c>
      <c r="O40" s="1634" t="s">
        <v>1327</v>
      </c>
      <c r="P40" s="1634" t="s">
        <v>3299</v>
      </c>
      <c r="Q40" s="1634">
        <v>35000</v>
      </c>
      <c r="R40" s="1634">
        <v>35000</v>
      </c>
      <c r="S40" s="1634" t="s">
        <v>1327</v>
      </c>
      <c r="T40" s="1634" t="s">
        <v>1327</v>
      </c>
      <c r="U40" s="1634" t="s">
        <v>1327</v>
      </c>
      <c r="V40" s="1634" t="s">
        <v>1327</v>
      </c>
      <c r="W40" s="1634" t="s">
        <v>3255</v>
      </c>
      <c r="X40" s="1634" t="s">
        <v>3465</v>
      </c>
      <c r="Y40" s="1634" t="s">
        <v>3466</v>
      </c>
      <c r="Z40" s="1634" t="s">
        <v>3467</v>
      </c>
      <c r="AA40" s="1634" t="s">
        <v>3467</v>
      </c>
      <c r="AB40" s="1634" t="s">
        <v>3464</v>
      </c>
      <c r="AC40" s="1634" t="s">
        <v>3190</v>
      </c>
      <c r="AD40" s="1634" t="s">
        <v>3468</v>
      </c>
      <c r="AE40" s="1634">
        <v>17000</v>
      </c>
      <c r="AF40" s="1634">
        <v>55000</v>
      </c>
      <c r="AG40" s="1634">
        <v>80000</v>
      </c>
      <c r="AH40" s="1634">
        <v>477.1</v>
      </c>
      <c r="AI40" s="1634">
        <v>693.96</v>
      </c>
      <c r="AJ40" s="1634">
        <v>3252.91</v>
      </c>
      <c r="AK40" s="1634">
        <v>4731.5200000000004</v>
      </c>
      <c r="AL40" s="1634">
        <v>4102</v>
      </c>
      <c r="AM40" s="1634">
        <v>5967</v>
      </c>
      <c r="AN40" s="1634">
        <v>45.45</v>
      </c>
      <c r="AO40" s="1634" t="s">
        <v>3398</v>
      </c>
      <c r="AP40" s="1634" t="s">
        <v>1327</v>
      </c>
      <c r="AQ40" s="1634" t="s">
        <v>1327</v>
      </c>
      <c r="AR40" s="1634" t="s">
        <v>1327</v>
      </c>
      <c r="AS40" s="1634" t="s">
        <v>3193</v>
      </c>
    </row>
    <row r="41" spans="1:45" hidden="1">
      <c r="A41" s="1634" t="s">
        <v>3469</v>
      </c>
      <c r="B41" s="1634" t="s">
        <v>3092</v>
      </c>
      <c r="C41" s="1634" t="s">
        <v>3176</v>
      </c>
      <c r="D41" s="1634" t="s">
        <v>3177</v>
      </c>
      <c r="E41" s="1634" t="s">
        <v>1327</v>
      </c>
      <c r="F41" s="1634" t="s">
        <v>3214</v>
      </c>
      <c r="G41" s="1634" t="s">
        <v>3179</v>
      </c>
      <c r="H41" s="1634" t="s">
        <v>3470</v>
      </c>
      <c r="I41" s="1634" t="s">
        <v>3471</v>
      </c>
      <c r="J41" s="1634">
        <v>76674</v>
      </c>
      <c r="K41" s="1634">
        <v>175155</v>
      </c>
      <c r="L41" s="1634">
        <v>2.2799999999999998</v>
      </c>
      <c r="M41" s="1634" t="s">
        <v>1327</v>
      </c>
      <c r="N41" s="1634" t="s">
        <v>1327</v>
      </c>
      <c r="O41" s="1634" t="s">
        <v>1327</v>
      </c>
      <c r="P41" s="1634" t="s">
        <v>1327</v>
      </c>
      <c r="Q41" s="1634" t="s">
        <v>1327</v>
      </c>
      <c r="R41" s="1634" t="s">
        <v>1327</v>
      </c>
      <c r="S41" s="1634" t="s">
        <v>1327</v>
      </c>
      <c r="T41" s="1634" t="s">
        <v>1327</v>
      </c>
      <c r="U41" s="1634" t="s">
        <v>1327</v>
      </c>
      <c r="V41" s="1634" t="s">
        <v>1327</v>
      </c>
      <c r="W41" s="1634" t="s">
        <v>3255</v>
      </c>
      <c r="X41" s="1634" t="s">
        <v>1327</v>
      </c>
      <c r="Y41" s="1634" t="s">
        <v>3472</v>
      </c>
      <c r="Z41" s="1634" t="s">
        <v>3473</v>
      </c>
      <c r="AA41" s="1634" t="s">
        <v>3473</v>
      </c>
      <c r="AB41" s="1634" t="s">
        <v>1327</v>
      </c>
      <c r="AC41" s="1634" t="s">
        <v>3190</v>
      </c>
      <c r="AD41" s="1634" t="s">
        <v>3474</v>
      </c>
      <c r="AE41" s="1634">
        <v>27000</v>
      </c>
      <c r="AF41" s="1634">
        <v>90000</v>
      </c>
      <c r="AG41" s="1634">
        <v>128000</v>
      </c>
      <c r="AH41" s="1634">
        <v>782.53</v>
      </c>
      <c r="AI41" s="1634">
        <v>1112.94</v>
      </c>
      <c r="AJ41" s="1634">
        <v>5138.3</v>
      </c>
      <c r="AK41" s="1634">
        <v>7307.81</v>
      </c>
      <c r="AL41" s="1634" t="s">
        <v>1327</v>
      </c>
      <c r="AM41" s="1634" t="s">
        <v>1327</v>
      </c>
      <c r="AN41" s="1634">
        <v>42.22</v>
      </c>
      <c r="AO41" s="1634" t="s">
        <v>3475</v>
      </c>
      <c r="AP41" s="1634" t="s">
        <v>1327</v>
      </c>
      <c r="AQ41" s="1634" t="s">
        <v>1327</v>
      </c>
      <c r="AR41" s="1634" t="s">
        <v>1327</v>
      </c>
      <c r="AS41" s="1634" t="s">
        <v>3205</v>
      </c>
    </row>
    <row r="42" spans="1:45" hidden="1">
      <c r="A42" s="1634" t="s">
        <v>3476</v>
      </c>
      <c r="B42" s="1634" t="s">
        <v>3092</v>
      </c>
      <c r="C42" s="1634" t="s">
        <v>3176</v>
      </c>
      <c r="D42" s="1634" t="s">
        <v>3177</v>
      </c>
      <c r="E42" s="1634" t="s">
        <v>1327</v>
      </c>
      <c r="F42" s="1634" t="s">
        <v>3296</v>
      </c>
      <c r="G42" s="1634" t="s">
        <v>3179</v>
      </c>
      <c r="H42" s="1634" t="s">
        <v>3477</v>
      </c>
      <c r="I42" s="1634" t="s">
        <v>3478</v>
      </c>
      <c r="J42" s="1634">
        <v>143386</v>
      </c>
      <c r="K42" s="1634">
        <v>308589</v>
      </c>
      <c r="L42" s="1634">
        <v>2.15</v>
      </c>
      <c r="M42" s="1634" t="s">
        <v>1327</v>
      </c>
      <c r="N42" s="1634" t="s">
        <v>1327</v>
      </c>
      <c r="O42" s="1634" t="s">
        <v>1327</v>
      </c>
      <c r="P42" s="1634" t="s">
        <v>1327</v>
      </c>
      <c r="Q42" s="1634" t="s">
        <v>1327</v>
      </c>
      <c r="R42" s="1634" t="s">
        <v>1327</v>
      </c>
      <c r="S42" s="1634" t="s">
        <v>1327</v>
      </c>
      <c r="T42" s="1634" t="s">
        <v>1327</v>
      </c>
      <c r="U42" s="1634" t="s">
        <v>1327</v>
      </c>
      <c r="V42" s="1634" t="s">
        <v>1327</v>
      </c>
      <c r="W42" s="1634" t="s">
        <v>3255</v>
      </c>
      <c r="X42" s="1634" t="s">
        <v>1327</v>
      </c>
      <c r="Y42" s="1634" t="s">
        <v>3479</v>
      </c>
      <c r="Z42" s="1634" t="s">
        <v>3480</v>
      </c>
      <c r="AA42" s="1634" t="s">
        <v>3480</v>
      </c>
      <c r="AB42" s="1634" t="s">
        <v>1327</v>
      </c>
      <c r="AC42" s="1634" t="s">
        <v>3190</v>
      </c>
      <c r="AD42" s="1634" t="s">
        <v>3481</v>
      </c>
      <c r="AE42" s="1634">
        <v>48000</v>
      </c>
      <c r="AF42" s="1634">
        <v>160000</v>
      </c>
      <c r="AG42" s="1634">
        <v>160000</v>
      </c>
      <c r="AH42" s="1634">
        <v>743.91</v>
      </c>
      <c r="AI42" s="1634">
        <v>743.91</v>
      </c>
      <c r="AJ42" s="1634">
        <v>5184.8900000000003</v>
      </c>
      <c r="AK42" s="1634">
        <v>5184.8900000000003</v>
      </c>
      <c r="AL42" s="1634" t="s">
        <v>1327</v>
      </c>
      <c r="AM42" s="1634" t="s">
        <v>1327</v>
      </c>
      <c r="AN42" s="1634">
        <v>0</v>
      </c>
      <c r="AO42" s="1634" t="s">
        <v>3482</v>
      </c>
      <c r="AP42" s="1634" t="s">
        <v>1327</v>
      </c>
      <c r="AQ42" s="1634" t="s">
        <v>1327</v>
      </c>
      <c r="AR42" s="1634" t="s">
        <v>1327</v>
      </c>
      <c r="AS42" s="1634" t="s">
        <v>3193</v>
      </c>
    </row>
    <row r="43" spans="1:45" hidden="1">
      <c r="A43" s="1634" t="s">
        <v>3483</v>
      </c>
      <c r="B43" s="1634" t="s">
        <v>3092</v>
      </c>
      <c r="C43" s="1634" t="s">
        <v>3195</v>
      </c>
      <c r="D43" s="1634" t="s">
        <v>3177</v>
      </c>
      <c r="E43" s="1634" t="s">
        <v>1327</v>
      </c>
      <c r="F43" s="1634" t="s">
        <v>3316</v>
      </c>
      <c r="G43" s="1634" t="s">
        <v>3179</v>
      </c>
      <c r="H43" s="1634" t="s">
        <v>3484</v>
      </c>
      <c r="I43" s="1634" t="s">
        <v>3485</v>
      </c>
      <c r="J43" s="1634">
        <v>44920</v>
      </c>
      <c r="K43" s="1634">
        <v>112300</v>
      </c>
      <c r="L43" s="1634">
        <v>2.5</v>
      </c>
      <c r="M43" s="1634" t="s">
        <v>1327</v>
      </c>
      <c r="N43" s="1634" t="s">
        <v>1327</v>
      </c>
      <c r="O43" s="1634" t="s">
        <v>1327</v>
      </c>
      <c r="P43" s="1634" t="s">
        <v>1327</v>
      </c>
      <c r="Q43" s="1634" t="s">
        <v>1327</v>
      </c>
      <c r="R43" s="1634" t="s">
        <v>1327</v>
      </c>
      <c r="S43" s="1634" t="s">
        <v>1327</v>
      </c>
      <c r="T43" s="1634" t="s">
        <v>1327</v>
      </c>
      <c r="U43" s="1634" t="s">
        <v>1327</v>
      </c>
      <c r="V43" s="1634" t="s">
        <v>1327</v>
      </c>
      <c r="W43" s="1634" t="s">
        <v>3255</v>
      </c>
      <c r="X43" s="1634" t="s">
        <v>1327</v>
      </c>
      <c r="Y43" s="1634" t="s">
        <v>3486</v>
      </c>
      <c r="Z43" s="1634" t="s">
        <v>3487</v>
      </c>
      <c r="AA43" s="1634" t="s">
        <v>3487</v>
      </c>
      <c r="AB43" s="1634" t="s">
        <v>1327</v>
      </c>
      <c r="AC43" s="1634" t="s">
        <v>3190</v>
      </c>
      <c r="AD43" s="1634" t="s">
        <v>3488</v>
      </c>
      <c r="AE43" s="1634" t="s">
        <v>1327</v>
      </c>
      <c r="AF43" s="1634">
        <v>61650</v>
      </c>
      <c r="AG43" s="1634">
        <v>61650</v>
      </c>
      <c r="AH43" s="1634">
        <v>914.96</v>
      </c>
      <c r="AI43" s="1634">
        <v>914.96</v>
      </c>
      <c r="AJ43" s="1634">
        <v>5489.76</v>
      </c>
      <c r="AK43" s="1634">
        <v>5489.76</v>
      </c>
      <c r="AL43" s="1634" t="s">
        <v>1327</v>
      </c>
      <c r="AM43" s="1634" t="s">
        <v>1327</v>
      </c>
      <c r="AN43" s="1634">
        <v>0</v>
      </c>
      <c r="AO43" s="1634" t="s">
        <v>3489</v>
      </c>
      <c r="AP43" s="1634" t="s">
        <v>1327</v>
      </c>
      <c r="AQ43" s="1634" t="s">
        <v>1327</v>
      </c>
      <c r="AR43" s="1634" t="s">
        <v>1327</v>
      </c>
      <c r="AS43" s="1634" t="s">
        <v>3205</v>
      </c>
    </row>
    <row r="44" spans="1:45" hidden="1">
      <c r="A44" s="1634" t="s">
        <v>3490</v>
      </c>
      <c r="B44" s="1634" t="s">
        <v>3092</v>
      </c>
      <c r="C44" s="1634" t="s">
        <v>3261</v>
      </c>
      <c r="D44" s="1634" t="s">
        <v>3177</v>
      </c>
      <c r="E44" s="1634" t="s">
        <v>1327</v>
      </c>
      <c r="F44" s="1634" t="s">
        <v>3491</v>
      </c>
      <c r="G44" s="1634" t="s">
        <v>3362</v>
      </c>
      <c r="H44" s="1634" t="s">
        <v>3492</v>
      </c>
      <c r="I44" s="1634" t="s">
        <v>3264</v>
      </c>
      <c r="J44" s="1634">
        <v>57753</v>
      </c>
      <c r="K44" s="1634">
        <v>115506</v>
      </c>
      <c r="L44" s="1634">
        <v>2</v>
      </c>
      <c r="M44" s="1634" t="s">
        <v>1327</v>
      </c>
      <c r="N44" s="1634" t="s">
        <v>1327</v>
      </c>
      <c r="O44" s="1634" t="s">
        <v>1327</v>
      </c>
      <c r="P44" s="1634" t="s">
        <v>1327</v>
      </c>
      <c r="Q44" s="1634" t="s">
        <v>1327</v>
      </c>
      <c r="R44" s="1634" t="s">
        <v>1327</v>
      </c>
      <c r="S44" s="1634" t="s">
        <v>1327</v>
      </c>
      <c r="T44" s="1634" t="s">
        <v>1327</v>
      </c>
      <c r="U44" s="1634" t="s">
        <v>1327</v>
      </c>
      <c r="V44" s="1634" t="s">
        <v>1327</v>
      </c>
      <c r="W44" s="1634" t="s">
        <v>3255</v>
      </c>
      <c r="X44" s="1634" t="s">
        <v>1327</v>
      </c>
      <c r="Y44" s="1634" t="s">
        <v>3493</v>
      </c>
      <c r="Z44" s="1634" t="s">
        <v>3493</v>
      </c>
      <c r="AA44" s="1634" t="s">
        <v>3494</v>
      </c>
      <c r="AB44" s="1634" t="s">
        <v>1327</v>
      </c>
      <c r="AC44" s="1634" t="s">
        <v>3190</v>
      </c>
      <c r="AD44" s="1634" t="s">
        <v>3495</v>
      </c>
      <c r="AE44" s="1634">
        <v>15000</v>
      </c>
      <c r="AF44" s="1634" t="s">
        <v>1327</v>
      </c>
      <c r="AG44" s="1634">
        <v>88020</v>
      </c>
      <c r="AH44" s="1634" t="s">
        <v>1327</v>
      </c>
      <c r="AI44" s="1634">
        <v>1016.05</v>
      </c>
      <c r="AJ44" s="1634" t="s">
        <v>1327</v>
      </c>
      <c r="AK44" s="1634">
        <v>7620.38</v>
      </c>
      <c r="AL44" s="1634" t="s">
        <v>1327</v>
      </c>
      <c r="AM44" s="1634" t="s">
        <v>1327</v>
      </c>
      <c r="AN44" s="1634" t="s">
        <v>1327</v>
      </c>
      <c r="AO44" s="1634" t="s">
        <v>3356</v>
      </c>
      <c r="AP44" s="1634" t="s">
        <v>1327</v>
      </c>
      <c r="AQ44" s="1634" t="s">
        <v>1327</v>
      </c>
      <c r="AR44" s="1634" t="s">
        <v>1327</v>
      </c>
      <c r="AS44" s="1634" t="s">
        <v>3193</v>
      </c>
    </row>
    <row r="45" spans="1:45" hidden="1">
      <c r="A45" s="1634" t="s">
        <v>3496</v>
      </c>
      <c r="B45" s="1634" t="s">
        <v>3092</v>
      </c>
      <c r="C45" s="1634" t="s">
        <v>3261</v>
      </c>
      <c r="D45" s="1634" t="s">
        <v>3177</v>
      </c>
      <c r="E45" s="1634" t="s">
        <v>1327</v>
      </c>
      <c r="F45" s="1634" t="s">
        <v>3497</v>
      </c>
      <c r="G45" s="1634" t="s">
        <v>3362</v>
      </c>
      <c r="H45" s="1634" t="s">
        <v>3498</v>
      </c>
      <c r="I45" s="1634" t="s">
        <v>3264</v>
      </c>
      <c r="J45" s="1634">
        <v>63940.42</v>
      </c>
      <c r="K45" s="1634">
        <v>95911</v>
      </c>
      <c r="L45" s="1634">
        <v>1.5</v>
      </c>
      <c r="M45" s="1634" t="s">
        <v>1327</v>
      </c>
      <c r="N45" s="1634" t="s">
        <v>1327</v>
      </c>
      <c r="O45" s="1634" t="s">
        <v>1327</v>
      </c>
      <c r="P45" s="1634" t="s">
        <v>1327</v>
      </c>
      <c r="Q45" s="1634" t="s">
        <v>1327</v>
      </c>
      <c r="R45" s="1634" t="s">
        <v>1327</v>
      </c>
      <c r="S45" s="1634" t="s">
        <v>1327</v>
      </c>
      <c r="T45" s="1634" t="s">
        <v>1327</v>
      </c>
      <c r="U45" s="1634" t="s">
        <v>1327</v>
      </c>
      <c r="V45" s="1634" t="s">
        <v>1327</v>
      </c>
      <c r="W45" s="1634" t="s">
        <v>3255</v>
      </c>
      <c r="X45" s="1634" t="s">
        <v>1327</v>
      </c>
      <c r="Y45" s="1634" t="s">
        <v>3499</v>
      </c>
      <c r="Z45" s="1634" t="s">
        <v>3499</v>
      </c>
      <c r="AA45" s="1634" t="s">
        <v>3500</v>
      </c>
      <c r="AB45" s="1634" t="s">
        <v>1327</v>
      </c>
      <c r="AC45" s="1634" t="s">
        <v>3190</v>
      </c>
      <c r="AD45" s="1634" t="s">
        <v>3501</v>
      </c>
      <c r="AE45" s="1634">
        <v>11000</v>
      </c>
      <c r="AF45" s="1634">
        <v>59500</v>
      </c>
      <c r="AG45" s="1634">
        <v>95910</v>
      </c>
      <c r="AH45" s="1634">
        <v>620.37</v>
      </c>
      <c r="AI45" s="1634">
        <v>999.99</v>
      </c>
      <c r="AJ45" s="1634">
        <v>6203.66</v>
      </c>
      <c r="AK45" s="1634">
        <v>9999.89</v>
      </c>
      <c r="AL45" s="1634" t="s">
        <v>1327</v>
      </c>
      <c r="AM45" s="1634" t="s">
        <v>1327</v>
      </c>
      <c r="AN45" s="1634">
        <v>61.19</v>
      </c>
      <c r="AO45" s="1634" t="s">
        <v>3356</v>
      </c>
      <c r="AP45" s="1634" t="s">
        <v>1327</v>
      </c>
      <c r="AQ45" s="1634" t="s">
        <v>1327</v>
      </c>
      <c r="AR45" s="1634" t="s">
        <v>1327</v>
      </c>
      <c r="AS45" s="1634" t="s">
        <v>3205</v>
      </c>
    </row>
    <row r="46" spans="1:45" hidden="1">
      <c r="A46" s="1634" t="s">
        <v>3502</v>
      </c>
      <c r="B46" s="1634" t="s">
        <v>3092</v>
      </c>
      <c r="C46" s="1634" t="s">
        <v>3176</v>
      </c>
      <c r="D46" s="1634" t="s">
        <v>3177</v>
      </c>
      <c r="E46" s="1634" t="s">
        <v>1327</v>
      </c>
      <c r="F46" s="1634" t="s">
        <v>3503</v>
      </c>
      <c r="G46" s="1634" t="s">
        <v>3362</v>
      </c>
      <c r="H46" s="1634" t="s">
        <v>3504</v>
      </c>
      <c r="I46" s="1634" t="s">
        <v>3505</v>
      </c>
      <c r="J46" s="1634">
        <v>107749</v>
      </c>
      <c r="K46" s="1634">
        <v>237048</v>
      </c>
      <c r="L46" s="1634">
        <v>2.2000000000000002</v>
      </c>
      <c r="M46" s="1634" t="s">
        <v>1327</v>
      </c>
      <c r="N46" s="1634" t="s">
        <v>1327</v>
      </c>
      <c r="O46" s="1634" t="s">
        <v>1327</v>
      </c>
      <c r="P46" s="1634" t="s">
        <v>1327</v>
      </c>
      <c r="Q46" s="1634" t="s">
        <v>1327</v>
      </c>
      <c r="R46" s="1634" t="s">
        <v>1327</v>
      </c>
      <c r="S46" s="1634" t="s">
        <v>1327</v>
      </c>
      <c r="T46" s="1634" t="s">
        <v>1327</v>
      </c>
      <c r="U46" s="1634" t="s">
        <v>1327</v>
      </c>
      <c r="V46" s="1634" t="s">
        <v>1327</v>
      </c>
      <c r="W46" s="1634" t="s">
        <v>3255</v>
      </c>
      <c r="X46" s="1634" t="s">
        <v>1327</v>
      </c>
      <c r="Y46" s="1634" t="s">
        <v>3499</v>
      </c>
      <c r="Z46" s="1634" t="s">
        <v>3499</v>
      </c>
      <c r="AA46" s="1634" t="s">
        <v>3500</v>
      </c>
      <c r="AB46" s="1634" t="s">
        <v>1327</v>
      </c>
      <c r="AC46" s="1634" t="s">
        <v>3190</v>
      </c>
      <c r="AD46" s="1634" t="s">
        <v>3506</v>
      </c>
      <c r="AE46" s="1634">
        <v>28500</v>
      </c>
      <c r="AF46" s="1634">
        <v>116000</v>
      </c>
      <c r="AG46" s="1634">
        <v>172570.89</v>
      </c>
      <c r="AH46" s="1634">
        <v>717.72</v>
      </c>
      <c r="AI46" s="1634">
        <v>1067.73</v>
      </c>
      <c r="AJ46" s="1634">
        <v>4893.5200000000004</v>
      </c>
      <c r="AK46" s="1634">
        <v>7280</v>
      </c>
      <c r="AL46" s="1634" t="s">
        <v>1327</v>
      </c>
      <c r="AM46" s="1634" t="s">
        <v>1327</v>
      </c>
      <c r="AN46" s="1634">
        <v>48.77</v>
      </c>
      <c r="AO46" s="1634" t="s">
        <v>3356</v>
      </c>
      <c r="AP46" s="1634" t="s">
        <v>1327</v>
      </c>
      <c r="AQ46" s="1634" t="s">
        <v>1327</v>
      </c>
      <c r="AR46" s="1634" t="s">
        <v>1327</v>
      </c>
      <c r="AS46" s="1634" t="s">
        <v>3193</v>
      </c>
    </row>
    <row r="47" spans="1:45" hidden="1">
      <c r="A47" s="1634" t="s">
        <v>3507</v>
      </c>
      <c r="B47" s="1634" t="s">
        <v>3092</v>
      </c>
      <c r="C47" s="1634" t="s">
        <v>3176</v>
      </c>
      <c r="D47" s="1634" t="s">
        <v>3177</v>
      </c>
      <c r="E47" s="1634" t="s">
        <v>1327</v>
      </c>
      <c r="F47" s="1634" t="s">
        <v>3508</v>
      </c>
      <c r="G47" s="1634" t="s">
        <v>3362</v>
      </c>
      <c r="H47" s="1634" t="s">
        <v>3509</v>
      </c>
      <c r="I47" s="1634" t="s">
        <v>3264</v>
      </c>
      <c r="J47" s="1634">
        <v>113707.5</v>
      </c>
      <c r="K47" s="1634">
        <v>136449</v>
      </c>
      <c r="L47" s="1634">
        <v>1.2</v>
      </c>
      <c r="M47" s="1634" t="s">
        <v>1327</v>
      </c>
      <c r="N47" s="1634" t="s">
        <v>1327</v>
      </c>
      <c r="O47" s="1634" t="s">
        <v>1327</v>
      </c>
      <c r="P47" s="1634" t="s">
        <v>1327</v>
      </c>
      <c r="Q47" s="1634" t="s">
        <v>1327</v>
      </c>
      <c r="R47" s="1634" t="s">
        <v>1327</v>
      </c>
      <c r="S47" s="1634" t="s">
        <v>1327</v>
      </c>
      <c r="T47" s="1634" t="s">
        <v>1327</v>
      </c>
      <c r="U47" s="1634" t="s">
        <v>1327</v>
      </c>
      <c r="V47" s="1634" t="s">
        <v>1327</v>
      </c>
      <c r="W47" s="1634" t="s">
        <v>3255</v>
      </c>
      <c r="X47" s="1634" t="s">
        <v>1327</v>
      </c>
      <c r="Y47" s="1634" t="s">
        <v>3499</v>
      </c>
      <c r="Z47" s="1634" t="s">
        <v>3499</v>
      </c>
      <c r="AA47" s="1634" t="s">
        <v>3500</v>
      </c>
      <c r="AB47" s="1634" t="s">
        <v>1327</v>
      </c>
      <c r="AC47" s="1634" t="s">
        <v>3190</v>
      </c>
      <c r="AD47" s="1634" t="s">
        <v>3510</v>
      </c>
      <c r="AE47" s="1634">
        <v>15000</v>
      </c>
      <c r="AF47" s="1634">
        <v>88700</v>
      </c>
      <c r="AG47" s="1634">
        <v>123800</v>
      </c>
      <c r="AH47" s="1634">
        <v>520.04999999999995</v>
      </c>
      <c r="AI47" s="1634">
        <v>725.84</v>
      </c>
      <c r="AJ47" s="1634">
        <v>6500.59</v>
      </c>
      <c r="AK47" s="1634">
        <v>9072.98</v>
      </c>
      <c r="AL47" s="1634" t="s">
        <v>1327</v>
      </c>
      <c r="AM47" s="1634" t="s">
        <v>1327</v>
      </c>
      <c r="AN47" s="1634">
        <v>39.57</v>
      </c>
      <c r="AO47" s="1634" t="s">
        <v>3356</v>
      </c>
      <c r="AP47" s="1634" t="s">
        <v>1327</v>
      </c>
      <c r="AQ47" s="1634" t="s">
        <v>1327</v>
      </c>
      <c r="AR47" s="1634" t="s">
        <v>1327</v>
      </c>
      <c r="AS47" s="1634" t="s">
        <v>3205</v>
      </c>
    </row>
    <row r="48" spans="1:45" hidden="1">
      <c r="A48" s="1634" t="s">
        <v>3511</v>
      </c>
      <c r="B48" s="1634" t="s">
        <v>3092</v>
      </c>
      <c r="C48" s="1634" t="s">
        <v>3176</v>
      </c>
      <c r="D48" s="1634" t="s">
        <v>3177</v>
      </c>
      <c r="E48" s="1634" t="s">
        <v>1327</v>
      </c>
      <c r="F48" s="1634" t="s">
        <v>3512</v>
      </c>
      <c r="G48" s="1634" t="s">
        <v>3362</v>
      </c>
      <c r="H48" s="1634" t="s">
        <v>3513</v>
      </c>
      <c r="I48" s="1634" t="s">
        <v>3514</v>
      </c>
      <c r="J48" s="1634">
        <v>54942.31</v>
      </c>
      <c r="K48" s="1634">
        <v>104004.6</v>
      </c>
      <c r="L48" s="1634">
        <v>1.89</v>
      </c>
      <c r="M48" s="1634" t="s">
        <v>1327</v>
      </c>
      <c r="N48" s="1634" t="s">
        <v>1327</v>
      </c>
      <c r="O48" s="1634" t="s">
        <v>1327</v>
      </c>
      <c r="P48" s="1634" t="s">
        <v>1327</v>
      </c>
      <c r="Q48" s="1634" t="s">
        <v>1327</v>
      </c>
      <c r="R48" s="1634" t="s">
        <v>1327</v>
      </c>
      <c r="S48" s="1634" t="s">
        <v>1327</v>
      </c>
      <c r="T48" s="1634" t="s">
        <v>1327</v>
      </c>
      <c r="U48" s="1634" t="s">
        <v>1327</v>
      </c>
      <c r="V48" s="1634" t="s">
        <v>1327</v>
      </c>
      <c r="W48" s="1634" t="s">
        <v>3255</v>
      </c>
      <c r="X48" s="1634" t="s">
        <v>1327</v>
      </c>
      <c r="Y48" s="1634" t="s">
        <v>3515</v>
      </c>
      <c r="Z48" s="1634" t="s">
        <v>3515</v>
      </c>
      <c r="AA48" s="1634" t="s">
        <v>3516</v>
      </c>
      <c r="AB48" s="1634" t="s">
        <v>1327</v>
      </c>
      <c r="AC48" s="1634" t="s">
        <v>3190</v>
      </c>
      <c r="AD48" s="1634" t="s">
        <v>3517</v>
      </c>
      <c r="AE48" s="1634">
        <v>6000</v>
      </c>
      <c r="AF48" s="1634" t="s">
        <v>1327</v>
      </c>
      <c r="AG48" s="1634">
        <v>29026</v>
      </c>
      <c r="AH48" s="1634" t="s">
        <v>1327</v>
      </c>
      <c r="AI48" s="1634">
        <v>352.2</v>
      </c>
      <c r="AJ48" s="1634" t="s">
        <v>1327</v>
      </c>
      <c r="AK48" s="1634">
        <v>2790.84</v>
      </c>
      <c r="AL48" s="1634" t="s">
        <v>1327</v>
      </c>
      <c r="AM48" s="1634" t="s">
        <v>1327</v>
      </c>
      <c r="AN48" s="1634" t="s">
        <v>1327</v>
      </c>
      <c r="AO48" s="1634" t="s">
        <v>3398</v>
      </c>
      <c r="AP48" s="1634" t="s">
        <v>1327</v>
      </c>
      <c r="AQ48" s="1634" t="s">
        <v>1327</v>
      </c>
      <c r="AR48" s="1634" t="s">
        <v>1327</v>
      </c>
      <c r="AS48" s="1634" t="s">
        <v>3205</v>
      </c>
    </row>
    <row r="49" spans="1:45" hidden="1">
      <c r="A49" s="1634" t="s">
        <v>3518</v>
      </c>
      <c r="B49" s="1634" t="s">
        <v>3092</v>
      </c>
      <c r="C49" s="1634" t="s">
        <v>3261</v>
      </c>
      <c r="D49" s="1634" t="s">
        <v>3177</v>
      </c>
      <c r="E49" s="1634" t="s">
        <v>1327</v>
      </c>
      <c r="F49" s="1634" t="s">
        <v>3519</v>
      </c>
      <c r="G49" s="1634" t="s">
        <v>3362</v>
      </c>
      <c r="H49" s="1634" t="s">
        <v>3520</v>
      </c>
      <c r="I49" s="1634" t="s">
        <v>3521</v>
      </c>
      <c r="J49" s="1634">
        <v>48560</v>
      </c>
      <c r="K49" s="1634">
        <v>106832</v>
      </c>
      <c r="L49" s="1634">
        <v>2.2000000000000002</v>
      </c>
      <c r="M49" s="1634" t="s">
        <v>1327</v>
      </c>
      <c r="N49" s="1634" t="s">
        <v>1327</v>
      </c>
      <c r="O49" s="1634" t="s">
        <v>1327</v>
      </c>
      <c r="P49" s="1634" t="s">
        <v>1327</v>
      </c>
      <c r="Q49" s="1634" t="s">
        <v>1327</v>
      </c>
      <c r="R49" s="1634" t="s">
        <v>1327</v>
      </c>
      <c r="S49" s="1634" t="s">
        <v>1327</v>
      </c>
      <c r="T49" s="1634" t="s">
        <v>1327</v>
      </c>
      <c r="U49" s="1634" t="s">
        <v>1327</v>
      </c>
      <c r="V49" s="1634" t="s">
        <v>1327</v>
      </c>
      <c r="W49" s="1634" t="s">
        <v>3255</v>
      </c>
      <c r="X49" s="1634" t="s">
        <v>1327</v>
      </c>
      <c r="Y49" s="1634" t="s">
        <v>3515</v>
      </c>
      <c r="Z49" s="1634" t="s">
        <v>3515</v>
      </c>
      <c r="AA49" s="1634" t="s">
        <v>3515</v>
      </c>
      <c r="AB49" s="1634" t="s">
        <v>1327</v>
      </c>
      <c r="AC49" s="1634" t="s">
        <v>3190</v>
      </c>
      <c r="AD49" s="1634" t="s">
        <v>3522</v>
      </c>
      <c r="AE49" s="1634">
        <v>6000</v>
      </c>
      <c r="AF49" s="1634" t="s">
        <v>1327</v>
      </c>
      <c r="AG49" s="1634">
        <v>32266</v>
      </c>
      <c r="AH49" s="1634" t="s">
        <v>1327</v>
      </c>
      <c r="AI49" s="1634">
        <v>442.97</v>
      </c>
      <c r="AJ49" s="1634" t="s">
        <v>1327</v>
      </c>
      <c r="AK49" s="1634">
        <v>3020.26</v>
      </c>
      <c r="AL49" s="1634" t="s">
        <v>1327</v>
      </c>
      <c r="AM49" s="1634" t="s">
        <v>1327</v>
      </c>
      <c r="AN49" s="1634" t="s">
        <v>1327</v>
      </c>
      <c r="AO49" s="1634" t="s">
        <v>3523</v>
      </c>
      <c r="AP49" s="1634" t="s">
        <v>1327</v>
      </c>
      <c r="AQ49" s="1634" t="s">
        <v>1327</v>
      </c>
      <c r="AR49" s="1634" t="s">
        <v>1327</v>
      </c>
      <c r="AS49" s="1634" t="s">
        <v>3205</v>
      </c>
    </row>
    <row r="50" spans="1:45" hidden="1">
      <c r="A50" s="1634" t="s">
        <v>3524</v>
      </c>
      <c r="B50" s="1634" t="s">
        <v>3092</v>
      </c>
      <c r="C50" s="1634" t="s">
        <v>3195</v>
      </c>
      <c r="D50" s="1634" t="s">
        <v>3177</v>
      </c>
      <c r="E50" s="1634" t="s">
        <v>1327</v>
      </c>
      <c r="F50" s="1634" t="s">
        <v>3525</v>
      </c>
      <c r="G50" s="1634" t="s">
        <v>3362</v>
      </c>
      <c r="H50" s="1634" t="s">
        <v>3526</v>
      </c>
      <c r="I50" s="1634" t="s">
        <v>3527</v>
      </c>
      <c r="J50" s="1634">
        <v>112200</v>
      </c>
      <c r="K50" s="1634">
        <v>100180</v>
      </c>
      <c r="L50" s="1634">
        <v>0.89</v>
      </c>
      <c r="M50" s="1634" t="s">
        <v>1327</v>
      </c>
      <c r="N50" s="1634" t="s">
        <v>1327</v>
      </c>
      <c r="O50" s="1634" t="s">
        <v>1327</v>
      </c>
      <c r="P50" s="1634" t="s">
        <v>1327</v>
      </c>
      <c r="Q50" s="1634" t="s">
        <v>1327</v>
      </c>
      <c r="R50" s="1634" t="s">
        <v>1327</v>
      </c>
      <c r="S50" s="1634" t="s">
        <v>1327</v>
      </c>
      <c r="T50" s="1634" t="s">
        <v>1327</v>
      </c>
      <c r="U50" s="1634" t="s">
        <v>1327</v>
      </c>
      <c r="V50" s="1634" t="s">
        <v>1327</v>
      </c>
      <c r="W50" s="1634" t="s">
        <v>3255</v>
      </c>
      <c r="X50" s="1634" t="s">
        <v>1327</v>
      </c>
      <c r="Y50" s="1634" t="s">
        <v>3528</v>
      </c>
      <c r="Z50" s="1634" t="s">
        <v>3528</v>
      </c>
      <c r="AA50" s="1634" t="s">
        <v>3529</v>
      </c>
      <c r="AB50" s="1634" t="s">
        <v>1327</v>
      </c>
      <c r="AC50" s="1634" t="s">
        <v>3190</v>
      </c>
      <c r="AD50" s="1634" t="s">
        <v>3530</v>
      </c>
      <c r="AE50" s="1634">
        <v>6200</v>
      </c>
      <c r="AF50" s="1634" t="s">
        <v>1327</v>
      </c>
      <c r="AG50" s="1634">
        <v>41219</v>
      </c>
      <c r="AH50" s="1634" t="s">
        <v>1327</v>
      </c>
      <c r="AI50" s="1634">
        <v>244.91</v>
      </c>
      <c r="AJ50" s="1634" t="s">
        <v>1327</v>
      </c>
      <c r="AK50" s="1634">
        <v>4114.4799999999996</v>
      </c>
      <c r="AL50" s="1634" t="s">
        <v>1327</v>
      </c>
      <c r="AM50" s="1634" t="s">
        <v>1327</v>
      </c>
      <c r="AN50" s="1634" t="s">
        <v>1327</v>
      </c>
      <c r="AO50" s="1634" t="s">
        <v>3382</v>
      </c>
      <c r="AP50" s="1634" t="s">
        <v>1327</v>
      </c>
      <c r="AQ50" s="1634" t="s">
        <v>1327</v>
      </c>
      <c r="AR50" s="1634" t="s">
        <v>1327</v>
      </c>
      <c r="AS50" s="1634" t="s">
        <v>3531</v>
      </c>
    </row>
    <row r="51" spans="1:45" hidden="1">
      <c r="A51" s="1634" t="s">
        <v>3532</v>
      </c>
      <c r="B51" s="1634" t="s">
        <v>3092</v>
      </c>
      <c r="C51" s="1634" t="s">
        <v>3195</v>
      </c>
      <c r="D51" s="1634" t="s">
        <v>3177</v>
      </c>
      <c r="E51" s="1634" t="s">
        <v>1327</v>
      </c>
      <c r="F51" s="1634" t="s">
        <v>3533</v>
      </c>
      <c r="G51" s="1634" t="s">
        <v>3179</v>
      </c>
      <c r="H51" s="1634" t="s">
        <v>3534</v>
      </c>
      <c r="I51" s="1634" t="s">
        <v>3535</v>
      </c>
      <c r="J51" s="1634">
        <v>8363</v>
      </c>
      <c r="K51" s="1634">
        <v>29271</v>
      </c>
      <c r="L51" s="1634">
        <v>3.5</v>
      </c>
      <c r="M51" s="1634" t="s">
        <v>1327</v>
      </c>
      <c r="N51" s="1634" t="s">
        <v>1327</v>
      </c>
      <c r="O51" s="1634" t="s">
        <v>1327</v>
      </c>
      <c r="P51" s="1634" t="s">
        <v>1327</v>
      </c>
      <c r="Q51" s="1634" t="s">
        <v>1327</v>
      </c>
      <c r="R51" s="1634" t="s">
        <v>1327</v>
      </c>
      <c r="S51" s="1634" t="s">
        <v>1327</v>
      </c>
      <c r="T51" s="1634" t="s">
        <v>1327</v>
      </c>
      <c r="U51" s="1634" t="s">
        <v>1327</v>
      </c>
      <c r="V51" s="1634" t="s">
        <v>1327</v>
      </c>
      <c r="W51" s="1634" t="s">
        <v>3255</v>
      </c>
      <c r="X51" s="1634" t="s">
        <v>1327</v>
      </c>
      <c r="Y51" s="1634" t="s">
        <v>3536</v>
      </c>
      <c r="Z51" s="1634" t="s">
        <v>3537</v>
      </c>
      <c r="AA51" s="1634" t="s">
        <v>3537</v>
      </c>
      <c r="AB51" s="1634" t="s">
        <v>1327</v>
      </c>
      <c r="AC51" s="1634" t="s">
        <v>3190</v>
      </c>
      <c r="AD51" s="1634" t="s">
        <v>3538</v>
      </c>
      <c r="AE51" s="1634">
        <v>3000</v>
      </c>
      <c r="AF51" s="1634">
        <v>23026</v>
      </c>
      <c r="AG51" s="1634">
        <v>23026</v>
      </c>
      <c r="AH51" s="1634">
        <v>1835.55</v>
      </c>
      <c r="AI51" s="1634">
        <v>1835.55</v>
      </c>
      <c r="AJ51" s="1634">
        <v>7866.48</v>
      </c>
      <c r="AK51" s="1634">
        <v>7866.48</v>
      </c>
      <c r="AL51" s="1634" t="s">
        <v>1327</v>
      </c>
      <c r="AM51" s="1634" t="s">
        <v>1327</v>
      </c>
      <c r="AN51" s="1634">
        <v>0</v>
      </c>
      <c r="AO51" s="1634" t="s">
        <v>3431</v>
      </c>
      <c r="AP51" s="1634" t="s">
        <v>1327</v>
      </c>
      <c r="AQ51" s="1634" t="s">
        <v>1327</v>
      </c>
      <c r="AR51" s="1634" t="s">
        <v>1327</v>
      </c>
      <c r="AS51" s="1634" t="s">
        <v>3193</v>
      </c>
    </row>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16"/>
  <sheetViews>
    <sheetView workbookViewId="0">
      <selection activeCell="L15" sqref="L15"/>
    </sheetView>
  </sheetViews>
  <sheetFormatPr defaultRowHeight="14.4"/>
  <cols>
    <col min="3" max="3" width="13.88671875" bestFit="1" customWidth="1"/>
    <col min="5" max="5" width="22.6640625" bestFit="1" customWidth="1"/>
  </cols>
  <sheetData>
    <row r="2" spans="3:5">
      <c r="D2" s="2948"/>
      <c r="E2" s="2948"/>
    </row>
    <row r="3" spans="3:5">
      <c r="C3" s="2996" t="s">
        <v>3709</v>
      </c>
      <c r="D3" s="2996" t="s">
        <v>3693</v>
      </c>
      <c r="E3" s="2996" t="s">
        <v>3710</v>
      </c>
    </row>
    <row r="4" spans="3:5">
      <c r="C4" s="2996" t="s">
        <v>3690</v>
      </c>
      <c r="D4" s="2996" t="s">
        <v>27</v>
      </c>
      <c r="E4" s="2996" t="s">
        <v>3708</v>
      </c>
    </row>
    <row r="5" spans="3:5">
      <c r="C5" s="2996" t="s">
        <v>3691</v>
      </c>
      <c r="D5" s="2996" t="s">
        <v>27</v>
      </c>
      <c r="E5" s="2996" t="s">
        <v>3707</v>
      </c>
    </row>
    <row r="6" spans="3:5">
      <c r="C6" s="2996" t="s">
        <v>3692</v>
      </c>
      <c r="D6" s="2997" t="s">
        <v>27</v>
      </c>
      <c r="E6" s="2996" t="s">
        <v>3706</v>
      </c>
    </row>
    <row r="7" spans="3:5">
      <c r="C7" s="2999" t="s">
        <v>3711</v>
      </c>
      <c r="D7" s="3000"/>
      <c r="E7" s="3000">
        <v>32529</v>
      </c>
    </row>
    <row r="9" spans="3:5">
      <c r="C9" s="2996" t="s">
        <v>3709</v>
      </c>
      <c r="D9" s="2996" t="s">
        <v>3693</v>
      </c>
      <c r="E9" s="2996" t="s">
        <v>3702</v>
      </c>
    </row>
    <row r="10" spans="3:5">
      <c r="C10" s="2996" t="s">
        <v>3703</v>
      </c>
      <c r="D10" s="2997" t="s">
        <v>27</v>
      </c>
      <c r="E10" s="2998" t="s">
        <v>3698</v>
      </c>
    </row>
    <row r="11" spans="3:5">
      <c r="C11" s="2996" t="s">
        <v>3694</v>
      </c>
      <c r="D11" s="2997" t="s">
        <v>27</v>
      </c>
      <c r="E11" s="2998">
        <v>4</v>
      </c>
    </row>
    <row r="12" spans="3:5">
      <c r="C12" s="2996" t="s">
        <v>3695</v>
      </c>
      <c r="D12" s="2997" t="s">
        <v>27</v>
      </c>
      <c r="E12" s="2998">
        <v>3</v>
      </c>
    </row>
    <row r="13" spans="3:5">
      <c r="C13" s="2996" t="s">
        <v>3696</v>
      </c>
      <c r="D13" s="2997" t="s">
        <v>27</v>
      </c>
      <c r="E13" s="2998" t="s">
        <v>3697</v>
      </c>
    </row>
    <row r="14" spans="3:5">
      <c r="C14" s="2996" t="s">
        <v>3699</v>
      </c>
      <c r="D14" s="2997" t="s">
        <v>27</v>
      </c>
      <c r="E14" s="2998" t="s">
        <v>3700</v>
      </c>
    </row>
    <row r="15" spans="3:5">
      <c r="C15" s="2996" t="s">
        <v>3704</v>
      </c>
      <c r="D15" s="2997" t="s">
        <v>27</v>
      </c>
      <c r="E15" s="2998" t="s">
        <v>3701</v>
      </c>
    </row>
    <row r="16" spans="3:5">
      <c r="C16" s="2999" t="s">
        <v>3711</v>
      </c>
      <c r="D16" s="3000"/>
      <c r="E16" s="3000">
        <v>3.5</v>
      </c>
    </row>
  </sheetData>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46" t="s">
        <v>2642</v>
      </c>
      <c r="D4" s="3247"/>
      <c r="E4" s="3248" t="s">
        <v>2643</v>
      </c>
      <c r="F4" s="3249"/>
      <c r="G4" s="3246" t="s">
        <v>2644</v>
      </c>
      <c r="H4" s="3247"/>
      <c r="I4" s="3246" t="s">
        <v>2645</v>
      </c>
      <c r="J4" s="3247"/>
      <c r="K4" s="610" t="s">
        <v>2646</v>
      </c>
      <c r="L4" s="1130"/>
      <c r="M4" s="1131"/>
      <c r="N4" s="1131"/>
      <c r="O4" s="1131"/>
      <c r="P4" s="3250" t="s">
        <v>2647</v>
      </c>
      <c r="Q4" s="3251"/>
      <c r="R4" s="3233" t="s">
        <v>2643</v>
      </c>
      <c r="S4" s="3234"/>
      <c r="T4" s="3233" t="s">
        <v>2644</v>
      </c>
      <c r="U4" s="3234"/>
      <c r="V4" s="3230" t="s">
        <v>2645</v>
      </c>
      <c r="W4" s="3230"/>
      <c r="X4" s="1812"/>
      <c r="Y4" s="3233" t="s">
        <v>2647</v>
      </c>
      <c r="Z4" s="3234"/>
      <c r="AA4" s="3227" t="s">
        <v>2643</v>
      </c>
      <c r="AB4" s="3228" t="s">
        <v>2644</v>
      </c>
      <c r="AC4" s="3227" t="s">
        <v>2645</v>
      </c>
    </row>
    <row r="5" spans="1:29">
      <c r="A5" s="404"/>
      <c r="B5" s="405"/>
      <c r="C5" s="3239" t="s">
        <v>2538</v>
      </c>
      <c r="D5" s="3240"/>
      <c r="E5" s="3237" t="s">
        <v>2539</v>
      </c>
      <c r="F5" s="3238"/>
      <c r="G5" s="3239" t="s">
        <v>2540</v>
      </c>
      <c r="H5" s="3240"/>
      <c r="I5" s="3239" t="s">
        <v>2541</v>
      </c>
      <c r="J5" s="3240"/>
      <c r="K5" s="610"/>
      <c r="L5" s="1130"/>
      <c r="M5" s="1131"/>
      <c r="N5" s="1131"/>
      <c r="O5" s="1131"/>
      <c r="P5" s="3252"/>
      <c r="Q5" s="3253"/>
      <c r="R5" s="3235"/>
      <c r="S5" s="3236"/>
      <c r="T5" s="3235"/>
      <c r="U5" s="3236"/>
      <c r="V5" s="3230"/>
      <c r="W5" s="3230"/>
      <c r="X5" s="1812"/>
      <c r="Y5" s="3235"/>
      <c r="Z5" s="3236"/>
      <c r="AA5" s="3228"/>
      <c r="AB5" s="3228"/>
      <c r="AC5" s="3228"/>
    </row>
    <row r="6" spans="1:29" ht="15" thickBot="1">
      <c r="A6" s="406"/>
      <c r="B6" s="407"/>
      <c r="C6" s="3304" t="s">
        <v>2793</v>
      </c>
      <c r="D6" s="3298"/>
      <c r="E6" s="3305" t="s">
        <v>2793</v>
      </c>
      <c r="F6" s="3306"/>
      <c r="G6" s="3304" t="s">
        <v>2793</v>
      </c>
      <c r="H6" s="3298"/>
      <c r="I6" s="3304" t="s">
        <v>2793</v>
      </c>
      <c r="J6" s="3298"/>
      <c r="K6" s="610" t="s">
        <v>2543</v>
      </c>
      <c r="L6" s="1130"/>
      <c r="M6" s="1131"/>
      <c r="N6" s="1131"/>
      <c r="O6" s="1131"/>
      <c r="P6" s="3254"/>
      <c r="Q6" s="3255"/>
      <c r="R6" s="3235"/>
      <c r="S6" s="3236"/>
      <c r="T6" s="3256"/>
      <c r="U6" s="3257"/>
      <c r="V6" s="3230"/>
      <c r="W6" s="3230"/>
      <c r="X6" s="1812"/>
      <c r="Y6" s="3256"/>
      <c r="Z6" s="3257"/>
      <c r="AA6" s="3229"/>
      <c r="AB6" s="3229"/>
      <c r="AC6" s="3229"/>
    </row>
    <row r="7" spans="1:29" s="117" customFormat="1" ht="15" thickBot="1">
      <c r="A7" s="408" t="s">
        <v>2544</v>
      </c>
      <c r="B7" s="409"/>
      <c r="C7" s="410">
        <f>'数据-取费表'!B2</f>
        <v>43616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31" t="s">
        <v>2545</v>
      </c>
      <c r="Q7" s="3258"/>
      <c r="R7" s="770" t="s">
        <v>17</v>
      </c>
      <c r="S7" s="771">
        <f t="shared" ref="S7:S15" si="0">F7</f>
        <v>0</v>
      </c>
      <c r="T7" s="770" t="s">
        <v>17</v>
      </c>
      <c r="U7" s="771">
        <f t="shared" ref="U7:U15" si="1">H7</f>
        <v>0</v>
      </c>
      <c r="V7" s="770" t="s">
        <v>17</v>
      </c>
      <c r="W7" s="771">
        <f t="shared" ref="W7:W15" si="2">J7</f>
        <v>0</v>
      </c>
      <c r="X7" s="772"/>
      <c r="Y7" s="3231" t="s">
        <v>2545</v>
      </c>
      <c r="Z7" s="3232"/>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1" t="s">
        <v>2548</v>
      </c>
      <c r="Q8" s="3232"/>
      <c r="R8" s="770" t="s">
        <v>17</v>
      </c>
      <c r="S8" s="771">
        <f t="shared" si="0"/>
        <v>0</v>
      </c>
      <c r="T8" s="770" t="s">
        <v>17</v>
      </c>
      <c r="U8" s="771">
        <f t="shared" si="1"/>
        <v>0</v>
      </c>
      <c r="V8" s="770" t="s">
        <v>17</v>
      </c>
      <c r="W8" s="771">
        <f t="shared" si="2"/>
        <v>0</v>
      </c>
      <c r="X8" s="772"/>
      <c r="Y8" s="3231" t="s">
        <v>2548</v>
      </c>
      <c r="Z8" s="3232"/>
      <c r="AA8" s="773" t="e">
        <f t="shared" ref="AA8:AA40" si="3">D8/F8</f>
        <v>#DIV/0!</v>
      </c>
      <c r="AB8" s="773" t="e">
        <f t="shared" ref="AB8:AB40" si="4">D8/H8</f>
        <v>#DIV/0!</v>
      </c>
      <c r="AC8" s="773" t="e">
        <f t="shared" ref="AC8:AC40" si="5">D8/J8</f>
        <v>#DIV/0!</v>
      </c>
    </row>
    <row r="9" spans="1:29" s="117" customFormat="1" ht="14.4">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68" t="s">
        <v>2551</v>
      </c>
      <c r="Q9" s="1794" t="str">
        <f t="shared" ref="Q9:Q15" si="6">B9</f>
        <v>用途</v>
      </c>
      <c r="R9" s="770" t="s">
        <v>17</v>
      </c>
      <c r="S9" s="771">
        <f t="shared" si="0"/>
        <v>100</v>
      </c>
      <c r="T9" s="770" t="s">
        <v>17</v>
      </c>
      <c r="U9" s="771">
        <f t="shared" si="1"/>
        <v>100</v>
      </c>
      <c r="V9" s="770" t="s">
        <v>17</v>
      </c>
      <c r="W9" s="771">
        <f t="shared" si="2"/>
        <v>100</v>
      </c>
      <c r="X9" s="772"/>
      <c r="Y9" s="3070"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68"/>
      <c r="Q10" s="1794" t="str">
        <f t="shared" si="6"/>
        <v>土地使用年限（年）</v>
      </c>
      <c r="R10" s="770" t="s">
        <v>17</v>
      </c>
      <c r="S10" s="771">
        <f t="shared" si="0"/>
        <v>102</v>
      </c>
      <c r="T10" s="770" t="s">
        <v>17</v>
      </c>
      <c r="U10" s="771">
        <f t="shared" si="1"/>
        <v>102</v>
      </c>
      <c r="V10" s="770" t="s">
        <v>17</v>
      </c>
      <c r="W10" s="771">
        <f t="shared" si="2"/>
        <v>102</v>
      </c>
      <c r="X10" s="772"/>
      <c r="Y10" s="3070"/>
      <c r="Z10" s="55" t="str">
        <f t="shared" si="7"/>
        <v>土地使用年限（年）</v>
      </c>
      <c r="AA10" s="773">
        <f t="shared" si="3"/>
        <v>0.98039215686274506</v>
      </c>
      <c r="AB10" s="773">
        <f t="shared" si="4"/>
        <v>0.98039215686274506</v>
      </c>
      <c r="AC10" s="773">
        <f t="shared" si="5"/>
        <v>0.98039215686274506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69">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1" t="s">
        <v>2556</v>
      </c>
      <c r="Q15" s="1809" t="str">
        <f t="shared" si="6"/>
        <v>产业集聚程度</v>
      </c>
      <c r="R15" s="774" t="s">
        <v>17</v>
      </c>
      <c r="S15" s="775">
        <f t="shared" si="0"/>
        <v>100</v>
      </c>
      <c r="T15" s="774" t="s">
        <v>17</v>
      </c>
      <c r="U15" s="775">
        <f t="shared" si="1"/>
        <v>100</v>
      </c>
      <c r="V15" s="774" t="s">
        <v>17</v>
      </c>
      <c r="W15" s="775">
        <f t="shared" si="2"/>
        <v>100</v>
      </c>
      <c r="X15" s="1812"/>
      <c r="Y15" s="3261" t="s">
        <v>2556</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62"/>
      <c r="Q16" s="1809"/>
      <c r="R16" s="774"/>
      <c r="S16" s="775"/>
      <c r="T16" s="774"/>
      <c r="U16" s="775"/>
      <c r="V16" s="774"/>
      <c r="W16" s="775"/>
      <c r="X16" s="1812"/>
      <c r="Y16" s="3262"/>
      <c r="Z16" s="1813"/>
      <c r="AA16" s="1810">
        <v>1</v>
      </c>
      <c r="AB16" s="1810">
        <v>1</v>
      </c>
      <c r="AC16" s="1810">
        <v>1</v>
      </c>
    </row>
    <row r="17" spans="1:29" ht="96.6">
      <c r="A17" s="428"/>
      <c r="B17" s="631" t="s">
        <v>2705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2"/>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62"/>
      <c r="Q18" s="1809"/>
      <c r="R18" s="774"/>
      <c r="S18" s="775"/>
      <c r="T18" s="774"/>
      <c r="U18" s="775"/>
      <c r="V18" s="774"/>
      <c r="W18" s="775"/>
      <c r="X18" s="1812"/>
      <c r="Y18" s="3262"/>
      <c r="Z18" s="1813"/>
      <c r="AA18" s="1810">
        <v>1</v>
      </c>
      <c r="AB18" s="1810">
        <v>1</v>
      </c>
      <c r="AC18" s="1810">
        <v>1</v>
      </c>
    </row>
    <row r="19" spans="1:29" ht="28.8">
      <c r="A19" s="428"/>
      <c r="B19" s="631" t="s">
        <v>2744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2"/>
      <c r="Q19" s="1809" t="str">
        <f t="shared" ref="Q19:Q33" si="8">B19</f>
        <v>区域土地利用方向</v>
      </c>
      <c r="R19" s="774" t="s">
        <v>17</v>
      </c>
      <c r="S19" s="775">
        <f>F19</f>
        <v>100</v>
      </c>
      <c r="T19" s="774" t="s">
        <v>17</v>
      </c>
      <c r="U19" s="775">
        <f>H19</f>
        <v>100</v>
      </c>
      <c r="V19" s="774" t="s">
        <v>17</v>
      </c>
      <c r="W19" s="775">
        <f>J19</f>
        <v>100</v>
      </c>
      <c r="X19" s="1812"/>
      <c r="Y19" s="3262"/>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62"/>
      <c r="Q20" s="1809"/>
      <c r="R20" s="774"/>
      <c r="S20" s="775"/>
      <c r="T20" s="774"/>
      <c r="U20" s="775"/>
      <c r="V20" s="774"/>
      <c r="W20" s="775"/>
      <c r="X20" s="1812"/>
      <c r="Y20" s="3262"/>
      <c r="Z20" s="1813"/>
      <c r="AA20" s="1810"/>
      <c r="AB20" s="1810"/>
      <c r="AC20" s="1810"/>
    </row>
    <row r="21" spans="1:29" ht="82.8">
      <c r="A21" s="404"/>
      <c r="B21" s="631" t="s">
        <v>2795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2"/>
      <c r="Q21" s="1809" t="str">
        <f t="shared" si="8"/>
        <v>环境状况</v>
      </c>
      <c r="R21" s="774" t="s">
        <v>17</v>
      </c>
      <c r="S21" s="775">
        <f>F21</f>
        <v>100</v>
      </c>
      <c r="T21" s="774" t="s">
        <v>17</v>
      </c>
      <c r="U21" s="775">
        <f>H21</f>
        <v>100</v>
      </c>
      <c r="V21" s="774" t="s">
        <v>17</v>
      </c>
      <c r="W21" s="775">
        <f>J21</f>
        <v>100</v>
      </c>
      <c r="X21" s="1812"/>
      <c r="Y21" s="3262"/>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62"/>
      <c r="Q22" s="1809"/>
      <c r="R22" s="774"/>
      <c r="S22" s="775"/>
      <c r="T22" s="774"/>
      <c r="U22" s="775"/>
      <c r="V22" s="774"/>
      <c r="W22" s="775"/>
      <c r="X22" s="1812"/>
      <c r="Y22" s="3262"/>
      <c r="Z22" s="1813"/>
      <c r="AA22" s="1810">
        <v>1</v>
      </c>
      <c r="AB22" s="1810">
        <v>1</v>
      </c>
      <c r="AC22" s="1810">
        <v>1</v>
      </c>
    </row>
    <row r="23" spans="1:29" s="117" customFormat="1" ht="41.4">
      <c r="A23" s="649"/>
      <c r="B23" s="633" t="s">
        <v>2650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2"/>
      <c r="Q23" s="1794" t="str">
        <f t="shared" si="8"/>
        <v>公共配套设施</v>
      </c>
      <c r="R23" s="770" t="s">
        <v>17</v>
      </c>
      <c r="S23" s="771">
        <f>F23</f>
        <v>100</v>
      </c>
      <c r="T23" s="770" t="s">
        <v>17</v>
      </c>
      <c r="U23" s="771">
        <f>H23</f>
        <v>100</v>
      </c>
      <c r="V23" s="770" t="s">
        <v>17</v>
      </c>
      <c r="W23" s="771">
        <f>J23</f>
        <v>100</v>
      </c>
      <c r="X23" s="772"/>
      <c r="Y23" s="3262"/>
      <c r="Z23" s="55" t="str">
        <f>Q23</f>
        <v>公共配套设施</v>
      </c>
      <c r="AA23" s="1810">
        <f>D23/F23</f>
        <v>1</v>
      </c>
      <c r="AB23" s="1810">
        <f>D23/H23</f>
        <v>1</v>
      </c>
      <c r="AC23" s="1810">
        <f>D23/J23</f>
        <v>1</v>
      </c>
    </row>
    <row r="24" spans="1:29" s="117" customFormat="1" ht="15">
      <c r="A24" s="649"/>
      <c r="B24" s="632"/>
      <c r="C24" s="2698"/>
      <c r="D24" s="448"/>
      <c r="E24" s="2611"/>
      <c r="F24" s="448"/>
      <c r="G24" s="2611"/>
      <c r="H24" s="448"/>
      <c r="I24" s="447"/>
      <c r="J24" s="448"/>
      <c r="K24" s="672"/>
      <c r="L24" s="1132"/>
      <c r="M24" s="1133"/>
      <c r="N24" s="1133"/>
      <c r="O24" s="1134"/>
      <c r="P24" s="3262"/>
      <c r="Q24" s="1794"/>
      <c r="R24" s="770"/>
      <c r="S24" s="771"/>
      <c r="T24" s="770"/>
      <c r="U24" s="771"/>
      <c r="V24" s="770"/>
      <c r="W24" s="771"/>
      <c r="X24" s="772"/>
      <c r="Y24" s="3262"/>
      <c r="Z24" s="55"/>
      <c r="AA24" s="773">
        <v>1</v>
      </c>
      <c r="AB24" s="773">
        <v>1</v>
      </c>
      <c r="AC24" s="773">
        <v>1</v>
      </c>
    </row>
    <row r="25" spans="1:29" s="117" customFormat="1" ht="41.4">
      <c r="A25" s="649"/>
      <c r="B25" s="633" t="s">
        <v>2651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2"/>
      <c r="Q25" s="1794" t="str">
        <f t="shared" ref="Q25" si="9">B25</f>
        <v>基础设施水平</v>
      </c>
      <c r="R25" s="770" t="s">
        <v>17</v>
      </c>
      <c r="S25" s="771">
        <f>F25</f>
        <v>100</v>
      </c>
      <c r="T25" s="770" t="s">
        <v>17</v>
      </c>
      <c r="U25" s="771">
        <f>H25</f>
        <v>100</v>
      </c>
      <c r="V25" s="770" t="s">
        <v>17</v>
      </c>
      <c r="W25" s="771">
        <f>J25</f>
        <v>100</v>
      </c>
      <c r="X25" s="772"/>
      <c r="Y25" s="3262"/>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62"/>
      <c r="Q26" s="1794"/>
      <c r="R26" s="770"/>
      <c r="S26" s="771"/>
      <c r="T26" s="770"/>
      <c r="U26" s="771"/>
      <c r="V26" s="770"/>
      <c r="W26" s="771"/>
      <c r="X26" s="772"/>
      <c r="Y26" s="3262"/>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2"/>
      <c r="Z27" s="1813" t="str">
        <f t="shared" ref="Z27:Z40" si="13">Q27</f>
        <v>临街状况</v>
      </c>
      <c r="AA27" s="1810">
        <f t="shared" si="3"/>
        <v>1</v>
      </c>
      <c r="AB27" s="1810">
        <f t="shared" si="4"/>
        <v>1</v>
      </c>
      <c r="AC27" s="1810">
        <f t="shared" si="5"/>
        <v>1</v>
      </c>
    </row>
    <row r="28" spans="1:29" ht="28.8">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2"/>
      <c r="Q28" s="1809" t="str">
        <f t="shared" si="8"/>
        <v>毗邻道路的类型与等级</v>
      </c>
      <c r="R28" s="774" t="s">
        <v>17</v>
      </c>
      <c r="S28" s="775">
        <f t="shared" si="10"/>
        <v>100</v>
      </c>
      <c r="T28" s="774" t="s">
        <v>17</v>
      </c>
      <c r="U28" s="775">
        <f t="shared" si="11"/>
        <v>100</v>
      </c>
      <c r="V28" s="774" t="s">
        <v>17</v>
      </c>
      <c r="W28" s="775">
        <f t="shared" si="12"/>
        <v>100</v>
      </c>
      <c r="X28" s="1812"/>
      <c r="Y28" s="3262"/>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62"/>
      <c r="Q29" s="1809"/>
      <c r="R29" s="774"/>
      <c r="S29" s="775"/>
      <c r="T29" s="774"/>
      <c r="U29" s="775"/>
      <c r="V29" s="774"/>
      <c r="W29" s="775"/>
      <c r="X29" s="1812"/>
      <c r="Y29" s="3262"/>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2"/>
      <c r="Q30" s="1809" t="str">
        <f t="shared" si="8"/>
        <v>土地级别</v>
      </c>
      <c r="R30" s="774" t="s">
        <v>17</v>
      </c>
      <c r="S30" s="775">
        <f t="shared" si="10"/>
        <v>100</v>
      </c>
      <c r="T30" s="774" t="s">
        <v>17</v>
      </c>
      <c r="U30" s="775">
        <f t="shared" si="11"/>
        <v>100</v>
      </c>
      <c r="V30" s="774" t="s">
        <v>17</v>
      </c>
      <c r="W30" s="775">
        <f t="shared" si="12"/>
        <v>100</v>
      </c>
      <c r="X30" s="1812"/>
      <c r="Y30" s="3262"/>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2"/>
      <c r="Q31" s="1809">
        <f t="shared" si="8"/>
        <v>111</v>
      </c>
      <c r="R31" s="774" t="s">
        <v>17</v>
      </c>
      <c r="S31" s="775">
        <f t="shared" si="10"/>
        <v>100</v>
      </c>
      <c r="T31" s="774" t="s">
        <v>17</v>
      </c>
      <c r="U31" s="775">
        <f t="shared" si="11"/>
        <v>100</v>
      </c>
      <c r="V31" s="774" t="s">
        <v>17</v>
      </c>
      <c r="W31" s="775">
        <f t="shared" si="12"/>
        <v>100</v>
      </c>
      <c r="X31" s="1812"/>
      <c r="Y31" s="3262"/>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2" t="s">
        <v>2561</v>
      </c>
      <c r="Q32" s="1809">
        <f t="shared" si="8"/>
        <v>111</v>
      </c>
      <c r="R32" s="774" t="s">
        <v>17</v>
      </c>
      <c r="S32" s="775">
        <f t="shared" si="10"/>
        <v>100</v>
      </c>
      <c r="T32" s="774" t="s">
        <v>17</v>
      </c>
      <c r="U32" s="775">
        <f t="shared" si="11"/>
        <v>100</v>
      </c>
      <c r="V32" s="774" t="s">
        <v>17</v>
      </c>
      <c r="W32" s="775">
        <f t="shared" si="12"/>
        <v>100</v>
      </c>
      <c r="X32" s="1812"/>
      <c r="Y32" s="3266" t="s">
        <v>2561</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6"/>
      <c r="Q33" s="1809">
        <f t="shared" si="8"/>
        <v>111</v>
      </c>
      <c r="R33" s="777" t="s">
        <v>17</v>
      </c>
      <c r="S33" s="778">
        <f t="shared" si="10"/>
        <v>100</v>
      </c>
      <c r="T33" s="777" t="s">
        <v>17</v>
      </c>
      <c r="U33" s="778">
        <f t="shared" si="11"/>
        <v>100</v>
      </c>
      <c r="V33" s="777" t="s">
        <v>17</v>
      </c>
      <c r="W33" s="778">
        <f t="shared" si="12"/>
        <v>100</v>
      </c>
      <c r="X33" s="779"/>
      <c r="Y33" s="3266"/>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6"/>
      <c r="Q34" s="1809" t="str">
        <f>B34</f>
        <v>宗地面积</v>
      </c>
      <c r="R34" s="774" t="s">
        <v>17</v>
      </c>
      <c r="S34" s="775" t="e">
        <f t="shared" si="10"/>
        <v>#N/A</v>
      </c>
      <c r="T34" s="774" t="s">
        <v>17</v>
      </c>
      <c r="U34" s="775" t="e">
        <f t="shared" si="11"/>
        <v>#N/A</v>
      </c>
      <c r="V34" s="774" t="s">
        <v>17</v>
      </c>
      <c r="W34" s="775" t="e">
        <f t="shared" si="12"/>
        <v>#N/A</v>
      </c>
      <c r="X34" s="1812"/>
      <c r="Y34" s="3266"/>
      <c r="Z34" s="1813" t="str">
        <f t="shared" si="13"/>
        <v>宗地面积</v>
      </c>
      <c r="AA34" s="1810" t="e">
        <f t="shared" si="3"/>
        <v>#N/A</v>
      </c>
      <c r="AB34" s="1810" t="e">
        <f t="shared" si="4"/>
        <v>#N/A</v>
      </c>
      <c r="AC34" s="1810" t="e">
        <f t="shared" si="5"/>
        <v>#N/A</v>
      </c>
    </row>
    <row r="35" spans="1:29" ht="15">
      <c r="A35" s="472"/>
      <c r="B35" s="422" t="s">
        <v>2748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66"/>
      <c r="Q35" s="1809" t="str">
        <f t="shared" ref="Q35:Q40" si="14">B35</f>
        <v>宗地形状</v>
      </c>
      <c r="R35" s="774" t="s">
        <v>17</v>
      </c>
      <c r="S35" s="775">
        <f t="shared" si="10"/>
        <v>100</v>
      </c>
      <c r="T35" s="774" t="s">
        <v>17</v>
      </c>
      <c r="U35" s="775">
        <f t="shared" si="11"/>
        <v>100</v>
      </c>
      <c r="V35" s="774" t="s">
        <v>17</v>
      </c>
      <c r="W35" s="775">
        <f t="shared" si="12"/>
        <v>100</v>
      </c>
      <c r="X35" s="1812"/>
      <c r="Y35" s="3266"/>
      <c r="Z35" s="1813" t="str">
        <f t="shared" si="13"/>
        <v>宗地形状</v>
      </c>
      <c r="AA35" s="1810">
        <f t="shared" si="3"/>
        <v>1</v>
      </c>
      <c r="AB35" s="1810">
        <f t="shared" si="4"/>
        <v>1</v>
      </c>
      <c r="AC35" s="1810">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66"/>
      <c r="Q36" s="1809" t="str">
        <f t="shared" si="14"/>
        <v>宗地开发程度</v>
      </c>
      <c r="R36" s="770" t="s">
        <v>17</v>
      </c>
      <c r="S36" s="771">
        <f t="shared" si="10"/>
        <v>100</v>
      </c>
      <c r="T36" s="770" t="s">
        <v>17</v>
      </c>
      <c r="U36" s="771">
        <f t="shared" si="11"/>
        <v>100</v>
      </c>
      <c r="V36" s="770" t="s">
        <v>17</v>
      </c>
      <c r="W36" s="771">
        <f t="shared" si="12"/>
        <v>100</v>
      </c>
      <c r="X36" s="772"/>
      <c r="Y36" s="3266"/>
      <c r="Z36" s="55" t="str">
        <f t="shared" si="13"/>
        <v>宗地开发程度</v>
      </c>
      <c r="AA36" s="773">
        <f t="shared" si="3"/>
        <v>1</v>
      </c>
      <c r="AB36" s="773">
        <f t="shared" si="4"/>
        <v>1</v>
      </c>
      <c r="AC36" s="773">
        <f t="shared" si="5"/>
        <v>1</v>
      </c>
    </row>
    <row r="37" spans="1:29" ht="15">
      <c r="A37" s="472"/>
      <c r="B37" s="422" t="s">
        <v>2751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66" t="s">
        <v>2561</v>
      </c>
      <c r="Q37" s="1809" t="str">
        <f t="shared" si="14"/>
        <v>工程地质条件</v>
      </c>
      <c r="R37" s="774" t="s">
        <v>17</v>
      </c>
      <c r="S37" s="775">
        <f t="shared" si="10"/>
        <v>100</v>
      </c>
      <c r="T37" s="774" t="s">
        <v>17</v>
      </c>
      <c r="U37" s="775">
        <f t="shared" si="11"/>
        <v>100</v>
      </c>
      <c r="V37" s="774" t="s">
        <v>17</v>
      </c>
      <c r="W37" s="775">
        <f t="shared" si="12"/>
        <v>100</v>
      </c>
      <c r="X37" s="1812"/>
      <c r="Y37" s="3266"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6"/>
      <c r="Q38" s="1809">
        <f t="shared" si="14"/>
        <v>111</v>
      </c>
      <c r="R38" s="774" t="s">
        <v>17</v>
      </c>
      <c r="S38" s="775">
        <f t="shared" si="10"/>
        <v>100</v>
      </c>
      <c r="T38" s="774" t="s">
        <v>17</v>
      </c>
      <c r="U38" s="775">
        <f t="shared" si="11"/>
        <v>100</v>
      </c>
      <c r="V38" s="774" t="s">
        <v>17</v>
      </c>
      <c r="W38" s="775">
        <f t="shared" si="12"/>
        <v>100</v>
      </c>
      <c r="X38" s="1812"/>
      <c r="Y38" s="326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6"/>
      <c r="Q39" s="1809">
        <f t="shared" si="14"/>
        <v>111</v>
      </c>
      <c r="R39" s="774" t="s">
        <v>17</v>
      </c>
      <c r="S39" s="775">
        <f t="shared" si="10"/>
        <v>100</v>
      </c>
      <c r="T39" s="774" t="s">
        <v>17</v>
      </c>
      <c r="U39" s="775">
        <f t="shared" si="11"/>
        <v>100</v>
      </c>
      <c r="V39" s="774" t="s">
        <v>17</v>
      </c>
      <c r="W39" s="775">
        <f t="shared" si="12"/>
        <v>100</v>
      </c>
      <c r="X39" s="1812"/>
      <c r="Y39" s="3266"/>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6"/>
      <c r="Q40" s="1809">
        <f t="shared" si="14"/>
        <v>111</v>
      </c>
      <c r="R40" s="777" t="s">
        <v>17</v>
      </c>
      <c r="S40" s="778">
        <f t="shared" si="10"/>
        <v>100</v>
      </c>
      <c r="T40" s="777" t="s">
        <v>17</v>
      </c>
      <c r="U40" s="778">
        <f t="shared" si="11"/>
        <v>100</v>
      </c>
      <c r="V40" s="777" t="s">
        <v>17</v>
      </c>
      <c r="W40" s="778">
        <f t="shared" si="12"/>
        <v>100</v>
      </c>
      <c r="X40" s="779"/>
      <c r="Y40" s="3266"/>
      <c r="Z40" s="780">
        <f t="shared" si="13"/>
        <v>111</v>
      </c>
      <c r="AA40" s="1810">
        <f t="shared" si="3"/>
        <v>1</v>
      </c>
      <c r="AB40" s="1810">
        <f t="shared" si="4"/>
        <v>1</v>
      </c>
      <c r="AC40" s="1810">
        <f t="shared" si="5"/>
        <v>1</v>
      </c>
    </row>
    <row r="41" spans="1:29" ht="14.4">
      <c r="A41" s="479" t="s">
        <v>2716</v>
      </c>
      <c r="B41" s="2702" t="s">
        <v>2796</v>
      </c>
      <c r="C41" s="682" t="s">
        <v>1</v>
      </c>
      <c r="D41" s="481"/>
      <c r="E41" s="482"/>
      <c r="F41" s="483"/>
      <c r="G41" s="484"/>
      <c r="H41" s="485"/>
      <c r="I41" s="482"/>
      <c r="J41" s="485"/>
      <c r="K41" s="783"/>
      <c r="L41" s="1143"/>
      <c r="M41" s="1131"/>
      <c r="N41" s="1131"/>
      <c r="O41" s="1144"/>
      <c r="P41" s="3268" t="str">
        <f>A41</f>
        <v>成交单价</v>
      </c>
      <c r="Q41" s="3268"/>
      <c r="R41" s="3230">
        <f>E41</f>
        <v>0</v>
      </c>
      <c r="S41" s="3230"/>
      <c r="T41" s="3230">
        <f>G41</f>
        <v>0</v>
      </c>
      <c r="U41" s="3230"/>
      <c r="V41" s="3230">
        <f>I41</f>
        <v>0</v>
      </c>
      <c r="W41" s="3230"/>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68" t="str">
        <f>A42</f>
        <v>比较价值（元/平方米）</v>
      </c>
      <c r="Q42" s="3268"/>
      <c r="R42" s="3300" t="e">
        <f>ROUND(PRODUCT(R41,AA7:AA40),0)</f>
        <v>#DIV/0!</v>
      </c>
      <c r="S42" s="3300"/>
      <c r="T42" s="3300" t="e">
        <f>ROUND(PRODUCT(T41,AB7:AB40),0)</f>
        <v>#DIV/0!</v>
      </c>
      <c r="U42" s="3300"/>
      <c r="V42" s="3300" t="e">
        <f>ROUND(PRODUCT(V41,AC7:AC40),0)</f>
        <v>#DIV/0!</v>
      </c>
      <c r="W42" s="3300"/>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3"/>
      <c r="M43" s="1131"/>
      <c r="N43" s="1131"/>
      <c r="O43" s="1144"/>
      <c r="P43" s="3270" t="str">
        <f>A43</f>
        <v>估价对象XX用房的比较价值（楼面单价，元/平方米）</v>
      </c>
      <c r="Q43" s="3271"/>
      <c r="R43" s="3301" t="e">
        <f>ROUND(AVERAGE(R42:V42),0)</f>
        <v>#DIV/0!</v>
      </c>
      <c r="S43" s="3301"/>
      <c r="T43" s="3301"/>
      <c r="U43" s="3301"/>
      <c r="V43" s="3301"/>
      <c r="W43" s="330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2754</v>
      </c>
      <c r="B50" s="685" t="s">
        <v>2755</v>
      </c>
      <c r="C50" s="2703" t="s">
        <v>2756</v>
      </c>
      <c r="D50" s="2704" t="s">
        <v>2757</v>
      </c>
      <c r="E50" s="686" t="s">
        <v>2758</v>
      </c>
      <c r="F50" s="687" t="s">
        <v>2759</v>
      </c>
      <c r="G50" s="3246" t="s">
        <v>2760</v>
      </c>
      <c r="H50" s="3302"/>
      <c r="I50" s="1813" t="s">
        <v>2797</v>
      </c>
      <c r="J50" s="1813">
        <f>项目基本情况!F35</f>
        <v>0</v>
      </c>
      <c r="K50" s="2706" t="s">
        <v>2762</v>
      </c>
      <c r="L50" s="1106"/>
      <c r="M50" s="1144"/>
      <c r="N50" s="1144"/>
      <c r="O50" s="1144"/>
    </row>
    <row r="51" spans="1:17" s="692" customFormat="1">
      <c r="A51" s="688" t="s">
        <v>2763</v>
      </c>
      <c r="B51" s="689" t="e">
        <f>C43</f>
        <v>#DIV/0!</v>
      </c>
      <c r="C51" s="690">
        <v>1</v>
      </c>
      <c r="D51" s="1163">
        <v>1</v>
      </c>
      <c r="E51" s="690">
        <f>'数据-汇总表'!E8+'数据-汇总表'!E9</f>
        <v>72427.330000000016</v>
      </c>
      <c r="F51" s="691" t="e">
        <f t="shared" ref="F51:F60" si="15">ROUND(B51*E51/10000,0)</f>
        <v>#DIV/0!</v>
      </c>
      <c r="G51" s="3245"/>
      <c r="H51" s="3268"/>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303" t="s">
        <v>2765</v>
      </c>
      <c r="H52" s="1104" t="str">
        <f>项目基本情况!B37</f>
        <v>七级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303"/>
      <c r="H53" s="1104" t="str">
        <f>项目基本情况!B37</f>
        <v>七级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303"/>
      <c r="H54" s="1104" t="str">
        <f>项目基本情况!B37</f>
        <v>七级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303"/>
      <c r="H55" s="1104" t="str">
        <f>项目基本情况!B37</f>
        <v>七级</v>
      </c>
      <c r="I55" s="942">
        <f>SUMIF(修正!A45:A56,H55,修正!E45:E56)</f>
        <v>0.25</v>
      </c>
      <c r="J55" s="943"/>
      <c r="K55" s="1145"/>
      <c r="L55" s="941"/>
      <c r="M55" s="941"/>
      <c r="N55" s="941"/>
      <c r="O55" s="941"/>
    </row>
    <row r="56" spans="1:17" s="692" customFormat="1">
      <c r="A56" s="693" t="s">
        <v>2769</v>
      </c>
      <c r="B56" s="262" t="e">
        <f t="shared" si="17"/>
        <v>#DIV/0!</v>
      </c>
      <c r="C56" s="200">
        <f t="shared" si="16"/>
        <v>0.25</v>
      </c>
      <c r="D56" s="1164">
        <v>0.25</v>
      </c>
      <c r="E56" s="261">
        <f>'数据-汇总表'!E11</f>
        <v>55.46</v>
      </c>
      <c r="F56" s="691" t="e">
        <f t="shared" si="15"/>
        <v>#DIV/0!</v>
      </c>
      <c r="G56" s="2707" t="s">
        <v>2770</v>
      </c>
      <c r="H56" s="1104" t="str">
        <f>项目基本情况!C37</f>
        <v>七级</v>
      </c>
      <c r="I56" s="942">
        <f>SUMIF(修正!A45:A56,H56,修正!F45:F56)</f>
        <v>0.25</v>
      </c>
      <c r="J56" s="943"/>
      <c r="K56" s="1144"/>
      <c r="L56" s="941"/>
      <c r="M56" s="941"/>
      <c r="N56" s="941"/>
      <c r="O56" s="941"/>
    </row>
    <row r="57" spans="1:17" s="692" customFormat="1">
      <c r="A57" s="693" t="s">
        <v>2771</v>
      </c>
      <c r="B57" s="262" t="e">
        <f t="shared" si="17"/>
        <v>#DIV/0!</v>
      </c>
      <c r="C57" s="200">
        <f t="shared" si="16"/>
        <v>0.25</v>
      </c>
      <c r="D57" s="1164">
        <v>0.25</v>
      </c>
      <c r="E57" s="261">
        <f>'数据-汇总表'!E12</f>
        <v>0</v>
      </c>
      <c r="F57" s="691" t="e">
        <f t="shared" si="15"/>
        <v>#DIV/0!</v>
      </c>
      <c r="G57" s="1109" t="s">
        <v>2772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2773</v>
      </c>
      <c r="B58" s="262" t="e">
        <f t="shared" si="17"/>
        <v>#DIV/0!</v>
      </c>
      <c r="C58" s="200">
        <f t="shared" si="16"/>
        <v>0.2</v>
      </c>
      <c r="D58" s="1164">
        <v>0.25</v>
      </c>
      <c r="E58" s="261">
        <f>'数据-汇总表'!E13</f>
        <v>17927.650000000001</v>
      </c>
      <c r="F58" s="691" t="e">
        <f t="shared" si="15"/>
        <v>#DIV/0!</v>
      </c>
      <c r="G58" s="1109" t="s">
        <v>2774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7" t="s">
        <v>2765</v>
      </c>
      <c r="H59" s="1104" t="str">
        <f>项目基本情况!B37</f>
        <v>七级</v>
      </c>
      <c r="I59" s="942">
        <f>SUMIF(修正!A45:A56,H59,修正!H45:H56)</f>
        <v>0.2</v>
      </c>
      <c r="J59" s="943"/>
      <c r="K59" s="1145"/>
      <c r="L59" s="941"/>
      <c r="M59" s="941"/>
      <c r="N59" s="941"/>
      <c r="O59" s="941"/>
    </row>
    <row r="60" spans="1:17" s="692" customFormat="1" ht="14.4" thickBot="1">
      <c r="A60" s="693" t="s">
        <v>2776</v>
      </c>
      <c r="B60" s="262" t="e">
        <f t="shared" si="17"/>
        <v>#DIV/0!</v>
      </c>
      <c r="C60" s="200">
        <f t="shared" si="16"/>
        <v>0.2</v>
      </c>
      <c r="D60" s="1164">
        <v>0.25</v>
      </c>
      <c r="E60" s="261">
        <f>'数据-汇总表'!E15</f>
        <v>0</v>
      </c>
      <c r="F60" s="691" t="e">
        <f t="shared" si="15"/>
        <v>#DIV/0!</v>
      </c>
      <c r="G60" s="2708" t="s">
        <v>2770</v>
      </c>
      <c r="H60" s="1114" t="str">
        <f>项目基本情况!C37</f>
        <v>七级</v>
      </c>
      <c r="I60" s="942">
        <f>SUMIF(修正!A45:A56,H60,修正!H45:H56)</f>
        <v>0.2</v>
      </c>
      <c r="J60" s="943"/>
      <c r="K60" s="1144"/>
      <c r="L60" s="941"/>
      <c r="M60" s="941"/>
      <c r="N60" s="941"/>
      <c r="O60" s="941"/>
    </row>
    <row r="61" spans="1:17" s="692" customFormat="1" ht="14.4" thickBot="1">
      <c r="A61" s="695" t="s">
        <v>2777</v>
      </c>
      <c r="B61" s="696" t="s">
        <v>28</v>
      </c>
      <c r="C61" s="696" t="s">
        <v>29</v>
      </c>
      <c r="D61" s="696" t="s">
        <v>1026</v>
      </c>
      <c r="E61" s="696">
        <f>IF(B41="楼面地价",SUM(E51:E60),'数据-汇总表'!D3)</f>
        <v>20133.75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2.2" thickBot="1">
      <c r="A64" s="763" t="s">
        <v>2670</v>
      </c>
      <c r="B64" s="759"/>
      <c r="C64" s="764"/>
      <c r="D64" s="764"/>
      <c r="E64" s="764"/>
      <c r="F64" s="765"/>
      <c r="G64" s="765"/>
      <c r="H64" s="764"/>
      <c r="I64" s="764"/>
      <c r="J64" s="764"/>
      <c r="K64" s="766"/>
      <c r="L64" s="767"/>
      <c r="M64" s="764"/>
      <c r="N64" s="764"/>
      <c r="O64" s="1159"/>
      <c r="P64" s="503"/>
      <c r="Q64" s="504"/>
    </row>
    <row r="65" spans="1:17" s="508" customFormat="1" ht="14.4">
      <c r="A65" s="2709" t="s">
        <v>2778</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2584</v>
      </c>
      <c r="B70" s="528" t="s">
        <v>2550</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2553</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2687</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7.399999999999999">
      <c r="A3" s="3010" t="str">
        <f>IF(项目基本情况!B9="房地产市场价值","估价结果一览表（市场价值不需“结果表-1”）","估价结果一览表")</f>
        <v>估价结果一览表</v>
      </c>
      <c r="B3" s="3010"/>
      <c r="C3" s="3010"/>
      <c r="D3" s="3010"/>
      <c r="E3" s="3010"/>
    </row>
    <row r="4" spans="1:5" ht="18" thickBot="1">
      <c r="A4" s="1960"/>
      <c r="B4" s="3008" t="s">
        <v>1626</v>
      </c>
      <c r="C4" s="3008"/>
      <c r="D4" s="3008"/>
      <c r="E4" s="1960"/>
    </row>
    <row r="5" spans="1:5" ht="16.2" thickTop="1">
      <c r="A5" s="1958"/>
      <c r="B5" s="3006" t="s">
        <v>1618</v>
      </c>
      <c r="C5" s="1961" t="s">
        <v>1619</v>
      </c>
      <c r="D5" s="1040">
        <f ca="1">结果表!H101</f>
        <v>242829</v>
      </c>
      <c r="E5" s="1958"/>
    </row>
    <row r="6" spans="1:5" ht="31.2">
      <c r="A6" s="1958"/>
      <c r="B6" s="3006"/>
      <c r="C6" s="1961" t="s">
        <v>1620</v>
      </c>
      <c r="D6" s="1040" t="str">
        <f ca="1">NUMBERSTRING(INT(D5*10000),2)&amp;"元整"</f>
        <v>贰拾肆亿贰仟捌佰贰拾玖万元整</v>
      </c>
      <c r="E6" s="1958"/>
    </row>
    <row r="7" spans="1:5" ht="15.6">
      <c r="A7" s="1958"/>
      <c r="B7" s="3011"/>
      <c r="C7" s="1962" t="s">
        <v>1621</v>
      </c>
      <c r="D7" s="1041">
        <f ca="1">结果表!H102</f>
        <v>21675</v>
      </c>
      <c r="E7" s="1958"/>
    </row>
    <row r="8" spans="1:5" ht="15.6">
      <c r="A8" s="1958"/>
      <c r="B8" s="3012" t="str">
        <f>结果表!E103</f>
        <v>2.估价师知悉的法定优先受偿款</v>
      </c>
      <c r="C8" s="1963" t="s">
        <v>1622</v>
      </c>
      <c r="D8" s="1041">
        <f>结果表!H103</f>
        <v>0</v>
      </c>
      <c r="E8" s="1958"/>
    </row>
    <row r="9" spans="1:5" ht="15.6">
      <c r="A9" s="1958"/>
      <c r="B9" s="3014"/>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3005" t="str">
        <f>结果表!E107</f>
        <v>3.房地产抵押价值</v>
      </c>
      <c r="C13" s="1966" t="s">
        <v>1619</v>
      </c>
      <c r="D13" s="1043">
        <f ca="1">结果表!H107</f>
        <v>242829</v>
      </c>
      <c r="E13" s="1958"/>
    </row>
    <row r="14" spans="1:5" ht="31.2">
      <c r="A14" s="1958"/>
      <c r="B14" s="3006"/>
      <c r="C14" s="1961" t="s">
        <v>1620</v>
      </c>
      <c r="D14" s="1040" t="str">
        <f ca="1">NUMBERSTRING(INT(D13*10000),2)&amp;"元整"</f>
        <v>贰拾肆亿贰仟捌佰贰拾玖万元整</v>
      </c>
      <c r="E14" s="1958"/>
    </row>
    <row r="15" spans="1:5" ht="15.6">
      <c r="A15" s="1958"/>
      <c r="B15" s="3011"/>
      <c r="C15" s="1962" t="s">
        <v>1630</v>
      </c>
      <c r="D15" s="1052">
        <f ca="1">结果表!H108</f>
        <v>21675</v>
      </c>
      <c r="E15" s="1958"/>
    </row>
    <row r="16" spans="1:5" ht="15.6">
      <c r="A16" s="1958"/>
      <c r="B16" s="3012" t="str">
        <f>结果表!E109</f>
        <v>——</v>
      </c>
      <c r="C16" s="1966" t="s">
        <v>1631</v>
      </c>
      <c r="D16" s="1967" t="str">
        <f>结果表!H109</f>
        <v>——</v>
      </c>
      <c r="E16" s="1958"/>
    </row>
    <row r="17" spans="1:5" ht="15.6">
      <c r="A17" s="1958"/>
      <c r="B17" s="3013"/>
      <c r="C17" s="1961" t="s">
        <v>1632</v>
      </c>
      <c r="D17" s="1040" t="e">
        <f>NUMBERSTRING(INT(D16*10000),2)&amp;"元整"</f>
        <v>#VALUE!</v>
      </c>
      <c r="E17" s="1958"/>
    </row>
    <row r="18" spans="1:5" ht="15.6">
      <c r="A18" s="1958"/>
      <c r="B18" s="3014"/>
      <c r="C18" s="1962" t="s">
        <v>1621</v>
      </c>
      <c r="D18" s="1052" t="str">
        <f>结果表!H110</f>
        <v>——</v>
      </c>
      <c r="E18" s="1958"/>
    </row>
    <row r="19" spans="1:5" ht="15.6">
      <c r="A19" s="1958"/>
      <c r="B19" s="3005" t="str">
        <f>结果表!E111</f>
        <v>4.抵押净值</v>
      </c>
      <c r="C19" s="1966" t="s">
        <v>1619</v>
      </c>
      <c r="D19" s="1041">
        <f ca="1">结果表!H111</f>
        <v>224710</v>
      </c>
      <c r="E19" s="1958"/>
    </row>
    <row r="20" spans="1:5" ht="15.6">
      <c r="A20" s="1958"/>
      <c r="B20" s="3006"/>
      <c r="C20" s="1961" t="s">
        <v>1632</v>
      </c>
      <c r="D20" s="1040" t="str">
        <f ca="1">NUMBERSTRING(INT(D19*10000),2)&amp;"元整"</f>
        <v>贰拾贰亿肆仟柒佰壹拾万元整</v>
      </c>
      <c r="E20" s="1958"/>
    </row>
    <row r="21" spans="1:5" ht="16.2" thickBot="1">
      <c r="A21" s="1958"/>
      <c r="B21" s="3007"/>
      <c r="C21" s="1968" t="s">
        <v>1630</v>
      </c>
      <c r="D21" s="1053">
        <f ca="1">结果表!H112</f>
        <v>20057</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2800</v>
      </c>
      <c r="B1" s="241"/>
      <c r="C1" s="245" t="s">
        <v>2801</v>
      </c>
      <c r="D1" s="388">
        <f>SUM(D29:D30,D33:D39)</f>
        <v>0</v>
      </c>
      <c r="E1" s="2715"/>
      <c r="F1" s="2715"/>
      <c r="G1" s="2715"/>
      <c r="H1" s="2715"/>
      <c r="I1" s="2715"/>
      <c r="J1" s="2715"/>
      <c r="K1" s="1370"/>
      <c r="L1" s="2716" t="s">
        <v>2802</v>
      </c>
      <c r="M1" s="1080">
        <f>SUMPRODUCT((区片价!B5:B9=I2)*(区片价!C3:F3=E2)*(区片价!C5:F9))</f>
        <v>0</v>
      </c>
      <c r="N1" s="1083">
        <f>SUMPRODUCT((因素修正幅度!B5:B9=I2)*(因素修正幅度!C3:F3=E2)*(因素修正幅度!C5:F9))</f>
        <v>0</v>
      </c>
      <c r="O1" s="2717"/>
      <c r="P1" s="2717"/>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6">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70"/>
      <c r="L2" s="2724"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2814</v>
      </c>
      <c r="B3" s="248" t="e">
        <f>ROUND(B2*10000/D1,0)</f>
        <v>#DIV/0!</v>
      </c>
      <c r="C3" s="2719" t="s">
        <v>2815</v>
      </c>
      <c r="D3" s="2720" t="s">
        <v>2816</v>
      </c>
      <c r="E3" s="2725"/>
      <c r="F3" s="2726" t="s">
        <v>2817</v>
      </c>
      <c r="G3" s="916">
        <f>IF(F3="宗地容积率",'数据-汇总表'!I4,IF(F3="估价对象容积率",'数据-汇总表'!I6,'数据-汇总表'!I7))</f>
        <v>3.78</v>
      </c>
      <c r="H3" s="198" t="s">
        <v>2818</v>
      </c>
      <c r="I3" s="944"/>
      <c r="J3" s="2723" t="s">
        <v>2819</v>
      </c>
      <c r="K3" s="1370"/>
      <c r="L3" s="2724" t="s">
        <v>2820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23"/>
      <c r="B4" s="3324"/>
      <c r="C4" s="3324"/>
      <c r="D4" s="3325"/>
      <c r="E4" s="3325"/>
      <c r="F4" s="3325"/>
      <c r="G4" s="3325"/>
      <c r="H4" s="3325"/>
      <c r="I4" s="3325"/>
      <c r="J4" s="3326"/>
      <c r="K4" s="1370"/>
      <c r="L4" s="2724" t="s">
        <v>2821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2822</v>
      </c>
      <c r="C5" s="917" t="e">
        <f>ROUND(IF(E2="商业",C6*C7+C16,(IF(E2="住宅",C6*C12+C16,C6+C16))),0)</f>
        <v>#DIV/0!</v>
      </c>
      <c r="D5" s="1786" t="e">
        <f>ROUND(IF(F17="增加",C6+C16,C6-C16),0)</f>
        <v>#DIV/0!</v>
      </c>
      <c r="E5" s="1786"/>
      <c r="F5" s="2729"/>
      <c r="G5" s="2730"/>
      <c r="H5" s="2730"/>
      <c r="I5" s="2730"/>
      <c r="J5" s="2731"/>
      <c r="K5" s="2732"/>
      <c r="L5" s="2724" t="s">
        <v>2823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2824</v>
      </c>
      <c r="B6" s="2738" t="s">
        <v>2825</v>
      </c>
      <c r="C6" s="918">
        <f>SUMIF(L1:L12,G2,M1:M12)</f>
        <v>0</v>
      </c>
      <c r="D6" s="2739" t="s">
        <v>2826</v>
      </c>
      <c r="E6" s="2740"/>
      <c r="F6" s="2740"/>
      <c r="G6" s="2741"/>
      <c r="H6" s="2741"/>
      <c r="I6" s="2741"/>
      <c r="J6" s="2742"/>
      <c r="K6" s="1841"/>
      <c r="L6" s="2724" t="s">
        <v>2827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07" t="str">
        <f>IF(E2="商业",IF(C8="不临58条商业街","",2),"")</f>
        <v/>
      </c>
      <c r="B7" s="2743" t="s">
        <v>2828</v>
      </c>
      <c r="C7" s="919" t="e">
        <f>IF(C8="不临58条商业街",1,ROUND(1+(1.6*E8+1.2*E9+0.8*E10+0.4*E11)*C9,4))</f>
        <v>#DIV/0!</v>
      </c>
      <c r="D7" s="2744" t="s">
        <v>2829</v>
      </c>
      <c r="E7" s="945"/>
      <c r="F7" s="2745"/>
      <c r="G7" s="2746"/>
      <c r="H7" s="2746"/>
      <c r="I7" s="2746"/>
      <c r="J7" s="2747"/>
      <c r="K7" s="1841"/>
      <c r="L7" s="2724" t="s">
        <v>2830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3.78</v>
      </c>
      <c r="AA7" s="1605"/>
      <c r="AB7" s="1605"/>
      <c r="AC7" s="1606"/>
      <c r="AD7" s="1607"/>
      <c r="AE7" s="1607"/>
      <c r="AF7" s="1607"/>
      <c r="AG7" s="1607"/>
      <c r="AH7" s="1607"/>
      <c r="AI7" s="1607"/>
      <c r="AJ7" s="1608"/>
    </row>
    <row r="8" spans="1:36" ht="15">
      <c r="A8" s="3327"/>
      <c r="B8" s="198" t="s">
        <v>2833</v>
      </c>
      <c r="C8" s="2748"/>
      <c r="D8" s="920" t="s">
        <v>139</v>
      </c>
      <c r="E8" s="921" t="e">
        <f>ROUND(C11/E7,4)</f>
        <v>#DIV/0!</v>
      </c>
      <c r="F8" s="2749" t="s">
        <v>2834</v>
      </c>
      <c r="G8" s="2750"/>
      <c r="H8" s="2750"/>
      <c r="I8" s="2750"/>
      <c r="J8" s="2751"/>
      <c r="K8" s="1370"/>
      <c r="L8" s="2724"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20" t="s">
        <v>2836</v>
      </c>
      <c r="X8" s="3321"/>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27"/>
      <c r="B9" s="198" t="s">
        <v>2849</v>
      </c>
      <c r="C9" s="922">
        <f>SUMIF(修正!C59:C119,C8,修正!E59:E119)</f>
        <v>0</v>
      </c>
      <c r="D9" s="200" t="s">
        <v>140</v>
      </c>
      <c r="E9" s="200" t="e">
        <f>ROUND(C11/E7,4)</f>
        <v>#DIV/0!</v>
      </c>
      <c r="F9" s="2749" t="s">
        <v>2850</v>
      </c>
      <c r="G9" s="2750"/>
      <c r="H9" s="2750"/>
      <c r="I9" s="2750"/>
      <c r="J9" s="2751"/>
      <c r="K9" s="1370"/>
      <c r="L9" s="2724"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22"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7"/>
      <c r="B10" s="198" t="s">
        <v>2854</v>
      </c>
      <c r="C10" s="200">
        <f>SUMIF(修正!C59:C119,C8,修正!F59:F119)</f>
        <v>0</v>
      </c>
      <c r="D10" s="200" t="s">
        <v>141</v>
      </c>
      <c r="E10" s="200" t="e">
        <f>ROUND(C11/E7,4)</f>
        <v>#DIV/0!</v>
      </c>
      <c r="F10" s="2749" t="s">
        <v>2855</v>
      </c>
      <c r="G10" s="2750"/>
      <c r="H10" s="2750"/>
      <c r="I10" s="2750"/>
      <c r="J10" s="2751"/>
      <c r="K10" s="1370"/>
      <c r="L10" s="2724"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2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27"/>
      <c r="B11" s="2752" t="s">
        <v>2857</v>
      </c>
      <c r="C11" s="923">
        <f>C10/4</f>
        <v>0</v>
      </c>
      <c r="D11" s="923" t="s">
        <v>142</v>
      </c>
      <c r="E11" s="923" t="e">
        <f>ROUND(C11/E7,4)</f>
        <v>#DIV/0!</v>
      </c>
      <c r="F11" s="2753" t="s">
        <v>2858</v>
      </c>
      <c r="G11" s="2754"/>
      <c r="H11" s="2754"/>
      <c r="I11" s="2754"/>
      <c r="J11" s="2755"/>
      <c r="K11" s="1370"/>
      <c r="L11" s="2724"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22" t="s">
        <v>2860</v>
      </c>
      <c r="X11" s="1613" t="s">
        <v>2861</v>
      </c>
      <c r="Y11" s="1614">
        <f>$G$3</f>
        <v>3.78</v>
      </c>
      <c r="Z11" s="1614">
        <f t="shared" ref="Z11:AJ11" si="3">$G$3</f>
        <v>3.78</v>
      </c>
      <c r="AA11" s="1614">
        <f t="shared" si="3"/>
        <v>3.78</v>
      </c>
      <c r="AB11" s="1614">
        <f t="shared" si="3"/>
        <v>3.78</v>
      </c>
      <c r="AC11" s="1614">
        <f t="shared" si="3"/>
        <v>3.78</v>
      </c>
      <c r="AD11" s="1614">
        <f t="shared" si="3"/>
        <v>3.78</v>
      </c>
      <c r="AE11" s="1614">
        <f t="shared" si="3"/>
        <v>3.78</v>
      </c>
      <c r="AF11" s="1614">
        <f t="shared" si="3"/>
        <v>3.78</v>
      </c>
      <c r="AG11" s="1614">
        <f t="shared" si="3"/>
        <v>3.78</v>
      </c>
      <c r="AH11" s="1614">
        <f t="shared" si="3"/>
        <v>3.78</v>
      </c>
      <c r="AI11" s="1614">
        <f t="shared" si="3"/>
        <v>3.78</v>
      </c>
      <c r="AJ11" s="1614">
        <f t="shared" si="3"/>
        <v>3.78</v>
      </c>
    </row>
    <row r="12" spans="1:36" ht="25.8" thickBot="1">
      <c r="A12" s="3307" t="s">
        <v>2862</v>
      </c>
      <c r="B12" s="2756" t="s">
        <v>2863</v>
      </c>
      <c r="C12" s="919">
        <f>ROUND(C15*D15*E15*F15*G15*H15*I15*J15,4)</f>
        <v>1</v>
      </c>
      <c r="D12" s="2757" t="s">
        <v>2864</v>
      </c>
      <c r="E12" s="2758"/>
      <c r="F12" s="2758"/>
      <c r="G12" s="2759"/>
      <c r="H12" s="2759"/>
      <c r="I12" s="2759"/>
      <c r="J12" s="2760"/>
      <c r="K12" s="1370"/>
      <c r="L12" s="2761"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22"/>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8"/>
      <c r="B13" s="2762" t="s">
        <v>2867</v>
      </c>
      <c r="C13" s="2763" t="s">
        <v>2868</v>
      </c>
      <c r="D13" s="1807" t="s">
        <v>2869</v>
      </c>
      <c r="E13" s="1807" t="s">
        <v>2870</v>
      </c>
      <c r="F13" s="30" t="s">
        <v>2871</v>
      </c>
      <c r="G13" s="2764" t="s">
        <v>2872</v>
      </c>
      <c r="H13" s="2764" t="s">
        <v>2872</v>
      </c>
      <c r="I13" s="2764" t="s">
        <v>2872</v>
      </c>
      <c r="J13" s="2765" t="s">
        <v>2872</v>
      </c>
      <c r="K13" s="1370"/>
      <c r="L13" s="1370"/>
      <c r="M13" s="1370"/>
      <c r="N13" s="1370"/>
      <c r="O13" s="1370"/>
      <c r="P13" s="1370"/>
      <c r="Q13" s="1370"/>
      <c r="R13" s="1601">
        <v>12</v>
      </c>
      <c r="S13" s="1602"/>
      <c r="T13" s="1601" t="e">
        <f t="shared" si="0"/>
        <v>#DIV/0!</v>
      </c>
      <c r="U13" s="1602"/>
      <c r="V13" s="1601" t="e">
        <f t="shared" si="1"/>
        <v>#DIV/0!</v>
      </c>
      <c r="W13" s="3322"/>
      <c r="X13" s="1615"/>
      <c r="Y13" s="1612">
        <f>(-0.163*(Y12^2)-0.59*Y12+7617)*(10^(-4))/Y11</f>
        <v>0.20150793650793652</v>
      </c>
      <c r="Z13" s="1612">
        <f t="shared" ref="Z13:AJ13" si="5">(-0.163*(Z12^2)-0.59*Z12+7617)*(10^(-4))/Z11</f>
        <v>0.20150793650793652</v>
      </c>
      <c r="AA13" s="1612">
        <f t="shared" si="5"/>
        <v>0.20150793650793652</v>
      </c>
      <c r="AB13" s="1612">
        <f t="shared" si="5"/>
        <v>0.20150793650793652</v>
      </c>
      <c r="AC13" s="1612">
        <f t="shared" si="5"/>
        <v>0.20150793650793652</v>
      </c>
      <c r="AD13" s="1612">
        <f t="shared" si="5"/>
        <v>0.20150793650793652</v>
      </c>
      <c r="AE13" s="1612">
        <f t="shared" si="5"/>
        <v>0.20150793650793652</v>
      </c>
      <c r="AF13" s="1612">
        <f t="shared" si="5"/>
        <v>0.20150793650793652</v>
      </c>
      <c r="AG13" s="1612">
        <f t="shared" si="5"/>
        <v>0.20150793650793652</v>
      </c>
      <c r="AH13" s="1612">
        <f t="shared" si="5"/>
        <v>0.20150793650793652</v>
      </c>
      <c r="AI13" s="1612">
        <f t="shared" si="5"/>
        <v>0.20150793650793652</v>
      </c>
      <c r="AJ13" s="1612">
        <f t="shared" si="5"/>
        <v>0.20150793650793652</v>
      </c>
    </row>
    <row r="14" spans="1:36" ht="15">
      <c r="A14" s="3328"/>
      <c r="B14" s="2766"/>
      <c r="C14" s="2767"/>
      <c r="D14" s="2768"/>
      <c r="E14" s="2768"/>
      <c r="F14" s="2769"/>
      <c r="G14" s="2770" t="s">
        <v>2873</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29"/>
      <c r="B15" s="2774"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7" t="s">
        <v>2879</v>
      </c>
      <c r="B16" s="2743" t="s">
        <v>2880</v>
      </c>
      <c r="C16" s="2933" t="e">
        <f>ROUND(IF(F17="与级别开发程度一致",0,(G17-E17)/C17),0)</f>
        <v>#DIV/0!</v>
      </c>
      <c r="D16" s="3318" t="s">
        <v>2884</v>
      </c>
      <c r="E16" s="3319"/>
      <c r="F16" s="3318" t="s">
        <v>2881</v>
      </c>
      <c r="G16" s="3319"/>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08"/>
      <c r="B17" s="2944" t="s">
        <v>2883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2886</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2887</v>
      </c>
      <c r="C19" s="924" t="e">
        <f>ROUND(IF(H19="按公示增长率计算",SUMPRODUCT((地价!A3:A26=YEAR(G19)&amp;"-"&amp;ROUNDUP(MONTH(G19)/3,0))*(地价!X2:AB2=E2)*(地价!X3:AB26)),IF(H19="地价指数",M20/M19,(1+I19)^O19)),4)</f>
        <v>#DIV/0!</v>
      </c>
      <c r="D19" s="2787" t="s">
        <v>2888</v>
      </c>
      <c r="E19" s="925">
        <v>41640</v>
      </c>
      <c r="F19" s="2787" t="s">
        <v>2889</v>
      </c>
      <c r="G19" s="926">
        <f>'数据-取费表'!B2</f>
        <v>43616</v>
      </c>
      <c r="H19" s="2788" t="s">
        <v>2890</v>
      </c>
      <c r="I19" s="927" t="str">
        <f>IF(H19="季度增幅（自定义）",SUMIF(N21:N24,E2,O21:O24),"")</f>
        <v/>
      </c>
      <c r="J19" s="2785"/>
      <c r="K19" s="1377"/>
      <c r="L19" s="2789" t="s">
        <v>2891</v>
      </c>
      <c r="M19" s="1733">
        <f>ROUND(SUMIF(地价!B2:F2,E2,地价!B26:F26),0)</f>
        <v>0</v>
      </c>
      <c r="N19" s="2790"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2893</v>
      </c>
      <c r="C20" s="929" t="e">
        <f>ROUND(POWER(1+G20,J20-I20)*(POWER(1+G20,I20)-1)/(POWER(1+G20,J20)-1),4)</f>
        <v>#DIV/0!</v>
      </c>
      <c r="D20" s="2796" t="s">
        <v>2894</v>
      </c>
      <c r="E20" s="1767">
        <f ca="1">存贷款利率!D4/100</f>
        <v>4.3499999999999997E-2</v>
      </c>
      <c r="F20" s="2796" t="s">
        <v>2885</v>
      </c>
      <c r="G20" s="934">
        <f>SUMIF(M26:P26,E2,M28:P28)</f>
        <v>0</v>
      </c>
      <c r="H20" s="2796" t="s">
        <v>2895</v>
      </c>
      <c r="I20" s="935" t="e">
        <f>SUMIF('数据-取费表'!C6:C15,E2,'数据-取费表'!F6:F15)/COUNTIF('数据-取费表'!C6:C15,E2)</f>
        <v>#DIV/0!</v>
      </c>
      <c r="J20" s="936">
        <f>IF(E2="住宅",70,IF(E2="商业",40,50))</f>
        <v>50</v>
      </c>
      <c r="K20" s="1377"/>
      <c r="L20" s="2797" t="s">
        <v>2896</v>
      </c>
      <c r="M20" s="1734">
        <f>ROUND(SUMPRODUCT((地价!A4:A26=YEAR(G19)&amp;"-"&amp;ROUNDUP(MONTH(G19)/3,0))*(地价!B2:F2=E2)*(地价!B4:F26)),0)</f>
        <v>0</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2900</v>
      </c>
      <c r="C21" s="937">
        <f>IF(B21="容积率修正",IF(G3&lt;=10,D22,J22),C23)</f>
        <v>0</v>
      </c>
      <c r="D21" s="2803"/>
      <c r="E21" s="2803"/>
      <c r="F21" s="2803"/>
      <c r="G21" s="2803"/>
      <c r="H21" s="2803"/>
      <c r="I21" s="2803"/>
      <c r="J21" s="2804"/>
      <c r="K21" s="1377"/>
      <c r="N21" s="2805" t="s">
        <v>2901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4">
      <c r="A22" s="2662" t="s">
        <v>2902</v>
      </c>
      <c r="B22" s="2806" t="s">
        <v>2903</v>
      </c>
      <c r="C22" s="1809" t="s">
        <v>2904</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2" t="s">
        <v>2906</v>
      </c>
      <c r="B23" s="2807" t="s">
        <v>2907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2909</v>
      </c>
      <c r="C24" s="924">
        <f>SUMIF(A45:A88,E2,B45:B88)</f>
        <v>0</v>
      </c>
      <c r="D24" s="2784"/>
      <c r="E24" s="2813"/>
      <c r="F24" s="2813"/>
      <c r="G24" s="2813"/>
      <c r="H24" s="2813"/>
      <c r="I24" s="2813"/>
      <c r="J24" s="2814"/>
      <c r="K24" s="1377"/>
      <c r="N24" s="2815" t="s">
        <v>2910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2911</v>
      </c>
      <c r="C25" s="930"/>
      <c r="D25" s="2746"/>
      <c r="E25" s="2746"/>
      <c r="F25" s="2817"/>
      <c r="G25" s="2746"/>
      <c r="H25" s="2746"/>
      <c r="I25" s="2746"/>
      <c r="J25" s="2747"/>
      <c r="K25" s="1370"/>
      <c r="N25" s="2818" t="s">
        <v>2912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9"/>
      <c r="B26" s="2806" t="s">
        <v>2913</v>
      </c>
      <c r="C26" s="206" t="e">
        <f>E29+SUM(E33:E39)</f>
        <v>#DIV/0!</v>
      </c>
      <c r="D26" s="2820"/>
      <c r="E26" s="2771"/>
      <c r="F26" s="2821"/>
      <c r="G26" s="2771"/>
      <c r="H26" s="2771"/>
      <c r="I26" s="2771"/>
      <c r="J26" s="2822"/>
      <c r="K26" s="1370"/>
      <c r="L26" s="2775" t="s">
        <v>2810</v>
      </c>
      <c r="M26" s="920" t="s">
        <v>2875</v>
      </c>
      <c r="N26" s="920" t="s">
        <v>2876</v>
      </c>
      <c r="O26" s="920" t="s">
        <v>2877</v>
      </c>
      <c r="P26" s="2776" t="s">
        <v>2878</v>
      </c>
      <c r="R26" s="1376"/>
      <c r="S26" s="1376"/>
      <c r="T26" s="1371"/>
      <c r="U26" s="1371"/>
      <c r="V26" s="1371"/>
      <c r="W26" s="1370"/>
      <c r="X26" s="1370"/>
      <c r="Y26" s="1370"/>
      <c r="Z26" s="1377"/>
      <c r="AA26" s="1378"/>
      <c r="AB26" s="1378"/>
      <c r="AC26" s="1378"/>
      <c r="AD26" s="1378"/>
    </row>
    <row r="27" spans="1:37" ht="15" thickBot="1">
      <c r="A27" s="2819"/>
      <c r="B27" s="2823" t="s">
        <v>2914</v>
      </c>
      <c r="C27" s="931" t="e">
        <f>E30+SUM(I33:I39)</f>
        <v>#DIV/0!</v>
      </c>
      <c r="D27" s="2824"/>
      <c r="E27" s="2825"/>
      <c r="F27" s="2826"/>
      <c r="G27" s="2825"/>
      <c r="H27" s="2825"/>
      <c r="I27" s="2825"/>
      <c r="J27" s="2827"/>
      <c r="K27" s="1370"/>
      <c r="L27" s="2779"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2915</v>
      </c>
      <c r="C28" s="2830" t="s">
        <v>2916</v>
      </c>
      <c r="D28" s="2830" t="s">
        <v>2917</v>
      </c>
      <c r="E28" s="2831" t="s">
        <v>2918</v>
      </c>
      <c r="F28" s="2832"/>
      <c r="G28" s="2759"/>
      <c r="H28" s="2759"/>
      <c r="I28" s="2759"/>
      <c r="J28" s="2760"/>
      <c r="K28" s="1370"/>
      <c r="L28" s="2780"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t="e">
        <f>ROUND(C5*C18*C19*C20*C21*C24,0)</f>
        <v>#DIV/0!</v>
      </c>
      <c r="D29" s="2835"/>
      <c r="E29" s="942" t="e">
        <f>ROUND(C29*D29/10000,0)</f>
        <v>#DIV/0!</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2921</v>
      </c>
      <c r="C30" s="229" t="e">
        <f>ROUND(IF(E2="工业",C29*M39,C29*M38),0)</f>
        <v>#DIV/0!</v>
      </c>
      <c r="D30" s="2841"/>
      <c r="E30" s="942" t="e">
        <f>ROUND(C30*D30/10000,0)</f>
        <v>#DIV/0!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15" t="s">
        <v>2927</v>
      </c>
      <c r="B33" s="2851" t="s">
        <v>2928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16"/>
      <c r="B34" s="2763" t="s">
        <v>2929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6"/>
      <c r="B35" s="2763" t="s">
        <v>2930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317"/>
      <c r="B36" s="2763" t="s">
        <v>2931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2935</v>
      </c>
      <c r="M38" s="2856">
        <v>0.25</v>
      </c>
      <c r="N38" s="1370"/>
      <c r="O38" s="1370"/>
      <c r="P38" s="1370"/>
      <c r="Q38" s="1370"/>
      <c r="R38" s="1370"/>
      <c r="S38" s="1370"/>
      <c r="T38" s="1370"/>
      <c r="U38" s="1370"/>
      <c r="V38" s="1370"/>
      <c r="W38" s="1370"/>
      <c r="X38" s="1370"/>
      <c r="Y38" s="1370"/>
      <c r="Z38" s="1371"/>
    </row>
    <row r="39" spans="1:37" ht="13.8" thickBot="1">
      <c r="A39" s="2839"/>
      <c r="B39" s="2857" t="s">
        <v>2936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3047</v>
      </c>
      <c r="C41" s="388" t="e">
        <f>ROUND(POWER(1+E41,H41-G41)*(POWER(1+E41,G41)-1)/(POWER(1+E41,H41)-1),4)</f>
        <v>#DIV/0!</v>
      </c>
      <c r="D41" s="200" t="s">
        <v>2885</v>
      </c>
      <c r="E41" s="2927">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2939</v>
      </c>
      <c r="B47" s="1808" t="s">
        <v>2940</v>
      </c>
      <c r="C47" s="1808" t="s">
        <v>2941</v>
      </c>
      <c r="D47" s="1808" t="s">
        <v>2942</v>
      </c>
      <c r="E47" s="819" t="s">
        <v>2943</v>
      </c>
      <c r="F47" s="2869" t="s">
        <v>2944</v>
      </c>
      <c r="G47" s="1808" t="s">
        <v>754</v>
      </c>
      <c r="H47" s="2870" t="s">
        <v>2945</v>
      </c>
      <c r="I47" s="1808" t="s">
        <v>2946</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52.8">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2948</v>
      </c>
      <c r="B49" s="2872" t="str">
        <f>估价对象房地状况!C18</f>
        <v>估价对象周边道路状况、公共交通通达情况、停车便捷程度，综合评价交通便捷度较好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2949</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2950</v>
      </c>
      <c r="B51" s="2873" t="s">
        <v>2951</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2952</v>
      </c>
      <c r="B52" s="2872">
        <f>估价对象房地状况!C24</f>
        <v>0</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2953</v>
      </c>
      <c r="B53" s="2874" t="s">
        <v>2954</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2955</v>
      </c>
      <c r="B54" s="1724" t="str">
        <f>估价对象房地状况!C21</f>
        <v>估价对象所在区域公共配套设施齐备情况</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2956</v>
      </c>
      <c r="B55" s="2872" t="str">
        <f>估价对象房地状况!C22</f>
        <v>估价对象所在区域基础设施水平</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2957</v>
      </c>
      <c r="B56" s="2877" t="str">
        <f>估价对象房地状况!C20</f>
        <v>区域自然环境：；人文环境；综合评价环境状况一般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2939</v>
      </c>
      <c r="B58" s="1808"/>
      <c r="C58" s="1808" t="s">
        <v>2941</v>
      </c>
      <c r="D58" s="1808" t="s">
        <v>2942</v>
      </c>
      <c r="E58" s="819" t="s">
        <v>2943</v>
      </c>
      <c r="F58" s="2869" t="s">
        <v>2959</v>
      </c>
      <c r="G58" s="1808" t="s">
        <v>754</v>
      </c>
      <c r="H58" s="2870" t="s">
        <v>2945</v>
      </c>
      <c r="I58" s="1808" t="s">
        <v>2946</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52.8">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2948</v>
      </c>
      <c r="B60" s="2872" t="str">
        <f>估价对象房地状况!C18</f>
        <v>估价对象周边道路状况、公共交通通达情况、停车便捷程度，综合评价交通便捷度较好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2949</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2950</v>
      </c>
      <c r="B62" s="2873" t="s">
        <v>2951</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2952</v>
      </c>
      <c r="B63" s="2872">
        <f>估价对象房地状况!C24</f>
        <v>0</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2953</v>
      </c>
      <c r="B64" s="2874" t="s">
        <v>2954</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2955</v>
      </c>
      <c r="B65" s="1724" t="str">
        <f>估价对象房地状况!C21</f>
        <v>估价对象所在区域公共配套设施齐备情况</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2956</v>
      </c>
      <c r="B66" s="1724" t="str">
        <f>估价对象房地状况!C22</f>
        <v>估价对象所在区域基础设施水平</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2957</v>
      </c>
      <c r="B67" s="2878" t="str">
        <f>估价对象房地状况!C20</f>
        <v>区域自然环境：；人文环境；综合评价环境状况一般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2939</v>
      </c>
      <c r="B69" s="1808"/>
      <c r="C69" s="1808" t="s">
        <v>2941</v>
      </c>
      <c r="D69" s="1808" t="s">
        <v>2942</v>
      </c>
      <c r="E69" s="819" t="s">
        <v>2943</v>
      </c>
      <c r="F69" s="2869" t="s">
        <v>2959</v>
      </c>
      <c r="G69" s="1808" t="s">
        <v>754</v>
      </c>
      <c r="H69" s="2870" t="s">
        <v>2945</v>
      </c>
      <c r="I69" s="1808" t="s">
        <v>2946</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66">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2948</v>
      </c>
      <c r="B71" s="2872" t="str">
        <f>估价对象房地状况!C18</f>
        <v>估价对象周边道路状况、公共交通通达情况、停车便捷程度，综合评价交通便捷度较好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2949</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2963</v>
      </c>
      <c r="B73" s="2872">
        <f>估价对象房地状况!C24</f>
        <v>0</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2955</v>
      </c>
      <c r="B74" s="1724" t="str">
        <f>估价对象房地状况!C21</f>
        <v>估价对象所在区域公共配套设施齐备情况</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2956</v>
      </c>
      <c r="B75" s="1724" t="str">
        <f>估价对象房地状况!C22</f>
        <v>估价对象所在区域基础设施水平</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2953</v>
      </c>
      <c r="B76" s="2874" t="s">
        <v>2954</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2957</v>
      </c>
      <c r="B77" s="2871" t="str">
        <f>估价对象房地状况!C20</f>
        <v>区域自然环境：；人文环境；综合评价环境状况一般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2964</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2965</v>
      </c>
      <c r="B79" s="2865">
        <f>1+E81</f>
        <v>1</v>
      </c>
      <c r="C79" s="814"/>
      <c r="D79" s="814"/>
      <c r="E79" s="815"/>
      <c r="F79" s="2867"/>
      <c r="G79" s="6"/>
      <c r="H79" s="6"/>
      <c r="I79" s="6"/>
      <c r="J79" s="7"/>
      <c r="K79" s="7"/>
      <c r="L79" s="7"/>
      <c r="M79" s="7"/>
      <c r="N79" s="7"/>
      <c r="Z79" s="2718"/>
      <c r="AA79" s="2786"/>
      <c r="AG79" s="1372"/>
      <c r="AK79" s="2786"/>
    </row>
    <row r="80" spans="1:37" ht="25.2">
      <c r="A80" s="2868" t="s">
        <v>2939</v>
      </c>
      <c r="B80" s="1808"/>
      <c r="C80" s="1808" t="s">
        <v>2941</v>
      </c>
      <c r="D80" s="1808" t="s">
        <v>2942</v>
      </c>
      <c r="E80" s="819" t="s">
        <v>2943</v>
      </c>
      <c r="F80" s="2869" t="s">
        <v>2959</v>
      </c>
      <c r="G80" s="1808" t="s">
        <v>754</v>
      </c>
      <c r="H80" s="2870" t="s">
        <v>2945</v>
      </c>
      <c r="I80" s="1808" t="s">
        <v>2946</v>
      </c>
      <c r="J80" s="603" t="s">
        <v>2593</v>
      </c>
      <c r="K80" s="603" t="s">
        <v>2594</v>
      </c>
      <c r="L80" s="603" t="s">
        <v>2595</v>
      </c>
      <c r="M80" s="603" t="s">
        <v>2596</v>
      </c>
      <c r="N80" s="603" t="s">
        <v>2597</v>
      </c>
      <c r="Z80" s="2718"/>
      <c r="AA80" s="2786"/>
      <c r="AG80" s="1372"/>
      <c r="AK80" s="2786"/>
    </row>
    <row r="81" spans="1:37" ht="39.6">
      <c r="A81" s="2868" t="s">
        <v>2966</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2948</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2949</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2963</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2955</v>
      </c>
      <c r="B85" s="1724"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2956</v>
      </c>
      <c r="B86" s="1724"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2953</v>
      </c>
      <c r="B87" s="2874" t="s">
        <v>2967</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2968</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09" t="s">
        <v>2969</v>
      </c>
      <c r="B90" s="3309"/>
      <c r="C90" s="3309"/>
      <c r="D90" s="3309"/>
      <c r="E90" s="3309"/>
      <c r="F90" s="3309"/>
      <c r="G90" s="3309"/>
      <c r="H90" s="3309"/>
      <c r="I90" s="3309"/>
      <c r="J90" s="3309"/>
      <c r="K90" s="2882"/>
      <c r="L90" s="2882"/>
      <c r="M90" s="2882"/>
      <c r="N90" s="2882"/>
    </row>
    <row r="91" spans="1:37">
      <c r="A91" s="3311" t="s">
        <v>2970</v>
      </c>
      <c r="B91" s="3311" t="s">
        <v>2971</v>
      </c>
      <c r="C91" s="2836" t="s">
        <v>2972</v>
      </c>
      <c r="D91" s="2837"/>
      <c r="E91" s="2837"/>
      <c r="F91" s="2837"/>
      <c r="G91" s="2837"/>
      <c r="H91" s="2837"/>
      <c r="I91" s="2837"/>
      <c r="J91" s="2883"/>
      <c r="K91" s="2884"/>
      <c r="L91" s="2884"/>
      <c r="M91" s="2884"/>
      <c r="N91" s="2884"/>
    </row>
    <row r="92" spans="1:37">
      <c r="A92" s="3311"/>
      <c r="B92" s="331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12"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1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1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1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1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1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13"/>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1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2" t="s">
        <v>2974</v>
      </c>
      <c r="B101" s="2889" t="s">
        <v>2975</v>
      </c>
      <c r="C101" s="2890">
        <f>$G$3</f>
        <v>3.78</v>
      </c>
      <c r="D101" s="2890">
        <f t="shared" ref="D101:N101" si="31">$G$3</f>
        <v>3.78</v>
      </c>
      <c r="E101" s="2890">
        <f t="shared" si="31"/>
        <v>3.78</v>
      </c>
      <c r="F101" s="2890">
        <f t="shared" si="31"/>
        <v>3.78</v>
      </c>
      <c r="G101" s="2890">
        <f t="shared" si="31"/>
        <v>3.78</v>
      </c>
      <c r="H101" s="2890">
        <f t="shared" si="31"/>
        <v>3.78</v>
      </c>
      <c r="I101" s="2890">
        <f t="shared" si="31"/>
        <v>3.78</v>
      </c>
      <c r="J101" s="2890">
        <f t="shared" si="31"/>
        <v>3.78</v>
      </c>
      <c r="K101" s="2890">
        <f t="shared" si="31"/>
        <v>3.78</v>
      </c>
      <c r="L101" s="2890">
        <f t="shared" si="31"/>
        <v>3.78</v>
      </c>
      <c r="M101" s="2890">
        <f t="shared" si="31"/>
        <v>3.78</v>
      </c>
      <c r="N101" s="2890">
        <f t="shared" si="31"/>
        <v>3.78</v>
      </c>
    </row>
    <row r="102" spans="1:14">
      <c r="A102" s="3313"/>
      <c r="B102" s="2885">
        <v>1</v>
      </c>
      <c r="C102" s="2886">
        <f>1.9362/C101</f>
        <v>0.51222222222222225</v>
      </c>
      <c r="D102" s="2886">
        <f>1.9362/D101</f>
        <v>0.51222222222222225</v>
      </c>
      <c r="E102" s="2886">
        <f>1.8629/E101</f>
        <v>0.49283068783068784</v>
      </c>
      <c r="F102" s="2886">
        <f>1.8629/F101</f>
        <v>0.49283068783068784</v>
      </c>
      <c r="G102" s="2886">
        <f>1.8629/G101</f>
        <v>0.49283068783068784</v>
      </c>
      <c r="H102" s="2886">
        <f>1.8629/H101</f>
        <v>0.49283068783068784</v>
      </c>
      <c r="I102" s="2886">
        <f>1.8629/I101</f>
        <v>0.49283068783068784</v>
      </c>
      <c r="J102" s="2886">
        <f>1.942/J101</f>
        <v>0.51375661375661374</v>
      </c>
      <c r="K102" s="2886">
        <f>1.942/K101</f>
        <v>0.51375661375661374</v>
      </c>
      <c r="L102" s="2886">
        <f>1.942/L101</f>
        <v>0.51375661375661374</v>
      </c>
      <c r="M102" s="2886">
        <f>1.942/M101</f>
        <v>0.51375661375661374</v>
      </c>
      <c r="N102" s="2886">
        <f>1.942/N101</f>
        <v>0.51375661375661374</v>
      </c>
    </row>
    <row r="103" spans="1:14">
      <c r="A103" s="3313"/>
      <c r="B103" s="2885">
        <v>2</v>
      </c>
      <c r="C103" s="2886">
        <f>1.4198/C101</f>
        <v>0.37560846560846561</v>
      </c>
      <c r="D103" s="2886">
        <f>1.4198/D101</f>
        <v>0.37560846560846561</v>
      </c>
      <c r="E103" s="2886">
        <f>1.3372/E101</f>
        <v>0.35375661375661377</v>
      </c>
      <c r="F103" s="2886">
        <f>1.3372/F101</f>
        <v>0.35375661375661377</v>
      </c>
      <c r="G103" s="2886">
        <f>1.3372/G101</f>
        <v>0.35375661375661377</v>
      </c>
      <c r="H103" s="2886">
        <f>1.3372/H101</f>
        <v>0.35375661375661377</v>
      </c>
      <c r="I103" s="2886">
        <f>1.3372/I101</f>
        <v>0.35375661375661377</v>
      </c>
      <c r="J103" s="2886">
        <f>1.2799/J101</f>
        <v>0.33859788359788362</v>
      </c>
      <c r="K103" s="2886">
        <f>1.2799/K101</f>
        <v>0.33859788359788362</v>
      </c>
      <c r="L103" s="2886">
        <f>1.2799/L101</f>
        <v>0.33859788359788362</v>
      </c>
      <c r="M103" s="2886">
        <f>1.2799/M101</f>
        <v>0.33859788359788362</v>
      </c>
      <c r="N103" s="2886">
        <f>1.2799/N101</f>
        <v>0.33859788359788362</v>
      </c>
    </row>
    <row r="104" spans="1:14">
      <c r="A104" s="3313"/>
      <c r="B104" s="2885">
        <v>3</v>
      </c>
      <c r="C104" s="2886">
        <f>1.1594/C101</f>
        <v>0.30671957671957673</v>
      </c>
      <c r="D104" s="2886">
        <f>1.1594/D101</f>
        <v>0.30671957671957673</v>
      </c>
      <c r="E104" s="2886">
        <f>1.0788/E101</f>
        <v>0.28539682539682543</v>
      </c>
      <c r="F104" s="2886">
        <f>1.0788/F101</f>
        <v>0.28539682539682543</v>
      </c>
      <c r="G104" s="2886">
        <f>1.0788/G101</f>
        <v>0.28539682539682543</v>
      </c>
      <c r="H104" s="2886">
        <f>1.0788/H101</f>
        <v>0.28539682539682543</v>
      </c>
      <c r="I104" s="2886">
        <f>1.0788/I101</f>
        <v>0.28539682539682543</v>
      </c>
      <c r="J104" s="2886">
        <f>1.0072/J101</f>
        <v>0.2664550264550265</v>
      </c>
      <c r="K104" s="2886">
        <f>1.0072/K101</f>
        <v>0.2664550264550265</v>
      </c>
      <c r="L104" s="2886">
        <f>1.0072/L101</f>
        <v>0.2664550264550265</v>
      </c>
      <c r="M104" s="2886">
        <f>1.0072/M101</f>
        <v>0.2664550264550265</v>
      </c>
      <c r="N104" s="2886">
        <f>1.0072/N101</f>
        <v>0.2664550264550265</v>
      </c>
    </row>
    <row r="105" spans="1:14">
      <c r="A105" s="3313"/>
      <c r="B105" s="2885">
        <v>4</v>
      </c>
      <c r="C105" s="2886">
        <f>0.9622/C101</f>
        <v>0.25455026455026458</v>
      </c>
      <c r="D105" s="2886">
        <f>0.9622/D101</f>
        <v>0.25455026455026458</v>
      </c>
      <c r="E105" s="2886">
        <f>0.8656/E101</f>
        <v>0.22899470899470903</v>
      </c>
      <c r="F105" s="2886">
        <f>0.8656/F101</f>
        <v>0.22899470899470903</v>
      </c>
      <c r="G105" s="2886">
        <f>0.8656/G101</f>
        <v>0.22899470899470903</v>
      </c>
      <c r="H105" s="2886">
        <f>0.8656/H101</f>
        <v>0.22899470899470903</v>
      </c>
      <c r="I105" s="2886">
        <f>0.8656/I101</f>
        <v>0.22899470899470903</v>
      </c>
      <c r="J105" s="2886">
        <f>0.7525/J101</f>
        <v>0.19907407407407407</v>
      </c>
      <c r="K105" s="2886">
        <f>0.7525/K101</f>
        <v>0.19907407407407407</v>
      </c>
      <c r="L105" s="2886">
        <f>0.7525/L101</f>
        <v>0.19907407407407407</v>
      </c>
      <c r="M105" s="2886">
        <f>0.7525/M101</f>
        <v>0.19907407407407407</v>
      </c>
      <c r="N105" s="2886">
        <f>0.7525/N101</f>
        <v>0.19907407407407407</v>
      </c>
    </row>
    <row r="106" spans="1:14">
      <c r="A106" s="3313"/>
      <c r="B106" s="2885">
        <v>5</v>
      </c>
      <c r="C106" s="2886">
        <f>0.8417/C101</f>
        <v>0.22267195767195769</v>
      </c>
      <c r="D106" s="2886">
        <f>0.8417/D101</f>
        <v>0.22267195767195769</v>
      </c>
      <c r="E106" s="2886">
        <f>0.7371/E101</f>
        <v>0.19500000000000001</v>
      </c>
      <c r="F106" s="2886">
        <f>0.7371/F101</f>
        <v>0.19500000000000001</v>
      </c>
      <c r="G106" s="2886">
        <f>0.7371/G101</f>
        <v>0.19500000000000001</v>
      </c>
      <c r="H106" s="2886">
        <f>0.7371/H101</f>
        <v>0.19500000000000001</v>
      </c>
      <c r="I106" s="2886">
        <f>0.7371/I101</f>
        <v>0.19500000000000001</v>
      </c>
      <c r="J106" s="2886">
        <f>0.5659/J101</f>
        <v>0.14970899470899471</v>
      </c>
      <c r="K106" s="2886">
        <f>0.5659/K101</f>
        <v>0.14970899470899471</v>
      </c>
      <c r="L106" s="2886">
        <f>0.5659/L101</f>
        <v>0.14970899470899471</v>
      </c>
      <c r="M106" s="2886">
        <f>0.5659/M101</f>
        <v>0.14970899470899471</v>
      </c>
      <c r="N106" s="2886">
        <f>0.5659/N101</f>
        <v>0.14970899470899471</v>
      </c>
    </row>
    <row r="107" spans="1:14">
      <c r="A107" s="3313"/>
      <c r="B107" s="2885">
        <v>6</v>
      </c>
      <c r="C107" s="2886">
        <f>0.7608/C101</f>
        <v>0.20126984126984129</v>
      </c>
      <c r="D107" s="2886">
        <f>0.7608/D101</f>
        <v>0.20126984126984129</v>
      </c>
      <c r="E107" s="2886">
        <f>0.6482/E101</f>
        <v>0.17148148148148148</v>
      </c>
      <c r="F107" s="2886">
        <f>0.6482/F101</f>
        <v>0.17148148148148148</v>
      </c>
      <c r="G107" s="2886">
        <f>0.6482/G101</f>
        <v>0.17148148148148148</v>
      </c>
      <c r="H107" s="2886">
        <f>0.6482/H101</f>
        <v>0.17148148148148148</v>
      </c>
      <c r="I107" s="2886">
        <f>0.6482/I101</f>
        <v>0.17148148148148148</v>
      </c>
      <c r="J107" s="2886">
        <f>0.4525/J101</f>
        <v>0.11970899470899472</v>
      </c>
      <c r="K107" s="2886">
        <f>0.4525/K101</f>
        <v>0.11970899470899472</v>
      </c>
      <c r="L107" s="2886">
        <f>0.4525/L101</f>
        <v>0.11970899470899472</v>
      </c>
      <c r="M107" s="2886">
        <f>0.4525/M101</f>
        <v>0.11970899470899472</v>
      </c>
      <c r="N107" s="2886">
        <f>0.4525/N101</f>
        <v>0.11970899470899472</v>
      </c>
    </row>
    <row r="108" spans="1:14">
      <c r="A108" s="3313"/>
      <c r="B108" s="3131"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14"/>
      <c r="B109" s="3132"/>
      <c r="C109" s="2888">
        <f>(-0.163*(C108^2)-0.59*C108+7617)*(10^(-4))/C101</f>
        <v>0.20150793650793652</v>
      </c>
      <c r="D109" s="2888">
        <f>(-0.163*(D108^2)-0.59*D108+7617)*(10^(-4))/D101</f>
        <v>0.20150793650793652</v>
      </c>
      <c r="E109" s="2888">
        <f>(-0.161*(E108^2)-7.509*E108+6533)*(10^(-4))/E101</f>
        <v>0.17283068783068783</v>
      </c>
      <c r="F109" s="2888">
        <f>(-0.161*(F108^2)-7.509*F108+6533)*(10^(-4))/F101</f>
        <v>0.17283068783068783</v>
      </c>
      <c r="G109" s="2888">
        <f>(-0.161*(G108^2)-7.509*G108+6533)*(10^(-4))/G101</f>
        <v>0.17283068783068783</v>
      </c>
      <c r="H109" s="2888">
        <f>(-0.161*(H108^2)-7.509*H108+6533)*(10^(-4))/H101</f>
        <v>0.17283068783068783</v>
      </c>
      <c r="I109" s="2888">
        <f>(-0.161*(I108^2)-7.509*I108+6533)*(10^(-4))/I101</f>
        <v>0.17283068783068783</v>
      </c>
      <c r="J109" s="2888">
        <f>(-0.214*(J108^2)-21.991*J108+4665)*(10^(-4))/J101</f>
        <v>0.12341269841269843</v>
      </c>
      <c r="K109" s="2888">
        <f>(-0.214*(K108^2)-21.991*K108+4665)*(10^(-4))/K101</f>
        <v>0.12341269841269843</v>
      </c>
      <c r="L109" s="2888">
        <f>(-0.214*(L108^2)-21.991*L108+4665)*(10^(-4))/L101</f>
        <v>0.12341269841269843</v>
      </c>
      <c r="M109" s="2888">
        <f>(-0.214*(M108^2)-21.991*M108+4665)*(10^(-4))/M101</f>
        <v>0.12341269841269843</v>
      </c>
      <c r="N109" s="2888">
        <f>(-0.214*(N108^2)-21.991*N108+4665)*(10^(-4))/N101</f>
        <v>0.12341269841269843</v>
      </c>
    </row>
    <row r="110" spans="1:14">
      <c r="A110" s="3310" t="s">
        <v>2977</v>
      </c>
      <c r="B110" s="3310"/>
      <c r="C110" s="3310"/>
      <c r="D110" s="3310"/>
      <c r="E110" s="3310"/>
      <c r="F110" s="3310"/>
      <c r="G110" s="3310"/>
      <c r="H110" s="3310"/>
      <c r="I110" s="3310"/>
      <c r="J110" s="3310"/>
      <c r="K110" s="2891"/>
      <c r="L110" s="2891"/>
      <c r="M110" s="2891"/>
      <c r="N110" s="2891"/>
    </row>
    <row r="112" spans="1:14" ht="13.8" thickBot="1"/>
    <row r="113" spans="1:13" ht="25.8" thickBot="1">
      <c r="A113" s="903" t="s">
        <v>2978</v>
      </c>
      <c r="B113" s="1287">
        <f>G3</f>
        <v>3.78</v>
      </c>
      <c r="C113" s="904" t="s">
        <v>2979</v>
      </c>
      <c r="D113" s="905">
        <f>SUMPRODUCT((A115:A118=F113)*(B114:M114=H113)*B115:M118)</f>
        <v>0</v>
      </c>
      <c r="E113" s="2722" t="s">
        <v>2810</v>
      </c>
      <c r="F113" s="2893">
        <f>E2</f>
        <v>0</v>
      </c>
      <c r="G113" s="2722" t="s">
        <v>2811</v>
      </c>
      <c r="H113" s="2893">
        <f>G2</f>
        <v>0</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2875</v>
      </c>
      <c r="B115" s="910">
        <f>ROUND(0.9335-0.0094*B113,4)</f>
        <v>0.89800000000000002</v>
      </c>
      <c r="C115" s="910">
        <f>B115</f>
        <v>0.89800000000000002</v>
      </c>
      <c r="D115" s="910">
        <f>ROUND(0.8331-0.0109*B113,4)</f>
        <v>0.79190000000000005</v>
      </c>
      <c r="E115" s="910">
        <f>D115</f>
        <v>0.79190000000000005</v>
      </c>
      <c r="F115" s="910">
        <f>E115</f>
        <v>0.79190000000000005</v>
      </c>
      <c r="G115" s="910">
        <f>F115</f>
        <v>0.79190000000000005</v>
      </c>
      <c r="H115" s="910">
        <f>G115</f>
        <v>0.79190000000000005</v>
      </c>
      <c r="I115" s="910">
        <f>ROUND(0.689-0.0155*B113,4)</f>
        <v>0.63039999999999996</v>
      </c>
      <c r="J115" s="910">
        <f t="shared" ref="J115:M118" si="33">I115</f>
        <v>0.63039999999999996</v>
      </c>
      <c r="K115" s="910">
        <f t="shared" si="33"/>
        <v>0.63039999999999996</v>
      </c>
      <c r="L115" s="910">
        <f t="shared" si="33"/>
        <v>0.63039999999999996</v>
      </c>
      <c r="M115" s="911">
        <f t="shared" si="33"/>
        <v>0.63039999999999996</v>
      </c>
    </row>
    <row r="116" spans="1:13">
      <c r="A116" s="909" t="s">
        <v>2876</v>
      </c>
      <c r="B116" s="910">
        <f>ROUND(0.949-0.012*B113,4)</f>
        <v>0.90359999999999996</v>
      </c>
      <c r="C116" s="910">
        <f>B116</f>
        <v>0.90359999999999996</v>
      </c>
      <c r="D116" s="910">
        <f>ROUND(0.8567-0.013*B113,4)</f>
        <v>0.80759999999999998</v>
      </c>
      <c r="E116" s="910">
        <f t="shared" ref="E116:H117" si="34">D116</f>
        <v>0.80759999999999998</v>
      </c>
      <c r="F116" s="910">
        <f t="shared" si="34"/>
        <v>0.80759999999999998</v>
      </c>
      <c r="G116" s="910">
        <f t="shared" si="34"/>
        <v>0.80759999999999998</v>
      </c>
      <c r="H116" s="910">
        <f t="shared" si="34"/>
        <v>0.80759999999999998</v>
      </c>
      <c r="I116" s="910">
        <f>ROUND(0.7694-0.014*B113,4)</f>
        <v>0.71650000000000003</v>
      </c>
      <c r="J116" s="910">
        <f t="shared" si="33"/>
        <v>0.71650000000000003</v>
      </c>
      <c r="K116" s="910">
        <f t="shared" si="33"/>
        <v>0.71650000000000003</v>
      </c>
      <c r="L116" s="910">
        <f t="shared" si="33"/>
        <v>0.71650000000000003</v>
      </c>
      <c r="M116" s="911">
        <f t="shared" si="33"/>
        <v>0.71650000000000003</v>
      </c>
    </row>
    <row r="117" spans="1:13">
      <c r="A117" s="909" t="s">
        <v>2877</v>
      </c>
      <c r="B117" s="910">
        <f>ROUND(0.8808-0.006*B113,4)</f>
        <v>0.85809999999999997</v>
      </c>
      <c r="C117" s="910">
        <f>B117</f>
        <v>0.85809999999999997</v>
      </c>
      <c r="D117" s="910">
        <f>ROUND(0.8748-0.008*B113,4)</f>
        <v>0.84460000000000002</v>
      </c>
      <c r="E117" s="910">
        <f t="shared" si="34"/>
        <v>0.84460000000000002</v>
      </c>
      <c r="F117" s="910">
        <f t="shared" si="34"/>
        <v>0.84460000000000002</v>
      </c>
      <c r="G117" s="910">
        <f t="shared" si="34"/>
        <v>0.84460000000000002</v>
      </c>
      <c r="H117" s="910">
        <f t="shared" si="34"/>
        <v>0.84460000000000002</v>
      </c>
      <c r="I117" s="910">
        <f>ROUND(0.7412-0.0095*B113,4)</f>
        <v>0.70530000000000004</v>
      </c>
      <c r="J117" s="910">
        <f t="shared" si="33"/>
        <v>0.70530000000000004</v>
      </c>
      <c r="K117" s="910">
        <f t="shared" si="33"/>
        <v>0.70530000000000004</v>
      </c>
      <c r="L117" s="910">
        <f t="shared" si="33"/>
        <v>0.70530000000000004</v>
      </c>
      <c r="M117" s="911">
        <f t="shared" si="33"/>
        <v>0.70530000000000004</v>
      </c>
    </row>
    <row r="118" spans="1:13" ht="13.8" thickBot="1">
      <c r="A118" s="714" t="s">
        <v>2878</v>
      </c>
      <c r="B118" s="912">
        <f>ROUND(0.7275-0.01*B113,4)</f>
        <v>0.68969999999999998</v>
      </c>
      <c r="C118" s="912">
        <f>B118</f>
        <v>0.68969999999999998</v>
      </c>
      <c r="D118" s="912">
        <f>ROUND(0.7043-0.012*B113,4)</f>
        <v>0.65890000000000004</v>
      </c>
      <c r="E118" s="912">
        <f>D118</f>
        <v>0.65890000000000004</v>
      </c>
      <c r="F118" s="912">
        <f>E118</f>
        <v>0.65890000000000004</v>
      </c>
      <c r="G118" s="912">
        <f>ROUND(0.6299-0.0122*B113,4)</f>
        <v>0.58379999999999999</v>
      </c>
      <c r="H118" s="912">
        <f>G118</f>
        <v>0.58379999999999999</v>
      </c>
      <c r="I118" s="912">
        <f>ROUND(0.5667-0.0136*B113,4)</f>
        <v>0.51529999999999998</v>
      </c>
      <c r="J118" s="912">
        <f t="shared" si="33"/>
        <v>0.51529999999999998</v>
      </c>
      <c r="K118" s="912">
        <f t="shared" si="33"/>
        <v>0.51529999999999998</v>
      </c>
      <c r="L118" s="912">
        <f t="shared" si="33"/>
        <v>0.51529999999999998</v>
      </c>
      <c r="M118" s="913">
        <f t="shared" si="33"/>
        <v>0.51529999999999998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30" t="s">
        <v>183</v>
      </c>
      <c r="B18" s="882" t="s">
        <v>560</v>
      </c>
      <c r="C18" s="883" t="s">
        <v>561</v>
      </c>
      <c r="D18" s="884"/>
      <c r="E18" s="882">
        <v>1</v>
      </c>
      <c r="F18" s="885" t="s">
        <v>562</v>
      </c>
      <c r="G18" s="886"/>
      <c r="H18" s="878"/>
      <c r="I18" s="878"/>
    </row>
    <row r="19" spans="1:9" s="887" customFormat="1" ht="19.5" customHeight="1">
      <c r="A19" s="3330"/>
      <c r="B19" s="3330" t="s">
        <v>563</v>
      </c>
      <c r="C19" s="883" t="s">
        <v>564</v>
      </c>
      <c r="D19" s="884"/>
      <c r="E19" s="882">
        <v>0.9</v>
      </c>
      <c r="F19" s="885" t="s">
        <v>565</v>
      </c>
      <c r="G19" s="886"/>
      <c r="H19" s="878"/>
      <c r="I19" s="878"/>
    </row>
    <row r="20" spans="1:9" s="887" customFormat="1" ht="19.5" customHeight="1">
      <c r="A20" s="3330"/>
      <c r="B20" s="3330"/>
      <c r="C20" s="883" t="s">
        <v>566</v>
      </c>
      <c r="D20" s="884"/>
      <c r="E20" s="882">
        <v>1.1000000000000001</v>
      </c>
      <c r="F20" s="885" t="s">
        <v>567</v>
      </c>
      <c r="G20" s="886"/>
      <c r="H20" s="878"/>
      <c r="I20" s="878"/>
    </row>
    <row r="21" spans="1:9" s="887" customFormat="1" ht="19.5" customHeight="1">
      <c r="A21" s="3330"/>
      <c r="B21" s="3330"/>
      <c r="C21" s="883" t="s">
        <v>568</v>
      </c>
      <c r="D21" s="884"/>
      <c r="E21" s="882">
        <v>0.8</v>
      </c>
      <c r="F21" s="885" t="s">
        <v>569</v>
      </c>
      <c r="G21" s="886"/>
      <c r="H21" s="878"/>
      <c r="I21" s="878"/>
    </row>
    <row r="22" spans="1:9" s="887" customFormat="1" ht="19.5" customHeight="1">
      <c r="A22" s="3330"/>
      <c r="B22" s="3330"/>
      <c r="C22" s="883" t="s">
        <v>570</v>
      </c>
      <c r="D22" s="884"/>
      <c r="E22" s="882">
        <v>0.5</v>
      </c>
      <c r="F22" s="885"/>
      <c r="G22" s="886"/>
      <c r="H22" s="878"/>
      <c r="I22" s="878"/>
    </row>
    <row r="23" spans="1:9" s="887" customFormat="1" ht="19.5" customHeight="1">
      <c r="A23" s="3330" t="s">
        <v>184</v>
      </c>
      <c r="B23" s="882" t="s">
        <v>560</v>
      </c>
      <c r="C23" s="883" t="s">
        <v>571</v>
      </c>
      <c r="D23" s="884"/>
      <c r="E23" s="882">
        <v>1</v>
      </c>
      <c r="F23" s="885" t="s">
        <v>572</v>
      </c>
      <c r="G23" s="886"/>
      <c r="H23" s="878"/>
      <c r="I23" s="878"/>
    </row>
    <row r="24" spans="1:9" s="887" customFormat="1" ht="19.5" customHeight="1">
      <c r="A24" s="3330"/>
      <c r="B24" s="3330" t="s">
        <v>563</v>
      </c>
      <c r="C24" s="883" t="s">
        <v>573</v>
      </c>
      <c r="D24" s="884"/>
      <c r="E24" s="882">
        <v>0.5</v>
      </c>
      <c r="F24" s="885"/>
      <c r="G24" s="886"/>
      <c r="H24" s="878"/>
      <c r="I24" s="878"/>
    </row>
    <row r="25" spans="1:9" s="887" customFormat="1" ht="19.5" customHeight="1">
      <c r="A25" s="3330"/>
      <c r="B25" s="3330"/>
      <c r="C25" s="883" t="s">
        <v>574</v>
      </c>
      <c r="D25" s="884"/>
      <c r="E25" s="882">
        <v>1.1000000000000001</v>
      </c>
      <c r="F25" s="885"/>
      <c r="G25" s="886"/>
      <c r="H25" s="878"/>
      <c r="I25" s="878"/>
    </row>
    <row r="26" spans="1:9" s="887" customFormat="1" ht="19.5" customHeight="1">
      <c r="A26" s="3330"/>
      <c r="B26" s="3330"/>
      <c r="C26" s="883" t="s">
        <v>575</v>
      </c>
      <c r="D26" s="884"/>
      <c r="E26" s="882">
        <v>1.1000000000000001</v>
      </c>
      <c r="F26" s="885"/>
      <c r="G26" s="886"/>
      <c r="H26" s="878"/>
      <c r="I26" s="878"/>
    </row>
    <row r="27" spans="1:9" s="887" customFormat="1" ht="19.5" customHeight="1">
      <c r="A27" s="3330"/>
      <c r="B27" s="3330"/>
      <c r="C27" s="883" t="s">
        <v>576</v>
      </c>
      <c r="D27" s="884"/>
      <c r="E27" s="882">
        <v>0.9</v>
      </c>
      <c r="F27" s="885" t="s">
        <v>577</v>
      </c>
      <c r="G27" s="886"/>
      <c r="H27" s="878"/>
      <c r="I27" s="878"/>
    </row>
    <row r="28" spans="1:9" s="887" customFormat="1" ht="19.5" customHeight="1">
      <c r="A28" s="3330"/>
      <c r="B28" s="3330"/>
      <c r="C28" s="883" t="s">
        <v>578</v>
      </c>
      <c r="D28" s="884"/>
      <c r="E28" s="882">
        <v>0.9</v>
      </c>
      <c r="F28" s="885" t="s">
        <v>579</v>
      </c>
      <c r="G28" s="886"/>
      <c r="H28" s="878"/>
      <c r="I28" s="878"/>
    </row>
    <row r="29" spans="1:9" s="887" customFormat="1" ht="19.5" customHeight="1">
      <c r="A29" s="3330"/>
      <c r="B29" s="3330"/>
      <c r="C29" s="883" t="s">
        <v>580</v>
      </c>
      <c r="D29" s="884"/>
      <c r="E29" s="882">
        <v>0.9</v>
      </c>
      <c r="F29" s="885" t="s">
        <v>581</v>
      </c>
      <c r="G29" s="886"/>
      <c r="H29" s="878"/>
      <c r="I29" s="878"/>
    </row>
    <row r="30" spans="1:9" s="887" customFormat="1" ht="19.5" customHeight="1">
      <c r="A30" s="3330"/>
      <c r="B30" s="3330"/>
      <c r="C30" s="883" t="s">
        <v>582</v>
      </c>
      <c r="D30" s="884"/>
      <c r="E30" s="882">
        <v>0.9</v>
      </c>
      <c r="F30" s="885" t="s">
        <v>583</v>
      </c>
      <c r="G30" s="886"/>
      <c r="H30" s="878"/>
      <c r="I30" s="878"/>
    </row>
    <row r="31" spans="1:9" s="887" customFormat="1" ht="19.5" customHeight="1">
      <c r="A31" s="3330"/>
      <c r="B31" s="3330"/>
      <c r="C31" s="883" t="s">
        <v>584</v>
      </c>
      <c r="D31" s="884"/>
      <c r="E31" s="882">
        <v>0.8</v>
      </c>
      <c r="F31" s="885" t="s">
        <v>585</v>
      </c>
      <c r="G31" s="886"/>
      <c r="H31" s="878"/>
      <c r="I31" s="878"/>
    </row>
    <row r="32" spans="1:9" s="887" customFormat="1" ht="19.5" customHeight="1">
      <c r="A32" s="3330"/>
      <c r="B32" s="3330"/>
      <c r="C32" s="883" t="s">
        <v>586</v>
      </c>
      <c r="D32" s="884"/>
      <c r="E32" s="882">
        <v>0.8</v>
      </c>
      <c r="F32" s="885" t="s">
        <v>587</v>
      </c>
      <c r="G32" s="886"/>
      <c r="H32" s="878"/>
      <c r="I32" s="878"/>
    </row>
    <row r="33" spans="1:9" s="887" customFormat="1" ht="19.5" customHeight="1">
      <c r="A33" s="3330" t="s">
        <v>185</v>
      </c>
      <c r="B33" s="882" t="s">
        <v>560</v>
      </c>
      <c r="C33" s="883" t="s">
        <v>588</v>
      </c>
      <c r="D33" s="884"/>
      <c r="E33" s="882">
        <v>1</v>
      </c>
      <c r="F33" s="885" t="s">
        <v>589</v>
      </c>
      <c r="G33" s="886"/>
      <c r="H33" s="878"/>
      <c r="I33" s="878"/>
    </row>
    <row r="34" spans="1:9" s="887" customFormat="1" ht="19.5" customHeight="1">
      <c r="A34" s="3330"/>
      <c r="B34" s="882" t="s">
        <v>563</v>
      </c>
      <c r="C34" s="883" t="s">
        <v>590</v>
      </c>
      <c r="D34" s="884"/>
      <c r="E34" s="882">
        <v>1.5</v>
      </c>
      <c r="F34" s="885" t="s">
        <v>591</v>
      </c>
      <c r="G34" s="886"/>
      <c r="H34" s="878"/>
      <c r="I34" s="878"/>
    </row>
    <row r="35" spans="1:9" s="887" customFormat="1" ht="19.5" customHeight="1">
      <c r="A35" s="3330" t="s">
        <v>186</v>
      </c>
      <c r="B35" s="882" t="s">
        <v>560</v>
      </c>
      <c r="C35" s="883" t="s">
        <v>592</v>
      </c>
      <c r="D35" s="884"/>
      <c r="E35" s="882">
        <v>1</v>
      </c>
      <c r="F35" s="885" t="s">
        <v>593</v>
      </c>
      <c r="G35" s="886"/>
      <c r="H35" s="878"/>
      <c r="I35" s="878"/>
    </row>
    <row r="36" spans="1:9" s="887" customFormat="1" ht="19.5" customHeight="1">
      <c r="A36" s="3330"/>
      <c r="B36" s="3330" t="s">
        <v>563</v>
      </c>
      <c r="C36" s="883" t="s">
        <v>594</v>
      </c>
      <c r="D36" s="884"/>
      <c r="E36" s="882">
        <v>1</v>
      </c>
      <c r="F36" s="885" t="s">
        <v>595</v>
      </c>
      <c r="G36" s="886"/>
      <c r="H36" s="878"/>
      <c r="I36" s="878"/>
    </row>
    <row r="37" spans="1:9" s="887" customFormat="1" ht="19.5" customHeight="1">
      <c r="A37" s="3330"/>
      <c r="B37" s="3330"/>
      <c r="C37" s="883" t="s">
        <v>596</v>
      </c>
      <c r="D37" s="884"/>
      <c r="E37" s="882">
        <v>1.5</v>
      </c>
      <c r="F37" s="885" t="s">
        <v>597</v>
      </c>
      <c r="G37" s="886"/>
      <c r="H37" s="878"/>
      <c r="I37" s="878"/>
    </row>
    <row r="38" spans="1:9" s="887" customFormat="1" ht="19.5" customHeight="1">
      <c r="A38" s="3330"/>
      <c r="B38" s="3330"/>
      <c r="C38" s="883" t="s">
        <v>598</v>
      </c>
      <c r="D38" s="884"/>
      <c r="E38" s="882">
        <v>1</v>
      </c>
      <c r="F38" s="885" t="s">
        <v>599</v>
      </c>
      <c r="G38" s="886"/>
      <c r="H38" s="878"/>
      <c r="I38" s="878"/>
    </row>
    <row r="39" spans="1:9" s="887" customFormat="1" ht="19.5" customHeight="1">
      <c r="A39" s="3330"/>
      <c r="B39" s="333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30" t="s">
        <v>614</v>
      </c>
      <c r="C61" s="818" t="s">
        <v>615</v>
      </c>
      <c r="D61" s="818" t="s">
        <v>616</v>
      </c>
      <c r="E61" s="895">
        <v>0.5</v>
      </c>
      <c r="F61" s="882">
        <v>80</v>
      </c>
    </row>
    <row r="62" spans="1:8" s="878" customFormat="1" ht="36">
      <c r="A62" s="882">
        <v>2</v>
      </c>
      <c r="B62" s="3330"/>
      <c r="C62" s="818" t="s">
        <v>617</v>
      </c>
      <c r="D62" s="818" t="s">
        <v>618</v>
      </c>
      <c r="E62" s="895">
        <v>0.5</v>
      </c>
      <c r="F62" s="882">
        <v>80</v>
      </c>
    </row>
    <row r="63" spans="1:8" s="878" customFormat="1" ht="48">
      <c r="A63" s="882">
        <v>3</v>
      </c>
      <c r="B63" s="3330"/>
      <c r="C63" s="818" t="s">
        <v>619</v>
      </c>
      <c r="D63" s="818" t="s">
        <v>620</v>
      </c>
      <c r="E63" s="895">
        <v>0.5</v>
      </c>
      <c r="F63" s="882">
        <v>80</v>
      </c>
    </row>
    <row r="64" spans="1:8" s="878" customFormat="1" ht="48">
      <c r="A64" s="882">
        <v>4</v>
      </c>
      <c r="B64" s="3330"/>
      <c r="C64" s="818" t="s">
        <v>621</v>
      </c>
      <c r="D64" s="818" t="s">
        <v>622</v>
      </c>
      <c r="E64" s="895">
        <v>0.4</v>
      </c>
      <c r="F64" s="882">
        <v>60</v>
      </c>
    </row>
    <row r="65" spans="1:6" s="878" customFormat="1" ht="48">
      <c r="A65" s="882">
        <v>5</v>
      </c>
      <c r="B65" s="3330"/>
      <c r="C65" s="818" t="s">
        <v>623</v>
      </c>
      <c r="D65" s="818" t="s">
        <v>624</v>
      </c>
      <c r="E65" s="895">
        <v>0.2</v>
      </c>
      <c r="F65" s="882">
        <v>30</v>
      </c>
    </row>
    <row r="66" spans="1:6" s="878" customFormat="1" ht="48">
      <c r="A66" s="882">
        <v>6</v>
      </c>
      <c r="B66" s="3330"/>
      <c r="C66" s="818" t="s">
        <v>625</v>
      </c>
      <c r="D66" s="818" t="s">
        <v>626</v>
      </c>
      <c r="E66" s="895">
        <v>0.3</v>
      </c>
      <c r="F66" s="882">
        <v>50</v>
      </c>
    </row>
    <row r="67" spans="1:6" s="878" customFormat="1" ht="48">
      <c r="A67" s="882">
        <v>7</v>
      </c>
      <c r="B67" s="3330"/>
      <c r="C67" s="818" t="s">
        <v>627</v>
      </c>
      <c r="D67" s="818" t="s">
        <v>628</v>
      </c>
      <c r="E67" s="895">
        <v>0.2</v>
      </c>
      <c r="F67" s="882">
        <v>30</v>
      </c>
    </row>
    <row r="68" spans="1:6" s="878" customFormat="1" ht="48">
      <c r="A68" s="882">
        <v>8</v>
      </c>
      <c r="B68" s="3330"/>
      <c r="C68" s="818" t="s">
        <v>629</v>
      </c>
      <c r="D68" s="818" t="s">
        <v>630</v>
      </c>
      <c r="E68" s="895">
        <v>0.2</v>
      </c>
      <c r="F68" s="882">
        <v>30</v>
      </c>
    </row>
    <row r="69" spans="1:6" s="878" customFormat="1" ht="48">
      <c r="A69" s="882">
        <v>9</v>
      </c>
      <c r="B69" s="3330"/>
      <c r="C69" s="818" t="s">
        <v>631</v>
      </c>
      <c r="D69" s="818" t="s">
        <v>632</v>
      </c>
      <c r="E69" s="895">
        <v>0.2</v>
      </c>
      <c r="F69" s="882">
        <v>30</v>
      </c>
    </row>
    <row r="70" spans="1:6" s="878" customFormat="1" ht="60">
      <c r="A70" s="882">
        <v>10</v>
      </c>
      <c r="B70" s="3330"/>
      <c r="C70" s="818" t="s">
        <v>633</v>
      </c>
      <c r="D70" s="818" t="s">
        <v>634</v>
      </c>
      <c r="E70" s="895">
        <v>0.2</v>
      </c>
      <c r="F70" s="882">
        <v>30</v>
      </c>
    </row>
    <row r="71" spans="1:6" s="878" customFormat="1" ht="60">
      <c r="A71" s="882">
        <v>11</v>
      </c>
      <c r="B71" s="3330"/>
      <c r="C71" s="818" t="s">
        <v>635</v>
      </c>
      <c r="D71" s="818" t="s">
        <v>636</v>
      </c>
      <c r="E71" s="895">
        <v>0.2</v>
      </c>
      <c r="F71" s="882">
        <v>30</v>
      </c>
    </row>
    <row r="72" spans="1:6" s="878" customFormat="1" ht="36">
      <c r="A72" s="882">
        <v>12</v>
      </c>
      <c r="B72" s="3330"/>
      <c r="C72" s="818" t="s">
        <v>637</v>
      </c>
      <c r="D72" s="818" t="s">
        <v>638</v>
      </c>
      <c r="E72" s="895">
        <v>0.5</v>
      </c>
      <c r="F72" s="882">
        <v>80</v>
      </c>
    </row>
    <row r="73" spans="1:6" s="878" customFormat="1" ht="36">
      <c r="A73" s="882">
        <v>13</v>
      </c>
      <c r="B73" s="3330"/>
      <c r="C73" s="818" t="s">
        <v>639</v>
      </c>
      <c r="D73" s="818" t="s">
        <v>640</v>
      </c>
      <c r="E73" s="895">
        <v>0.4</v>
      </c>
      <c r="F73" s="882">
        <v>60</v>
      </c>
    </row>
    <row r="74" spans="1:6" s="878" customFormat="1" ht="36">
      <c r="A74" s="882">
        <v>14</v>
      </c>
      <c r="B74" s="3330"/>
      <c r="C74" s="818" t="s">
        <v>641</v>
      </c>
      <c r="D74" s="818" t="s">
        <v>642</v>
      </c>
      <c r="E74" s="895">
        <v>0.2</v>
      </c>
      <c r="F74" s="882">
        <v>30</v>
      </c>
    </row>
    <row r="75" spans="1:6" s="878" customFormat="1" ht="36">
      <c r="A75" s="882">
        <v>15</v>
      </c>
      <c r="B75" s="3330"/>
      <c r="C75" s="818" t="s">
        <v>643</v>
      </c>
      <c r="D75" s="818" t="s">
        <v>644</v>
      </c>
      <c r="E75" s="895">
        <v>0.2</v>
      </c>
      <c r="F75" s="882">
        <v>30</v>
      </c>
    </row>
    <row r="76" spans="1:6" s="878" customFormat="1" ht="36">
      <c r="A76" s="882">
        <v>16</v>
      </c>
      <c r="B76" s="3330" t="s">
        <v>645</v>
      </c>
      <c r="C76" s="818" t="s">
        <v>646</v>
      </c>
      <c r="D76" s="818" t="s">
        <v>647</v>
      </c>
      <c r="E76" s="895">
        <v>0.5</v>
      </c>
      <c r="F76" s="882">
        <v>80</v>
      </c>
    </row>
    <row r="77" spans="1:6" s="878" customFormat="1" ht="36">
      <c r="A77" s="882">
        <v>17</v>
      </c>
      <c r="B77" s="3330"/>
      <c r="C77" s="818" t="s">
        <v>648</v>
      </c>
      <c r="D77" s="818" t="s">
        <v>649</v>
      </c>
      <c r="E77" s="895">
        <v>0.5</v>
      </c>
      <c r="F77" s="882">
        <v>80</v>
      </c>
    </row>
    <row r="78" spans="1:6" s="878" customFormat="1" ht="36">
      <c r="A78" s="882">
        <v>18</v>
      </c>
      <c r="B78" s="3330"/>
      <c r="C78" s="818" t="s">
        <v>650</v>
      </c>
      <c r="D78" s="818" t="s">
        <v>651</v>
      </c>
      <c r="E78" s="895">
        <v>0.2</v>
      </c>
      <c r="F78" s="882">
        <v>30</v>
      </c>
    </row>
    <row r="79" spans="1:6" s="878" customFormat="1" ht="36">
      <c r="A79" s="882">
        <v>19</v>
      </c>
      <c r="B79" s="3330"/>
      <c r="C79" s="818" t="s">
        <v>652</v>
      </c>
      <c r="D79" s="818" t="s">
        <v>653</v>
      </c>
      <c r="E79" s="895">
        <v>0.5</v>
      </c>
      <c r="F79" s="882">
        <v>80</v>
      </c>
    </row>
    <row r="80" spans="1:6" s="878" customFormat="1" ht="36">
      <c r="A80" s="882">
        <v>20</v>
      </c>
      <c r="B80" s="3330"/>
      <c r="C80" s="818" t="s">
        <v>654</v>
      </c>
      <c r="D80" s="818" t="s">
        <v>655</v>
      </c>
      <c r="E80" s="895">
        <v>0.2</v>
      </c>
      <c r="F80" s="882">
        <v>30</v>
      </c>
    </row>
    <row r="81" spans="1:6" s="878" customFormat="1" ht="36">
      <c r="A81" s="882">
        <v>21</v>
      </c>
      <c r="B81" s="3330"/>
      <c r="C81" s="818" t="s">
        <v>656</v>
      </c>
      <c r="D81" s="818" t="s">
        <v>657</v>
      </c>
      <c r="E81" s="895">
        <v>0.2</v>
      </c>
      <c r="F81" s="882">
        <v>30</v>
      </c>
    </row>
    <row r="82" spans="1:6" s="878" customFormat="1" ht="60">
      <c r="A82" s="882">
        <v>22</v>
      </c>
      <c r="B82" s="3330"/>
      <c r="C82" s="818" t="s">
        <v>658</v>
      </c>
      <c r="D82" s="818" t="s">
        <v>659</v>
      </c>
      <c r="E82" s="895">
        <v>0.2</v>
      </c>
      <c r="F82" s="882">
        <v>30</v>
      </c>
    </row>
    <row r="83" spans="1:6" s="878" customFormat="1" ht="60">
      <c r="A83" s="882">
        <v>23</v>
      </c>
      <c r="B83" s="3330"/>
      <c r="C83" s="818" t="s">
        <v>660</v>
      </c>
      <c r="D83" s="818" t="s">
        <v>661</v>
      </c>
      <c r="E83" s="895">
        <v>0.2</v>
      </c>
      <c r="F83" s="882">
        <v>30</v>
      </c>
    </row>
    <row r="84" spans="1:6" s="878" customFormat="1" ht="48">
      <c r="A84" s="882">
        <v>24</v>
      </c>
      <c r="B84" s="3330"/>
      <c r="C84" s="818" t="s">
        <v>662</v>
      </c>
      <c r="D84" s="818" t="s">
        <v>663</v>
      </c>
      <c r="E84" s="895">
        <v>0.2</v>
      </c>
      <c r="F84" s="882">
        <v>30</v>
      </c>
    </row>
    <row r="85" spans="1:6" s="878" customFormat="1" ht="36">
      <c r="A85" s="882">
        <v>25</v>
      </c>
      <c r="B85" s="3330"/>
      <c r="C85" s="818" t="s">
        <v>664</v>
      </c>
      <c r="D85" s="818" t="s">
        <v>665</v>
      </c>
      <c r="E85" s="895">
        <v>0.5</v>
      </c>
      <c r="F85" s="882">
        <v>80</v>
      </c>
    </row>
    <row r="86" spans="1:6" s="878" customFormat="1" ht="36">
      <c r="A86" s="882">
        <v>26</v>
      </c>
      <c r="B86" s="3330"/>
      <c r="C86" s="818" t="s">
        <v>666</v>
      </c>
      <c r="D86" s="818" t="s">
        <v>667</v>
      </c>
      <c r="E86" s="895">
        <v>0.2</v>
      </c>
      <c r="F86" s="882">
        <v>30</v>
      </c>
    </row>
    <row r="87" spans="1:6" s="878" customFormat="1" ht="36">
      <c r="A87" s="882">
        <v>27</v>
      </c>
      <c r="B87" s="3330"/>
      <c r="C87" s="818" t="s">
        <v>668</v>
      </c>
      <c r="D87" s="818" t="s">
        <v>669</v>
      </c>
      <c r="E87" s="895">
        <v>0.2</v>
      </c>
      <c r="F87" s="882">
        <v>30</v>
      </c>
    </row>
    <row r="88" spans="1:6" s="878" customFormat="1" ht="36">
      <c r="A88" s="882">
        <v>28</v>
      </c>
      <c r="B88" s="3330"/>
      <c r="C88" s="818" t="s">
        <v>670</v>
      </c>
      <c r="D88" s="818" t="s">
        <v>671</v>
      </c>
      <c r="E88" s="895">
        <v>0.2</v>
      </c>
      <c r="F88" s="882">
        <v>30</v>
      </c>
    </row>
    <row r="89" spans="1:6" s="878" customFormat="1" ht="36">
      <c r="A89" s="882">
        <v>29</v>
      </c>
      <c r="B89" s="3330"/>
      <c r="C89" s="818" t="s">
        <v>672</v>
      </c>
      <c r="D89" s="818" t="s">
        <v>673</v>
      </c>
      <c r="E89" s="895">
        <v>0.2</v>
      </c>
      <c r="F89" s="882">
        <v>30</v>
      </c>
    </row>
    <row r="90" spans="1:6" s="878" customFormat="1" ht="36">
      <c r="A90" s="882">
        <v>30</v>
      </c>
      <c r="B90" s="3330"/>
      <c r="C90" s="818" t="s">
        <v>674</v>
      </c>
      <c r="D90" s="818" t="s">
        <v>675</v>
      </c>
      <c r="E90" s="895">
        <v>0.2</v>
      </c>
      <c r="F90" s="882">
        <v>30</v>
      </c>
    </row>
    <row r="91" spans="1:6" s="878" customFormat="1" ht="48">
      <c r="A91" s="882">
        <v>31</v>
      </c>
      <c r="B91" s="3330"/>
      <c r="C91" s="818" t="s">
        <v>676</v>
      </c>
      <c r="D91" s="818" t="s">
        <v>677</v>
      </c>
      <c r="E91" s="895">
        <v>0.2</v>
      </c>
      <c r="F91" s="882">
        <v>30</v>
      </c>
    </row>
    <row r="92" spans="1:6" s="878" customFormat="1" ht="36">
      <c r="A92" s="882">
        <v>32</v>
      </c>
      <c r="B92" s="3330" t="s">
        <v>678</v>
      </c>
      <c r="C92" s="882" t="s">
        <v>679</v>
      </c>
      <c r="D92" s="818" t="s">
        <v>680</v>
      </c>
      <c r="E92" s="895">
        <v>0.2</v>
      </c>
      <c r="F92" s="882">
        <v>30</v>
      </c>
    </row>
    <row r="93" spans="1:6" s="878" customFormat="1" ht="36">
      <c r="A93" s="882">
        <v>33</v>
      </c>
      <c r="B93" s="3330"/>
      <c r="C93" s="882" t="s">
        <v>681</v>
      </c>
      <c r="D93" s="818" t="s">
        <v>682</v>
      </c>
      <c r="E93" s="895">
        <v>0.2</v>
      </c>
      <c r="F93" s="882">
        <v>30</v>
      </c>
    </row>
    <row r="94" spans="1:6" s="878" customFormat="1" ht="60">
      <c r="A94" s="882">
        <v>34</v>
      </c>
      <c r="B94" s="3330"/>
      <c r="C94" s="882" t="s">
        <v>683</v>
      </c>
      <c r="D94" s="818" t="s">
        <v>684</v>
      </c>
      <c r="E94" s="895">
        <v>0.2</v>
      </c>
      <c r="F94" s="882">
        <v>30</v>
      </c>
    </row>
    <row r="95" spans="1:6" s="878" customFormat="1" ht="48">
      <c r="A95" s="882">
        <v>35</v>
      </c>
      <c r="B95" s="3330"/>
      <c r="C95" s="882" t="s">
        <v>685</v>
      </c>
      <c r="D95" s="818" t="s">
        <v>686</v>
      </c>
      <c r="E95" s="895">
        <v>0.2</v>
      </c>
      <c r="F95" s="882">
        <v>30</v>
      </c>
    </row>
    <row r="96" spans="1:6" s="878" customFormat="1" ht="72">
      <c r="A96" s="882">
        <v>36</v>
      </c>
      <c r="B96" s="3330"/>
      <c r="C96" s="818" t="s">
        <v>687</v>
      </c>
      <c r="D96" s="818" t="s">
        <v>688</v>
      </c>
      <c r="E96" s="895">
        <v>0.2</v>
      </c>
      <c r="F96" s="882">
        <v>30</v>
      </c>
    </row>
    <row r="97" spans="1:6" s="878" customFormat="1" ht="36">
      <c r="A97" s="882">
        <v>37</v>
      </c>
      <c r="B97" s="3330"/>
      <c r="C97" s="882" t="s">
        <v>689</v>
      </c>
      <c r="D97" s="818" t="s">
        <v>690</v>
      </c>
      <c r="E97" s="895">
        <v>0.2</v>
      </c>
      <c r="F97" s="882">
        <v>30</v>
      </c>
    </row>
    <row r="98" spans="1:6" s="878" customFormat="1" ht="36">
      <c r="A98" s="882">
        <v>38</v>
      </c>
      <c r="B98" s="3330"/>
      <c r="C98" s="882" t="s">
        <v>691</v>
      </c>
      <c r="D98" s="818" t="s">
        <v>692</v>
      </c>
      <c r="E98" s="895">
        <v>0.2</v>
      </c>
      <c r="F98" s="882">
        <v>30</v>
      </c>
    </row>
    <row r="99" spans="1:6" s="878" customFormat="1" ht="36">
      <c r="A99" s="882">
        <v>39</v>
      </c>
      <c r="B99" s="3330" t="s">
        <v>693</v>
      </c>
      <c r="C99" s="882" t="s">
        <v>694</v>
      </c>
      <c r="D99" s="818" t="s">
        <v>695</v>
      </c>
      <c r="E99" s="895">
        <v>0.3</v>
      </c>
      <c r="F99" s="882">
        <v>50</v>
      </c>
    </row>
    <row r="100" spans="1:6" s="878" customFormat="1" ht="36">
      <c r="A100" s="882">
        <v>40</v>
      </c>
      <c r="B100" s="3330"/>
      <c r="C100" s="882" t="s">
        <v>696</v>
      </c>
      <c r="D100" s="818" t="s">
        <v>697</v>
      </c>
      <c r="E100" s="895">
        <v>0.2</v>
      </c>
      <c r="F100" s="882">
        <v>30</v>
      </c>
    </row>
    <row r="101" spans="1:6" s="878" customFormat="1" ht="36">
      <c r="A101" s="882">
        <v>41</v>
      </c>
      <c r="B101" s="333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30" t="s">
        <v>708</v>
      </c>
      <c r="C105" s="882" t="s">
        <v>709</v>
      </c>
      <c r="D105" s="818" t="s">
        <v>710</v>
      </c>
      <c r="E105" s="895">
        <v>0.2</v>
      </c>
      <c r="F105" s="882">
        <v>30</v>
      </c>
    </row>
    <row r="106" spans="1:6" s="878" customFormat="1" ht="48">
      <c r="A106" s="882">
        <v>46</v>
      </c>
      <c r="B106" s="3330"/>
      <c r="C106" s="882" t="s">
        <v>711</v>
      </c>
      <c r="D106" s="818" t="s">
        <v>712</v>
      </c>
      <c r="E106" s="895">
        <v>0.2</v>
      </c>
      <c r="F106" s="882">
        <v>30</v>
      </c>
    </row>
    <row r="107" spans="1:6" s="878" customFormat="1" ht="36">
      <c r="A107" s="882">
        <v>47</v>
      </c>
      <c r="B107" s="3330" t="s">
        <v>713</v>
      </c>
      <c r="C107" s="882" t="s">
        <v>714</v>
      </c>
      <c r="D107" s="818" t="s">
        <v>715</v>
      </c>
      <c r="E107" s="895">
        <v>0.3</v>
      </c>
      <c r="F107" s="882">
        <v>50</v>
      </c>
    </row>
    <row r="108" spans="1:6" s="878" customFormat="1" ht="48">
      <c r="A108" s="882">
        <v>48</v>
      </c>
      <c r="B108" s="333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30" t="s">
        <v>724</v>
      </c>
      <c r="C111" s="882" t="s">
        <v>725</v>
      </c>
      <c r="D111" s="818" t="s">
        <v>726</v>
      </c>
      <c r="E111" s="895">
        <v>0.2</v>
      </c>
      <c r="F111" s="882">
        <v>30</v>
      </c>
    </row>
    <row r="112" spans="1:6" s="878" customFormat="1" ht="36">
      <c r="A112" s="882">
        <v>52</v>
      </c>
      <c r="B112" s="3330"/>
      <c r="C112" s="882" t="s">
        <v>727</v>
      </c>
      <c r="D112" s="818" t="s">
        <v>728</v>
      </c>
      <c r="E112" s="895">
        <v>0.2</v>
      </c>
      <c r="F112" s="882">
        <v>30</v>
      </c>
    </row>
    <row r="113" spans="1:6" s="878" customFormat="1" ht="36">
      <c r="A113" s="882">
        <v>53</v>
      </c>
      <c r="B113" s="333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30" t="s">
        <v>737</v>
      </c>
      <c r="C116" s="882" t="s">
        <v>738</v>
      </c>
      <c r="D116" s="818" t="s">
        <v>739</v>
      </c>
      <c r="E116" s="895">
        <v>0.2</v>
      </c>
      <c r="F116" s="882">
        <v>30</v>
      </c>
    </row>
    <row r="117" spans="1:6" ht="36">
      <c r="A117" s="882">
        <v>57</v>
      </c>
      <c r="B117" s="333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3000</v>
      </c>
    </row>
    <row r="2" spans="1:5" ht="15.6">
      <c r="A2" s="2900" t="s">
        <v>2992</v>
      </c>
      <c r="B2" s="2901" t="e">
        <f ca="1">SUMIF(B6:B13,"&lt;&gt;#ref!",B6:B13)</f>
        <v>#DIV/0!</v>
      </c>
      <c r="C2" s="2900" t="s">
        <v>2993</v>
      </c>
      <c r="D2" s="2900" t="s">
        <v>2994</v>
      </c>
      <c r="E2" s="2901">
        <f ca="1">SUMIF(E6:E13,"&lt;&gt;#ref!",E6:E13)</f>
        <v>0</v>
      </c>
    </row>
    <row r="3" spans="1:5" ht="15.6">
      <c r="A3" s="2900" t="s">
        <v>2995</v>
      </c>
      <c r="B3" s="2901" t="e">
        <f ca="1">ROUND(B2*10000/E2,0)</f>
        <v>#DIV/0!</v>
      </c>
      <c r="C3" s="2900" t="s">
        <v>3001</v>
      </c>
      <c r="D3" s="2902"/>
      <c r="E3" s="2902"/>
    </row>
    <row r="4" spans="1:5" ht="15.6">
      <c r="A4" s="2903"/>
      <c r="B4" s="2902"/>
      <c r="C4" s="2902"/>
      <c r="D4" s="2902"/>
      <c r="E4" s="2902"/>
    </row>
    <row r="5" spans="1:5" ht="31.2">
      <c r="A5" s="2904" t="s">
        <v>2996</v>
      </c>
      <c r="B5" s="2900" t="s">
        <v>2997</v>
      </c>
      <c r="C5" s="2901"/>
      <c r="D5" s="2902"/>
      <c r="E5" s="2900" t="s">
        <v>2998</v>
      </c>
    </row>
    <row r="6" spans="1:5" ht="15.6">
      <c r="A6" s="2905" t="s">
        <v>2999</v>
      </c>
      <c r="B6" s="2901" t="e">
        <f ca="1">SUMIF(INDIRECT("'"&amp;A6&amp;"'"&amp;"!A:A"),"总价",INDIRECT("'"&amp;A6&amp;"'"&amp;"!B:B"))</f>
        <v>#DIV/0!</v>
      </c>
      <c r="C6" s="2900" t="s">
        <v>2993</v>
      </c>
      <c r="D6" s="2902"/>
      <c r="E6" s="2576">
        <f ca="1">SUMIF(INDIRECT("'"&amp;A6&amp;"'"&amp;"!C:C"),"建筑面积",INDIRECT("'"&amp;A6&amp;"'"&amp;"!D:D"))</f>
        <v>0</v>
      </c>
    </row>
    <row r="7" spans="1:5" ht="15.6">
      <c r="A7" s="2905"/>
      <c r="B7" s="2901" t="e">
        <f ca="1">SUMIF(INDIRECT("'"&amp;A7&amp;"'"&amp;"!A:A"),"总价",INDIRECT("'"&amp;A7&amp;"'"&amp;"!B:B"))</f>
        <v>#REF!</v>
      </c>
      <c r="C7" s="2900" t="s">
        <v>2993</v>
      </c>
      <c r="D7" s="2902"/>
      <c r="E7" s="2576" t="e">
        <f t="shared" ref="E7:E13" ca="1" si="0">SUMIF(INDIRECT("'"&amp;A7&amp;"'"&amp;"!C:C"),"建筑面积",INDIRECT("'"&amp;A7&amp;"'"&amp;"!D:D"))</f>
        <v>#REF!</v>
      </c>
    </row>
    <row r="8" spans="1:5" ht="15.6">
      <c r="A8" s="2905"/>
      <c r="B8" s="2901" t="e">
        <f t="shared" ref="B8:B13" ca="1" si="1">SUMIF(INDIRECT("'"&amp;A8&amp;"'"&amp;"!A:A"),"总价",INDIRECT("'"&amp;A8&amp;"'"&amp;"!B:B"))</f>
        <v>#REF!</v>
      </c>
      <c r="C8" s="2900" t="s">
        <v>2993</v>
      </c>
      <c r="D8" s="2902"/>
      <c r="E8" s="2576" t="e">
        <f t="shared" ca="1" si="0"/>
        <v>#REF!</v>
      </c>
    </row>
    <row r="9" spans="1:5" ht="15.6">
      <c r="A9" s="2905"/>
      <c r="B9" s="2901" t="e">
        <f t="shared" ca="1" si="1"/>
        <v>#REF!</v>
      </c>
      <c r="C9" s="2900" t="s">
        <v>2993</v>
      </c>
      <c r="D9" s="2902"/>
      <c r="E9" s="2576" t="e">
        <f t="shared" ca="1" si="0"/>
        <v>#REF!</v>
      </c>
    </row>
    <row r="10" spans="1:5" ht="15.6">
      <c r="A10" s="2905"/>
      <c r="B10" s="2901" t="e">
        <f t="shared" ca="1" si="1"/>
        <v>#REF!</v>
      </c>
      <c r="C10" s="2900" t="s">
        <v>2993</v>
      </c>
      <c r="D10" s="2902"/>
      <c r="E10" s="2576" t="e">
        <f t="shared" ca="1" si="0"/>
        <v>#REF!</v>
      </c>
    </row>
    <row r="11" spans="1:5" ht="15.6">
      <c r="A11" s="2905"/>
      <c r="B11" s="2901" t="e">
        <f t="shared" ca="1" si="1"/>
        <v>#REF!</v>
      </c>
      <c r="C11" s="2900" t="s">
        <v>2993</v>
      </c>
      <c r="D11" s="2902"/>
      <c r="E11" s="2576" t="e">
        <f t="shared" ca="1" si="0"/>
        <v>#REF!</v>
      </c>
    </row>
    <row r="12" spans="1:5" ht="15.6">
      <c r="A12" s="2905"/>
      <c r="B12" s="2901" t="e">
        <f t="shared" ca="1" si="1"/>
        <v>#REF!</v>
      </c>
      <c r="C12" s="2900" t="s">
        <v>2993</v>
      </c>
      <c r="D12" s="2902"/>
      <c r="E12" s="2576" t="e">
        <f t="shared" ca="1" si="0"/>
        <v>#REF!</v>
      </c>
    </row>
    <row r="13" spans="1:5" ht="15.6">
      <c r="A13" s="2905"/>
      <c r="B13" s="2901" t="e">
        <f t="shared" ca="1" si="1"/>
        <v>#REF!</v>
      </c>
      <c r="C13" s="2900" t="s">
        <v>2993</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14" sqref="I6:I14"/>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36" t="s">
        <v>1146</v>
      </c>
      <c r="C1" s="3336"/>
      <c r="D1" s="3336"/>
      <c r="E1" s="3336"/>
      <c r="F1" s="3336"/>
      <c r="G1" s="3332" t="s">
        <v>1147</v>
      </c>
      <c r="H1" s="3332"/>
      <c r="I1" s="3332"/>
      <c r="J1" s="3332"/>
      <c r="K1" s="3332"/>
      <c r="L1" s="3332"/>
      <c r="N1" s="3332" t="s">
        <v>1148</v>
      </c>
      <c r="O1" s="3332"/>
      <c r="P1" s="3332"/>
      <c r="Q1" s="3332"/>
      <c r="R1" s="1446"/>
      <c r="S1" s="3332" t="s">
        <v>1149</v>
      </c>
      <c r="T1" s="3332"/>
      <c r="U1" s="3332"/>
      <c r="V1" s="3332"/>
      <c r="X1" s="3331" t="s">
        <v>1150</v>
      </c>
      <c r="Y1" s="3332"/>
      <c r="Z1" s="3332"/>
      <c r="AA1" s="3332"/>
      <c r="AB1" s="3332"/>
      <c r="AD1" s="3331" t="s">
        <v>1151</v>
      </c>
      <c r="AE1" s="3332"/>
      <c r="AF1" s="3332"/>
      <c r="AG1" s="3332"/>
      <c r="AH1" s="3332"/>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3035</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3049</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3036</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4">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4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3031</v>
      </c>
      <c r="B11" s="1469">
        <v>439</v>
      </c>
      <c r="C11" s="1469">
        <v>327</v>
      </c>
      <c r="D11" s="1469">
        <f>C11</f>
        <v>327</v>
      </c>
      <c r="E11" s="1469">
        <v>627</v>
      </c>
      <c r="F11" s="1470">
        <v>283</v>
      </c>
      <c r="G11" s="333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3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4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3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3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3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33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3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4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33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3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3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33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33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3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3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33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3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3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33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3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3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33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3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3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33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3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3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33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3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3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33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3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3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33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3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3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33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3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34">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335">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33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3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34">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335">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43" t="s">
        <v>3003</v>
      </c>
      <c r="D1" s="3344"/>
      <c r="E1" s="3344"/>
      <c r="F1" s="3344"/>
      <c r="G1" s="3344"/>
      <c r="H1" s="3344"/>
      <c r="I1" s="3344"/>
      <c r="J1" s="3344"/>
      <c r="K1" s="3344"/>
      <c r="L1" s="3344"/>
      <c r="M1" s="3344"/>
      <c r="N1" s="3344"/>
      <c r="O1" s="3344"/>
      <c r="P1" s="3344"/>
      <c r="Q1" s="3344"/>
      <c r="R1" s="3344"/>
      <c r="S1" s="334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1"/>
      <c r="F19" s="1791"/>
      <c r="G19" s="1791"/>
      <c r="H19" s="1280"/>
      <c r="I19" s="168"/>
      <c r="J19" s="168"/>
      <c r="K19" s="168"/>
      <c r="L19" s="168"/>
      <c r="M19" s="168"/>
      <c r="N19" s="168"/>
      <c r="O19" s="168"/>
      <c r="P19" s="168"/>
      <c r="Q19" s="168"/>
      <c r="R19" s="788"/>
      <c r="S19" s="138"/>
    </row>
    <row r="20" spans="1:45" ht="16.2" thickBot="1">
      <c r="A20" s="715" t="s">
        <v>3015</v>
      </c>
      <c r="B20" s="338" t="e">
        <f ca="1">IF(D20="——",S22,S22-F20)</f>
        <v>#REF!</v>
      </c>
      <c r="C20" s="168"/>
      <c r="D20" s="2909" t="s">
        <v>3016</v>
      </c>
      <c r="E20" s="1792"/>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12" t="s">
        <v>33</v>
      </c>
      <c r="D22" s="3113"/>
      <c r="E22" s="3113"/>
      <c r="F22" s="3113"/>
      <c r="G22" s="3113"/>
      <c r="H22" s="3113"/>
      <c r="I22" s="3113"/>
      <c r="J22" s="3113"/>
      <c r="K22" s="3113"/>
      <c r="L22" s="3113"/>
      <c r="M22" s="3113"/>
      <c r="N22" s="3113"/>
      <c r="O22" s="3113"/>
      <c r="P22" s="3113"/>
      <c r="Q22" s="334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74646</v>
      </c>
      <c r="C2" s="2" t="s">
        <v>133</v>
      </c>
      <c r="D2" s="243"/>
      <c r="E2" s="243"/>
      <c r="F2" s="243"/>
      <c r="G2" s="243"/>
    </row>
    <row r="3" spans="1:7" s="244" customFormat="1" ht="18" customHeight="1" thickBot="1">
      <c r="A3" s="247" t="s">
        <v>85</v>
      </c>
      <c r="B3" s="248">
        <f ca="1">ROUND(B2*10000/'数据-汇总表'!E3,0)</f>
        <v>6663</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245</v>
      </c>
      <c r="D9" s="1032">
        <f>'数据-汇总表'!E5</f>
        <v>15336.43</v>
      </c>
      <c r="E9" s="269">
        <f>'数据-取费表'!B27</f>
        <v>160</v>
      </c>
      <c r="F9" s="265"/>
      <c r="G9" s="270"/>
    </row>
    <row r="10" spans="1:7" s="258" customFormat="1" ht="13.5" customHeight="1">
      <c r="A10" s="950" t="s">
        <v>801</v>
      </c>
      <c r="B10" s="268" t="s">
        <v>94</v>
      </c>
      <c r="C10" s="269">
        <f>ROUND(D10*E10/10000,0)</f>
        <v>1934</v>
      </c>
      <c r="D10" s="1032">
        <f>'数据-汇总表'!E6</f>
        <v>96697.020000000019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2241</v>
      </c>
      <c r="D19" s="1036">
        <f>'数据-汇总表'!E3</f>
        <v>112033.45000000001</v>
      </c>
      <c r="E19" s="255">
        <f>'数据-取费表'!B31</f>
        <v>200</v>
      </c>
      <c r="F19" s="275"/>
      <c r="G19" s="1" t="s">
        <v>1071</v>
      </c>
    </row>
    <row r="20" spans="1:7" s="258" customFormat="1" ht="13.5" customHeight="1">
      <c r="A20" s="948" t="s">
        <v>1054</v>
      </c>
      <c r="B20" s="254" t="s">
        <v>104</v>
      </c>
      <c r="C20" s="276">
        <f>ROUND((C5+C19)*F20,0)</f>
        <v>457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3262</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2914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317</v>
      </c>
      <c r="D24" s="282"/>
      <c r="E24" s="282"/>
      <c r="F24" s="283"/>
      <c r="G24" s="284" t="s">
        <v>109</v>
      </c>
    </row>
    <row r="25" spans="1:7" s="258" customFormat="1" ht="24">
      <c r="A25" s="951" t="s">
        <v>793</v>
      </c>
      <c r="B25" s="259" t="s">
        <v>1055</v>
      </c>
      <c r="C25" s="1355">
        <f ca="1">ROUND(IF('数据-取费表'!B22&lt;=1,C20*F22*'数据-取费表'!B23/2,C20*(POWER((1+F22),'数据-取费表'!B23/2)-1)),0)</f>
        <v>31</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6.4">
      <c r="A27" s="948" t="s">
        <v>787</v>
      </c>
      <c r="B27" s="288" t="s">
        <v>112</v>
      </c>
      <c r="C27" s="289">
        <f>C28</f>
        <v>2214</v>
      </c>
      <c r="D27" s="279">
        <f>C29</f>
        <v>1.9E-3</v>
      </c>
      <c r="E27" s="280" t="s">
        <v>126</v>
      </c>
      <c r="F27" s="290">
        <f>'数据-取费表'!Q16</f>
        <v>0.1</v>
      </c>
      <c r="G27" s="291" t="s">
        <v>1066</v>
      </c>
    </row>
    <row r="28" spans="1:7" s="258" customFormat="1" ht="13.5" customHeight="1">
      <c r="A28" s="951" t="s">
        <v>794</v>
      </c>
      <c r="B28" s="292" t="s">
        <v>1059</v>
      </c>
      <c r="C28" s="293">
        <f>ROUND((C5+C19+C20)*F27*'数据-取费表'!B21/'数据-取费表'!B20,0)</f>
        <v>2214</v>
      </c>
      <c r="D28" s="279"/>
      <c r="E28" s="280"/>
      <c r="F28" s="290"/>
      <c r="G28" s="291"/>
    </row>
    <row r="29" spans="1:7" s="258" customFormat="1" ht="13.5" customHeight="1">
      <c r="A29" s="951" t="s">
        <v>792</v>
      </c>
      <c r="B29" s="292" t="s">
        <v>1060</v>
      </c>
      <c r="C29" s="282">
        <f>ROUND(C21*F27*'数据-取费表'!B21/'数据-取费表'!B20,4)</f>
        <v>1.9E-3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31141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33739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30113</v>
      </c>
      <c r="D34" s="261"/>
      <c r="E34" s="264"/>
      <c r="F34" s="301">
        <f>IF('数据-取费表'!B24=0,1,'数据-取费表'!N16)</f>
        <v>0.95</v>
      </c>
      <c r="G34" s="263" t="s">
        <v>116</v>
      </c>
    </row>
    <row r="35" spans="1:7" ht="13.5" customHeight="1">
      <c r="A35" s="951" t="s">
        <v>796</v>
      </c>
      <c r="B35" s="259" t="s">
        <v>60</v>
      </c>
      <c r="C35" s="264">
        <f>ROUND(C34*F35,0)</f>
        <v>903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142</v>
      </c>
      <c r="D36" s="264"/>
      <c r="E36" s="264"/>
      <c r="F36" s="303">
        <f>'数据-取费表'!B34</f>
        <v>0.03</v>
      </c>
      <c r="G36" s="304" t="s">
        <v>62</v>
      </c>
    </row>
    <row r="37" spans="1:7" s="302" customFormat="1" ht="13.5" customHeight="1">
      <c r="A37" s="951" t="s">
        <v>798</v>
      </c>
      <c r="B37" s="259" t="s">
        <v>118</v>
      </c>
      <c r="C37" s="293">
        <f>ROUND(E37*D37*F34/10000,0)</f>
        <v>2129</v>
      </c>
      <c r="D37" s="261">
        <f>'数据-汇总表'!E3</f>
        <v>112033.45000000001</v>
      </c>
      <c r="E37" s="293">
        <f>'数据-取费表'!B35</f>
        <v>200</v>
      </c>
      <c r="F37" s="303"/>
      <c r="G37" s="305" t="s">
        <v>119</v>
      </c>
    </row>
    <row r="38" spans="1:7" ht="13.5" customHeight="1">
      <c r="A38" s="951" t="s">
        <v>799</v>
      </c>
      <c r="B38" s="259" t="s">
        <v>63</v>
      </c>
      <c r="C38" s="264">
        <f>ROUND(C34*F38,0)</f>
        <v>452</v>
      </c>
      <c r="D38" s="264"/>
      <c r="E38" s="264"/>
      <c r="F38" s="303">
        <f>'数据-取费表'!B36</f>
        <v>1.4999999999999999E-2</v>
      </c>
      <c r="G38" s="263" t="s">
        <v>117</v>
      </c>
    </row>
    <row r="39" spans="1:7" s="258" customFormat="1" ht="13.5" customHeight="1">
      <c r="A39" s="948" t="s">
        <v>783</v>
      </c>
      <c r="B39" s="254" t="s">
        <v>104</v>
      </c>
      <c r="C39" s="276">
        <f>ROUND(C33*F20,0)</f>
        <v>675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2353</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2307</v>
      </c>
      <c r="D42" s="282"/>
      <c r="E42" s="282"/>
      <c r="F42" s="283"/>
      <c r="G42" s="3197" t="s">
        <v>121</v>
      </c>
    </row>
    <row r="43" spans="1:7" ht="13.5" customHeight="1">
      <c r="A43" s="951" t="s">
        <v>792</v>
      </c>
      <c r="B43" s="259" t="s">
        <v>1061</v>
      </c>
      <c r="C43" s="282">
        <f ca="1">ROUND(IF('数据-取费表'!B22&lt;=1,C39*F22*'数据-取费表'!B21/2,C39*(POWER((1+F22),'数据-取费表'!B21/2)-1)),0)</f>
        <v>46</v>
      </c>
      <c r="D43" s="282"/>
      <c r="E43" s="282"/>
      <c r="F43" s="283"/>
      <c r="G43" s="3198"/>
    </row>
    <row r="44" spans="1:7" ht="13.5" customHeight="1">
      <c r="A44" s="951" t="s">
        <v>793</v>
      </c>
      <c r="B44" s="259" t="s">
        <v>1063</v>
      </c>
      <c r="C44" s="282">
        <f ca="1">ROUND(IF('数据-取费表'!B22&lt;=1,C40*F22*'数据-取费表'!B21/2,C40*(POWER((1+F22),'数据-取费表'!B21/2)-1)),4)</f>
        <v>1.4E-3</v>
      </c>
      <c r="D44" s="282"/>
      <c r="E44" s="282"/>
      <c r="F44" s="283"/>
      <c r="G44" s="3199"/>
    </row>
    <row r="45" spans="1:7" s="258" customFormat="1" ht="13.5" customHeight="1">
      <c r="A45" s="948" t="s">
        <v>786</v>
      </c>
      <c r="B45" s="288" t="s">
        <v>112</v>
      </c>
      <c r="C45" s="289">
        <f>C46</f>
        <v>3441</v>
      </c>
      <c r="D45" s="279">
        <f>C47</f>
        <v>2E-3</v>
      </c>
      <c r="E45" s="280" t="s">
        <v>129</v>
      </c>
      <c r="F45" s="290"/>
      <c r="G45" s="291" t="s">
        <v>1069</v>
      </c>
    </row>
    <row r="46" spans="1:7" s="258" customFormat="1" ht="13.5" customHeight="1">
      <c r="A46" s="951" t="s">
        <v>794</v>
      </c>
      <c r="B46" s="292" t="s">
        <v>1062</v>
      </c>
      <c r="C46" s="293">
        <f>ROUND((C33+C39)*F27,0)</f>
        <v>3441</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43505</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43505</v>
      </c>
      <c r="D51" s="276"/>
      <c r="E51" s="276"/>
      <c r="F51" s="308"/>
      <c r="G51" s="278" t="s">
        <v>64</v>
      </c>
    </row>
    <row r="52" spans="1:7" s="252" customFormat="1" ht="16.8" thickBot="1">
      <c r="A52" s="309" t="s">
        <v>65</v>
      </c>
      <c r="B52" s="310"/>
      <c r="C52" s="311">
        <f ca="1">C31+C51</f>
        <v>74646</v>
      </c>
      <c r="D52" s="310"/>
      <c r="E52" s="310"/>
      <c r="F52" s="310"/>
      <c r="G52" s="312"/>
    </row>
    <row r="55" spans="1:7" ht="15">
      <c r="B55" s="314" t="s">
        <v>66</v>
      </c>
      <c r="C55" s="315"/>
    </row>
    <row r="56" spans="1:7">
      <c r="B56" s="317" t="s">
        <v>67</v>
      </c>
      <c r="C56" s="318">
        <f ca="1">ROUND(C51/C52,3)</f>
        <v>0.58299999999999996</v>
      </c>
    </row>
    <row r="57" spans="1:7">
      <c r="B57" s="317" t="s">
        <v>68</v>
      </c>
      <c r="C57" s="319">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46" t="s">
        <v>156</v>
      </c>
      <c r="B1" s="3346"/>
      <c r="C1" s="3346"/>
      <c r="D1" s="3346"/>
      <c r="E1" s="3346"/>
      <c r="F1" s="334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47" t="s">
        <v>169</v>
      </c>
      <c r="B2" s="3347"/>
      <c r="C2" s="3347"/>
      <c r="D2" s="3347"/>
      <c r="E2" s="3347"/>
      <c r="F2" s="334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46" t="s">
        <v>868</v>
      </c>
      <c r="B1" s="3346"/>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43616</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1637</v>
      </c>
      <c r="B2" s="3016" t="s">
        <v>1638</v>
      </c>
      <c r="C2" s="3016" t="s">
        <v>1639</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6">
      <c r="A3" s="3017"/>
      <c r="B3" s="3017"/>
      <c r="C3" s="3017"/>
      <c r="D3" s="1044" t="s">
        <v>1634</v>
      </c>
      <c r="E3" s="1044" t="s">
        <v>1640</v>
      </c>
      <c r="F3" s="1044" t="s">
        <v>1634</v>
      </c>
      <c r="G3" s="1044" t="s">
        <v>1635</v>
      </c>
      <c r="H3" s="1044" t="s">
        <v>1634</v>
      </c>
      <c r="I3" s="1044" t="s">
        <v>1635</v>
      </c>
    </row>
    <row r="4" spans="1:9" ht="105">
      <c r="A4" s="1972" t="str">
        <f>项目基本情况!S2</f>
        <v>北京市昌平区北七家镇（未来科技城南区）CP07-0600-0022、0039、0040地块F2公建混合住宅用地（配建人才公共租赁住房）项目出让国有建设用地使用权及在建建筑物房地产</v>
      </c>
      <c r="B4" s="1044">
        <f>项目基本情况!C17</f>
        <v>112033.45000000001</v>
      </c>
      <c r="C4" s="1044">
        <f>项目基本情况!C18</f>
        <v>20133.75</v>
      </c>
      <c r="D4" s="1044">
        <f ca="1">结果表!D118</f>
        <v>196934</v>
      </c>
      <c r="E4" s="1044">
        <f ca="1">结果表!E118</f>
        <v>17578</v>
      </c>
      <c r="F4" s="1044">
        <f ca="1">结果表!F118</f>
        <v>45895</v>
      </c>
      <c r="G4" s="1044">
        <f ca="1">结果表!G118</f>
        <v>4097</v>
      </c>
      <c r="H4" s="1044">
        <f ca="1">结果表!H118</f>
        <v>242829</v>
      </c>
      <c r="I4" s="1044">
        <f ca="1">结果表!I118</f>
        <v>21675</v>
      </c>
    </row>
    <row r="5" spans="1:9" ht="30" customHeight="1">
      <c r="A5" s="3017" t="s">
        <v>1636</v>
      </c>
      <c r="B5" s="3017"/>
      <c r="C5" s="3017"/>
      <c r="D5" s="3018" t="str">
        <f ca="1">结果表!D119</f>
        <v>壹拾玖亿陆仟玖佰叁拾肆万元整</v>
      </c>
      <c r="E5" s="3018"/>
      <c r="F5" s="3018" t="str">
        <f ca="1">结果表!F119</f>
        <v>肆亿伍仟捌佰玖拾伍万元整</v>
      </c>
      <c r="G5" s="3018"/>
      <c r="H5" s="3018" t="str">
        <f ca="1">结果表!H119</f>
        <v>贰拾肆亿贰仟捌佰贰拾玖万元整</v>
      </c>
      <c r="I5" s="3018"/>
    </row>
    <row r="6" spans="1:9" ht="15.6">
      <c r="A6" s="3019" t="str">
        <f>结果表!A120</f>
        <v>估价师知悉的法定优先受偿款</v>
      </c>
      <c r="B6" s="3019"/>
      <c r="C6" s="3019"/>
      <c r="D6" s="3019">
        <f>结果表!D120</f>
        <v>0</v>
      </c>
      <c r="E6" s="3019"/>
      <c r="F6" s="3019"/>
      <c r="G6" s="3019"/>
      <c r="H6" s="3019"/>
      <c r="I6" s="3019"/>
    </row>
    <row r="7" spans="1:9" ht="15">
      <c r="A7" s="3017" t="s">
        <v>1636</v>
      </c>
      <c r="B7" s="3017"/>
      <c r="C7" s="3017"/>
      <c r="D7" s="3020" t="str">
        <f>结果表!D121</f>
        <v>零元整</v>
      </c>
      <c r="E7" s="3021"/>
      <c r="F7" s="3021"/>
      <c r="G7" s="3021"/>
      <c r="H7" s="3021"/>
      <c r="I7" s="3022"/>
    </row>
    <row r="8" spans="1:9" ht="15.6">
      <c r="A8" s="3019" t="str">
        <f>结果表!A122</f>
        <v>房地产抵押价值</v>
      </c>
      <c r="B8" s="3019"/>
      <c r="C8" s="3019"/>
      <c r="D8" s="3019">
        <f ca="1">结果表!D122</f>
        <v>242829</v>
      </c>
      <c r="E8" s="3019"/>
      <c r="F8" s="3019"/>
      <c r="G8" s="3019"/>
      <c r="H8" s="3019"/>
      <c r="I8" s="3019"/>
    </row>
    <row r="9" spans="1:9" ht="15">
      <c r="A9" s="3017" t="s">
        <v>1636</v>
      </c>
      <c r="B9" s="3017"/>
      <c r="C9" s="3017"/>
      <c r="D9" s="3018" t="str">
        <f ca="1">结果表!D123</f>
        <v>贰拾肆亿贰仟捌佰贰拾玖万元整</v>
      </c>
      <c r="E9" s="3018"/>
      <c r="F9" s="3018"/>
      <c r="G9" s="3018"/>
      <c r="H9" s="3018"/>
      <c r="I9" s="3018"/>
    </row>
    <row r="10" spans="1:9" ht="15.6">
      <c r="A10" s="3019" t="str">
        <f>结果表!A124</f>
        <v/>
      </c>
      <c r="B10" s="3019"/>
      <c r="C10" s="3019"/>
      <c r="D10" s="3019" t="str">
        <f>结果表!D124</f>
        <v>——</v>
      </c>
      <c r="E10" s="3019"/>
      <c r="F10" s="3019"/>
      <c r="G10" s="3019"/>
      <c r="H10" s="3019"/>
      <c r="I10" s="3019"/>
    </row>
    <row r="11" spans="1:9" ht="15">
      <c r="A11" s="3017" t="s">
        <v>1636</v>
      </c>
      <c r="B11" s="3017"/>
      <c r="C11" s="3017"/>
      <c r="D11" s="3018" t="e">
        <f>结果表!D125</f>
        <v>#VALUE!</v>
      </c>
      <c r="E11" s="3018"/>
      <c r="F11" s="3018"/>
      <c r="G11" s="3018"/>
      <c r="H11" s="3018"/>
      <c r="I11" s="3018"/>
    </row>
    <row r="12" spans="1:9" ht="15.6">
      <c r="A12" s="3019" t="str">
        <f>结果表!A126</f>
        <v>抵押净值</v>
      </c>
      <c r="B12" s="3019"/>
      <c r="C12" s="3019"/>
      <c r="D12" s="3019">
        <f ca="1">结果表!D126</f>
        <v>224710</v>
      </c>
      <c r="E12" s="3019"/>
      <c r="F12" s="3019"/>
      <c r="G12" s="3019"/>
      <c r="H12" s="3019"/>
      <c r="I12" s="3019"/>
    </row>
    <row r="13" spans="1:9" ht="15.6" thickBot="1">
      <c r="A13" s="3023" t="s">
        <v>1636</v>
      </c>
      <c r="B13" s="3023"/>
      <c r="C13" s="3023"/>
      <c r="D13" s="3024" t="str">
        <f ca="1">结果表!D127</f>
        <v>贰拾贰亿肆仟柒佰壹拾万元整</v>
      </c>
      <c r="E13" s="3024"/>
      <c r="F13" s="3024"/>
      <c r="G13" s="3024"/>
      <c r="H13" s="3024"/>
      <c r="I13" s="3024"/>
    </row>
    <row r="14" spans="1:9" ht="14.4" thickTop="1">
      <c r="A14" s="3025" t="s">
        <v>1641</v>
      </c>
      <c r="B14" s="3025"/>
      <c r="C14" s="3025"/>
      <c r="D14" s="3025"/>
      <c r="E14" s="3025"/>
      <c r="F14" s="3025"/>
      <c r="G14" s="3025"/>
      <c r="H14" s="3025"/>
      <c r="I14" s="3025"/>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26" t="s">
        <v>1658</v>
      </c>
      <c r="B1" s="3026"/>
      <c r="C1" s="3026"/>
      <c r="D1" s="3026"/>
    </row>
    <row r="2" spans="1:4" ht="17.399999999999999">
      <c r="A2" s="3027" t="s">
        <v>1642</v>
      </c>
      <c r="B2" s="3027"/>
      <c r="C2" s="3027"/>
      <c r="D2" s="3027"/>
    </row>
    <row r="3" spans="1:4" ht="17.399999999999999">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7.399999999999999">
      <c r="A6" s="3027" t="s">
        <v>1648</v>
      </c>
      <c r="B6" s="3027"/>
      <c r="C6" s="3027"/>
      <c r="D6" s="3027"/>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28" t="s">
        <v>1651</v>
      </c>
      <c r="B11" s="3029"/>
      <c r="C11" s="3029"/>
      <c r="D11" s="3029"/>
    </row>
    <row r="12" spans="1:4" ht="15.6">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0"/>
      <c r="C12" s="3030"/>
      <c r="D12" s="3030"/>
    </row>
    <row r="13" spans="1:4" ht="30" customHeight="1">
      <c r="A13" s="3029" t="str">
        <f>IF(项目基本情况!B8="抵押","3.抵押双方在办理抵押登记手续时，应使用本公司出具的正式《房地产评估报告》，特提醒报告使用者注意。","——")</f>
        <v>——</v>
      </c>
      <c r="B13" s="3030"/>
      <c r="C13" s="3030"/>
      <c r="D13" s="3030"/>
    </row>
    <row r="14" spans="1:4" ht="15.75" customHeight="1">
      <c r="A14" s="3029" t="str">
        <f>IF(项目基本情况!B8="抵押","4.本次评估估价师所知悉的法定优先受偿款情况说明如下：","——")</f>
        <v>——</v>
      </c>
      <c r="B14" s="3030"/>
      <c r="C14" s="3030"/>
      <c r="D14" s="3030"/>
    </row>
    <row r="15" spans="1:4" ht="42" customHeight="1">
      <c r="A15" s="3029" t="str">
        <f>IF(项目基本情况!B8="抵押","（1）"&amp;CONCATENATE(项目基本情况!L20,项目基本情况!L21,项目基本情况!L22),"——")</f>
        <v>——</v>
      </c>
      <c r="B15" s="3029"/>
      <c r="C15" s="3029"/>
      <c r="D15" s="3029"/>
    </row>
    <row r="16" spans="1:4" ht="30" customHeight="1">
      <c r="A16" s="3032" t="s">
        <v>1652</v>
      </c>
      <c r="B16" s="3032"/>
      <c r="C16" s="3032"/>
      <c r="D16" s="3032"/>
    </row>
    <row r="17" spans="1:4" ht="144" customHeight="1">
      <c r="A17" s="3032" t="s">
        <v>1653</v>
      </c>
      <c r="B17" s="3032"/>
      <c r="C17" s="3032"/>
      <c r="D17" s="3032"/>
    </row>
    <row r="18" spans="1:4" ht="15.75" customHeight="1">
      <c r="A18" s="3029" t="str">
        <f>IF(项目基本情况!B8="抵押",结果表!K120,"——")</f>
        <v>——</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3"/>
      <c r="C21" s="3033"/>
      <c r="D21" s="3033"/>
    </row>
    <row r="22" spans="1:4" ht="18.75" customHeight="1">
      <c r="A22" s="3034" t="s">
        <v>1654</v>
      </c>
      <c r="B22" s="3034"/>
      <c r="C22" s="3034"/>
      <c r="D22" s="3034"/>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40" t="s">
        <v>1665</v>
      </c>
      <c r="B15" s="3035" t="s">
        <v>136</v>
      </c>
      <c r="C15" s="3036"/>
    </row>
    <row r="16" spans="1:7" ht="14.4">
      <c r="A16" s="3041"/>
      <c r="B16" s="3035" t="s">
        <v>69</v>
      </c>
      <c r="C16" s="3036"/>
    </row>
    <row r="17" spans="1:3" ht="14.4">
      <c r="A17" s="3041"/>
      <c r="B17" s="3038" t="s">
        <v>1666</v>
      </c>
      <c r="C17" s="1999" t="s">
        <v>1665</v>
      </c>
    </row>
    <row r="18" spans="1:3" ht="14.4">
      <c r="A18" s="3041"/>
      <c r="B18" s="3038"/>
      <c r="C18" s="1999" t="s">
        <v>1667</v>
      </c>
    </row>
    <row r="19" spans="1:3" ht="14.4">
      <c r="A19" s="3041"/>
      <c r="B19" s="3038"/>
      <c r="C19" s="1999" t="s">
        <v>1668</v>
      </c>
    </row>
    <row r="20" spans="1:3" ht="14.4">
      <c r="A20" s="3042"/>
      <c r="B20" s="3037" t="s">
        <v>1669</v>
      </c>
      <c r="C20" s="3036"/>
    </row>
    <row r="21" spans="1:3" ht="14.4">
      <c r="A21" s="2000" t="s">
        <v>1670</v>
      </c>
      <c r="B21" s="2001"/>
      <c r="C21" s="2002"/>
    </row>
    <row r="22" spans="1:3" ht="14.4">
      <c r="A22" s="3039" t="s">
        <v>1671</v>
      </c>
      <c r="B22" s="3037" t="s">
        <v>1672</v>
      </c>
      <c r="C22" s="3036"/>
    </row>
    <row r="23" spans="1:3" ht="14.4">
      <c r="A23" s="3039"/>
      <c r="B23" s="3037" t="s">
        <v>1673</v>
      </c>
      <c r="C23" s="3036"/>
    </row>
    <row r="24" spans="1:3" ht="14.4">
      <c r="A24" s="3039"/>
      <c r="B24" s="3037" t="s">
        <v>1674</v>
      </c>
      <c r="C24" s="3036"/>
    </row>
    <row r="25" spans="1:3" ht="14.4">
      <c r="A25" s="3039"/>
      <c r="B25" s="3038" t="s">
        <v>1675</v>
      </c>
      <c r="C25" s="1999" t="s">
        <v>1676</v>
      </c>
    </row>
    <row r="26" spans="1:3" ht="14.4">
      <c r="A26" s="3039"/>
      <c r="B26" s="3038"/>
      <c r="C26" s="1999" t="s">
        <v>1677</v>
      </c>
    </row>
    <row r="27" spans="1:3" ht="14.4">
      <c r="A27" s="3039"/>
      <c r="B27" s="3038"/>
      <c r="C27" s="1999" t="s">
        <v>1678</v>
      </c>
    </row>
    <row r="28" spans="1:3" ht="14.4">
      <c r="A28" s="3039"/>
      <c r="B28" s="3038"/>
      <c r="C28" s="1999" t="s">
        <v>1679</v>
      </c>
    </row>
    <row r="29" spans="1:3" ht="14.4">
      <c r="A29" s="3039"/>
      <c r="B29" s="3038"/>
      <c r="C29" s="1999" t="s">
        <v>1680</v>
      </c>
    </row>
    <row r="30" spans="1:3" ht="14.4">
      <c r="A30" s="3039"/>
      <c r="B30" s="3038"/>
      <c r="C30" s="1999" t="s">
        <v>1681</v>
      </c>
    </row>
    <row r="31" spans="1:3" ht="14.4">
      <c r="A31" s="3039"/>
      <c r="B31" s="3038"/>
      <c r="C31" s="1999" t="s">
        <v>1682</v>
      </c>
    </row>
    <row r="32" spans="1:3" ht="14.4">
      <c r="A32" s="3039"/>
      <c r="B32" s="3038"/>
      <c r="C32" s="1999" t="s">
        <v>1683</v>
      </c>
    </row>
    <row r="33" spans="1:3" ht="14.4">
      <c r="A33" s="3039"/>
      <c r="B33" s="3038"/>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43637</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t="str">
        <f ca="1">IF(C10&lt;B2,"已过期",1120060040)</f>
        <v>已过期</v>
      </c>
      <c r="C10" s="2346">
        <v>43483</v>
      </c>
      <c r="D10" s="2349" t="s">
        <v>838</v>
      </c>
      <c r="E10" s="1022">
        <f ca="1">IF(F10&lt;B2,"已过期",2004110096)</f>
        <v>2004110096</v>
      </c>
      <c r="F10" s="1030">
        <v>47118</v>
      </c>
    </row>
    <row r="11" spans="1:6" ht="24" customHeight="1">
      <c r="A11" s="1701" t="s">
        <v>839</v>
      </c>
      <c r="B11" s="1022" t="str">
        <f ca="1">IF(C11&lt;B2,"已过期",1120100036)</f>
        <v>已过期</v>
      </c>
      <c r="C11" s="2346">
        <v>43622</v>
      </c>
      <c r="D11" s="2349"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3043</v>
      </c>
      <c r="B14" s="1022">
        <f ca="1">IF(C14&lt;B2,"已过期",1120040230)</f>
        <v>1120040230</v>
      </c>
      <c r="C14" s="2346">
        <v>43835</v>
      </c>
      <c r="D14" s="2349" t="s">
        <v>3043</v>
      </c>
      <c r="E14" s="1022">
        <f ca="1">IF(F14&lt;B2,"已过期",98030020)</f>
        <v>98030020</v>
      </c>
      <c r="F14" s="1030">
        <v>47118</v>
      </c>
    </row>
    <row r="15" spans="1:6" ht="24" customHeight="1">
      <c r="A15" s="1702" t="s">
        <v>3044</v>
      </c>
      <c r="B15" s="1022">
        <f ca="1">IF(C15&lt;B2,"已过期",1120070085)</f>
        <v>1120070085</v>
      </c>
      <c r="C15" s="2346">
        <v>43814</v>
      </c>
      <c r="D15" s="2350" t="s">
        <v>3044</v>
      </c>
      <c r="E15" s="1022">
        <f ca="1">IF(F15&lt;B2,"已过期",2004110128)</f>
        <v>2004110128</v>
      </c>
      <c r="F15" s="1023">
        <v>47118</v>
      </c>
    </row>
    <row r="16" spans="1:6" ht="24" customHeight="1">
      <c r="A16" s="1701" t="s">
        <v>3045</v>
      </c>
      <c r="B16" s="1022">
        <f ca="1">IF(C16&lt;B2,"已过期",1120140022)</f>
        <v>1120140022</v>
      </c>
      <c r="C16" s="2926">
        <v>44029</v>
      </c>
      <c r="D16" s="2349" t="s">
        <v>3045</v>
      </c>
      <c r="E16" s="1022">
        <f ca="1">IF(F16&lt;B2,"已过期",2008110059)</f>
        <v>2008110059</v>
      </c>
      <c r="F16" s="1030">
        <v>47177</v>
      </c>
    </row>
    <row r="17" spans="1:7" ht="24" customHeight="1">
      <c r="A17" s="1701"/>
      <c r="B17" s="1022"/>
      <c r="C17" s="2346"/>
      <c r="D17" s="2349" t="s">
        <v>3046</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6">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43" t="s">
        <v>843</v>
      </c>
      <c r="B25" s="3043"/>
      <c r="C25" s="3043"/>
      <c r="D25" s="3043"/>
      <c r="E25" s="3043"/>
      <c r="F25" s="3043"/>
      <c r="G25" s="3043"/>
    </row>
    <row r="26" spans="1:7" s="1025" customFormat="1" ht="24" customHeight="1">
      <c r="A26" s="3044" t="s">
        <v>844</v>
      </c>
      <c r="B26" s="3044"/>
      <c r="C26" s="3045"/>
      <c r="D26" s="3046" t="s">
        <v>845</v>
      </c>
      <c r="E26" s="3044"/>
      <c r="F26" s="3044"/>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Sheet1</vt:lpstr>
      <vt:lpstr>抵押物清单（分楼）</vt:lpstr>
      <vt:lpstr>数据-汇总表</vt:lpstr>
      <vt:lpstr>数据-取费表</vt:lpstr>
      <vt:lpstr>估价对象房地状况</vt:lpstr>
      <vt:lpstr>项目经济指标表</vt:lpstr>
      <vt:lpstr>系统读取表</vt:lpstr>
      <vt:lpstr>结果表</vt:lpstr>
      <vt:lpstr>成本法</vt:lpstr>
      <vt:lpstr>成本法 (元)</vt:lpstr>
      <vt:lpstr>假设开发法</vt:lpstr>
      <vt:lpstr>收益法-办公自持</vt:lpstr>
      <vt:lpstr>收益法-地下车库</vt:lpstr>
      <vt:lpstr>收益法-商业</vt:lpstr>
      <vt:lpstr>收益法 (元)</vt:lpstr>
      <vt:lpstr>收益法（汇总）</vt:lpstr>
      <vt:lpstr>酒店收入计算</vt:lpstr>
      <vt:lpstr>比较法-商业</vt:lpstr>
      <vt:lpstr>比较法-住宅</vt:lpstr>
      <vt:lpstr>比较法-办公</vt:lpstr>
      <vt:lpstr>比较法-工业</vt:lpstr>
      <vt:lpstr>比较法-车位</vt:lpstr>
      <vt:lpstr>比较法-仓储</vt:lpstr>
      <vt:lpstr>土地比较法-住宅、综合</vt:lpstr>
      <vt:lpstr>土地案例</vt:lpstr>
      <vt:lpstr>Sheet2</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'收益法-办公自持'!Print_Area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2019-06-21T10:05:27Z</dcterms:modified>
</cp:coreProperties>
</file>